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drawings/drawing1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rv\Departments\Taxation\Corporate Affairs\Board Meeting\171st BOD-- 1st Quarter Financial Review-- Held on 22 October 2021\Working papers for Directors\Agenda Item No. 5\1. Pakistan Income Fund\"/>
    </mc:Choice>
  </mc:AlternateContent>
  <bookViews>
    <workbookView xWindow="0" yWindow="0" windowWidth="23040" windowHeight="9195" tabRatio="867"/>
  </bookViews>
  <sheets>
    <sheet name="SOAL" sheetId="3" r:id="rId1"/>
    <sheet name="Sheet1" sheetId="23" state="hidden" r:id="rId2"/>
    <sheet name="IS" sheetId="4" r:id="rId3"/>
    <sheet name="SOCI" sheetId="5" r:id="rId4"/>
    <sheet name="UHF New" sheetId="6" r:id="rId5"/>
    <sheet name="Cashflow" sheetId="7" r:id="rId6"/>
    <sheet name="1 - 4.2" sheetId="8" r:id="rId7"/>
    <sheet name="5 - 5.1.2" sheetId="9" r:id="rId8"/>
    <sheet name="5.1.2.1 - 5.1.7" sheetId="10" r:id="rId9"/>
    <sheet name="5.2 - 5.3" sheetId="11" state="hidden" r:id="rId10"/>
    <sheet name="5.3" sheetId="20" r:id="rId11"/>
    <sheet name="5.4" sheetId="21" state="hidden" r:id="rId12"/>
    <sheet name="5.2 - 25" sheetId="12" r:id="rId13"/>
    <sheet name="17.1" sheetId="19" state="hidden" r:id="rId14"/>
    <sheet name="18" sheetId="18" state="hidden" r:id="rId15"/>
    <sheet name="19 - 19.1.2" sheetId="13" state="hidden" r:id="rId16"/>
    <sheet name="19.1.3 - 19.3" sheetId="14" state="hidden" r:id="rId17"/>
    <sheet name="Banks Rating" sheetId="15" state="hidden" r:id="rId18"/>
    <sheet name="TER Working" sheetId="16" state="hidden" r:id="rId19"/>
    <sheet name="Provision Reversal" sheetId="17" state="hidden" r:id="rId20"/>
    <sheet name="17.1 (2)" sheetId="22" state="hidden" r:id="rId21"/>
    <sheet name="Lead - 2020" sheetId="1" state="hidden" r:id="rId22"/>
    <sheet name="TB" sheetId="24"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a" localSheetId="20">#REF!</definedName>
    <definedName name="\a" localSheetId="14">#REF!</definedName>
    <definedName name="\a" localSheetId="10">#REF!</definedName>
    <definedName name="\a" localSheetId="11">#REF!</definedName>
    <definedName name="\a">#REF!</definedName>
    <definedName name="\b" localSheetId="14">#REF!</definedName>
    <definedName name="\b" localSheetId="10">#REF!</definedName>
    <definedName name="\b" localSheetId="11">#REF!</definedName>
    <definedName name="\b">#REF!</definedName>
    <definedName name="\c" localSheetId="14">#REF!</definedName>
    <definedName name="\c" localSheetId="10">#REF!</definedName>
    <definedName name="\c" localSheetId="11">#REF!</definedName>
    <definedName name="\c">#REF!</definedName>
    <definedName name="\d" localSheetId="14">#REF!</definedName>
    <definedName name="\d" localSheetId="10">#REF!</definedName>
    <definedName name="\d" localSheetId="11">#REF!</definedName>
    <definedName name="\d">#REF!</definedName>
    <definedName name="\e" localSheetId="14">#REF!</definedName>
    <definedName name="\e" localSheetId="10">#REF!</definedName>
    <definedName name="\e" localSheetId="11">#REF!</definedName>
    <definedName name="\e">#REF!</definedName>
    <definedName name="\i" localSheetId="14">#REF!</definedName>
    <definedName name="\i" localSheetId="10">#REF!</definedName>
    <definedName name="\i" localSheetId="11">#REF!</definedName>
    <definedName name="\i">#REF!</definedName>
    <definedName name="\l" localSheetId="14">#REF!</definedName>
    <definedName name="\l" localSheetId="10">#REF!</definedName>
    <definedName name="\l" localSheetId="11">#REF!</definedName>
    <definedName name="\l">#REF!</definedName>
    <definedName name="\m" localSheetId="14">#REF!</definedName>
    <definedName name="\m" localSheetId="10">#REF!</definedName>
    <definedName name="\m" localSheetId="11">#REF!</definedName>
    <definedName name="\m">#REF!</definedName>
    <definedName name="\mansoor" localSheetId="14">#REF!</definedName>
    <definedName name="\mansoor" localSheetId="10">#REF!</definedName>
    <definedName name="\mansoor" localSheetId="11">#REF!</definedName>
    <definedName name="\mansoor">#REF!</definedName>
    <definedName name="\n" localSheetId="14">#REF!</definedName>
    <definedName name="\n" localSheetId="10">#REF!</definedName>
    <definedName name="\n" localSheetId="11">#REF!</definedName>
    <definedName name="\n">#REF!</definedName>
    <definedName name="\o" localSheetId="14">#REF!</definedName>
    <definedName name="\o" localSheetId="10">#REF!</definedName>
    <definedName name="\o" localSheetId="11">#REF!</definedName>
    <definedName name="\o">#REF!</definedName>
    <definedName name="\q" localSheetId="14">#REF!</definedName>
    <definedName name="\q" localSheetId="10">#REF!</definedName>
    <definedName name="\q" localSheetId="11">#REF!</definedName>
    <definedName name="\q">#REF!</definedName>
    <definedName name="\R" localSheetId="14">'[1]last qrt2001'!#REF!</definedName>
    <definedName name="\R" localSheetId="10">'[1]last qrt2001'!#REF!</definedName>
    <definedName name="\R" localSheetId="11">'[1]last qrt2001'!#REF!</definedName>
    <definedName name="\R">'[1]last qrt2001'!#REF!</definedName>
    <definedName name="\S" localSheetId="14">'[1]last qrt2001'!#REF!</definedName>
    <definedName name="\S" localSheetId="10">'[1]last qrt2001'!#REF!</definedName>
    <definedName name="\S" localSheetId="11">'[1]last qrt2001'!#REF!</definedName>
    <definedName name="\S">'[1]last qrt2001'!#REF!</definedName>
    <definedName name="\T" localSheetId="14">'[2]Notes1-5(old)'!#REF!</definedName>
    <definedName name="\T" localSheetId="10">'[2]Notes1-5(old)'!#REF!</definedName>
    <definedName name="\T" localSheetId="11">'[2]Notes1-5(old)'!#REF!</definedName>
    <definedName name="\T">'[2]Notes1-5(old)'!#REF!</definedName>
    <definedName name="\z" localSheetId="20">#REF!</definedName>
    <definedName name="\z" localSheetId="14">#REF!</definedName>
    <definedName name="\z" localSheetId="10">#REF!</definedName>
    <definedName name="\z" localSheetId="11">#REF!</definedName>
    <definedName name="\z">#REF!</definedName>
    <definedName name="___" localSheetId="20">Scheduled_Payment+Extra_Payment</definedName>
    <definedName name="___" localSheetId="14">Scheduled_Payment+Extra_Payment</definedName>
    <definedName name="___" localSheetId="10">Scheduled_Payment+Extra_Payment</definedName>
    <definedName name="___" localSheetId="11">Scheduled_Payment+Extra_Payment</definedName>
    <definedName name="___">Scheduled_Payment+Extra_Payment</definedName>
    <definedName name="__ASH1">[3]Sheet4!$B$524:$E$625</definedName>
    <definedName name="__ASH2">[3]Sheet4!$P$422:$Q$523</definedName>
    <definedName name="__ASS1" localSheetId="20">#REF!</definedName>
    <definedName name="__ASS1" localSheetId="14">#REF!</definedName>
    <definedName name="__ASS1" localSheetId="10">#REF!</definedName>
    <definedName name="__ASS1" localSheetId="11">#REF!</definedName>
    <definedName name="__ASS1">#REF!</definedName>
    <definedName name="__ASS2" localSheetId="14">#REF!</definedName>
    <definedName name="__ASS2" localSheetId="10">#REF!</definedName>
    <definedName name="__ASS2" localSheetId="11">#REF!</definedName>
    <definedName name="__ASS2">#REF!</definedName>
    <definedName name="__EPZ1">[3]Sheet4!$F$428:$F$519</definedName>
    <definedName name="__EPZ2">[3]Sheet4!$S$326:$S$417</definedName>
    <definedName name="__hg65656" localSheetId="20" hidden="1">#REF!</definedName>
    <definedName name="__hg65656" localSheetId="14" hidden="1">#REF!</definedName>
    <definedName name="__hg65656" localSheetId="10" hidden="1">#REF!</definedName>
    <definedName name="__hg65656" localSheetId="11" hidden="1">#REF!</definedName>
    <definedName name="__hg65656" hidden="1">#REF!</definedName>
    <definedName name="__LIA1" localSheetId="14">#REF!</definedName>
    <definedName name="__LIA1" localSheetId="10">#REF!</definedName>
    <definedName name="__LIA1" localSheetId="11">#REF!</definedName>
    <definedName name="__LIA1">#REF!</definedName>
    <definedName name="__LIA2" localSheetId="14">#REF!</definedName>
    <definedName name="__LIA2" localSheetId="10">#REF!</definedName>
    <definedName name="__LIA2" localSheetId="11">#REF!</definedName>
    <definedName name="__LIA2">#REF!</definedName>
    <definedName name="__PL1" localSheetId="14">#REF!</definedName>
    <definedName name="__PL1" localSheetId="10">#REF!</definedName>
    <definedName name="__PL1" localSheetId="11">#REF!</definedName>
    <definedName name="__PL1">#REF!</definedName>
    <definedName name="__PL2" localSheetId="14">#REF!</definedName>
    <definedName name="__PL2" localSheetId="10">#REF!</definedName>
    <definedName name="__PL2" localSheetId="11">#REF!</definedName>
    <definedName name="__PL2">#REF!</definedName>
    <definedName name="__PP2" localSheetId="14">#REF!</definedName>
    <definedName name="__PP2" localSheetId="10">#REF!</definedName>
    <definedName name="__PP2" localSheetId="11">#REF!</definedName>
    <definedName name="__PP2">#REF!</definedName>
    <definedName name="__PP3" localSheetId="14">#REF!</definedName>
    <definedName name="__PP3" localSheetId="10">#REF!</definedName>
    <definedName name="__PP3" localSheetId="11">#REF!</definedName>
    <definedName name="__PP3">#REF!</definedName>
    <definedName name="__REC1999">'[4]RC-0997'!$B$132:$Q$171</definedName>
    <definedName name="__UAE1">[3]Sheet4!$D$116:$D$207</definedName>
    <definedName name="__UAE2">[3]Sheet4!$Q$14:$Q$105</definedName>
    <definedName name="__UK1">[3]Sheet4!$F$324:$F$415</definedName>
    <definedName name="__UK2">[3]Sheet4!$S$222:$S$313</definedName>
    <definedName name="__USA1">[3]Sheet4!$D$428:$D$519</definedName>
    <definedName name="__USA2">[3]Sheet4!$Q$326:$Q$417</definedName>
    <definedName name="_1" localSheetId="20">#REF!</definedName>
    <definedName name="_1" localSheetId="14">#REF!</definedName>
    <definedName name="_1" localSheetId="10">#REF!</definedName>
    <definedName name="_1" localSheetId="11">#REF!</definedName>
    <definedName name="_1">#REF!</definedName>
    <definedName name="_1.1" localSheetId="14">#REF!</definedName>
    <definedName name="_1.1" localSheetId="10">#REF!</definedName>
    <definedName name="_1.1" localSheetId="11">#REF!</definedName>
    <definedName name="_1.1">#REF!</definedName>
    <definedName name="_1.2" localSheetId="14">'[5]Abu Dhabi'!#REF!</definedName>
    <definedName name="_1.2" localSheetId="10">'[5]Abu Dhabi'!#REF!</definedName>
    <definedName name="_1.2" localSheetId="11">'[5]Abu Dhabi'!#REF!</definedName>
    <definedName name="_1.2">'[5]Abu Dhabi'!#REF!</definedName>
    <definedName name="_10" localSheetId="20">#REF!</definedName>
    <definedName name="_10" localSheetId="14">#REF!</definedName>
    <definedName name="_10" localSheetId="10">#REF!</definedName>
    <definedName name="_10" localSheetId="11">#REF!</definedName>
    <definedName name="_10">#REF!</definedName>
    <definedName name="_11" localSheetId="14">#REF!</definedName>
    <definedName name="_11" localSheetId="10">#REF!</definedName>
    <definedName name="_11" localSheetId="11">#REF!</definedName>
    <definedName name="_11">#REF!</definedName>
    <definedName name="_12" localSheetId="14">#REF!</definedName>
    <definedName name="_12" localSheetId="10">#REF!</definedName>
    <definedName name="_12" localSheetId="11">#REF!</definedName>
    <definedName name="_12">#REF!</definedName>
    <definedName name="_13" localSheetId="14">#REF!</definedName>
    <definedName name="_13" localSheetId="10">#REF!</definedName>
    <definedName name="_13" localSheetId="11">#REF!</definedName>
    <definedName name="_13">#REF!</definedName>
    <definedName name="_14" localSheetId="14">#REF!</definedName>
    <definedName name="_14" localSheetId="10">#REF!</definedName>
    <definedName name="_14" localSheetId="11">#REF!</definedName>
    <definedName name="_14">#REF!</definedName>
    <definedName name="_15" localSheetId="14">#REF!</definedName>
    <definedName name="_15" localSheetId="10">#REF!</definedName>
    <definedName name="_15" localSheetId="11">#REF!</definedName>
    <definedName name="_15">#REF!</definedName>
    <definedName name="_16" localSheetId="14">#REF!</definedName>
    <definedName name="_16" localSheetId="10">#REF!</definedName>
    <definedName name="_16" localSheetId="11">#REF!</definedName>
    <definedName name="_16">#REF!</definedName>
    <definedName name="_17" localSheetId="14">#REF!</definedName>
    <definedName name="_17" localSheetId="10">#REF!</definedName>
    <definedName name="_17" localSheetId="11">#REF!</definedName>
    <definedName name="_17">#REF!</definedName>
    <definedName name="_18" localSheetId="14">#REF!</definedName>
    <definedName name="_18" localSheetId="10">#REF!</definedName>
    <definedName name="_18" localSheetId="11">#REF!</definedName>
    <definedName name="_18">#REF!</definedName>
    <definedName name="_19" localSheetId="14">#REF!</definedName>
    <definedName name="_19" localSheetId="10">#REF!</definedName>
    <definedName name="_19" localSheetId="11">#REF!</definedName>
    <definedName name="_19">#REF!</definedName>
    <definedName name="_2" localSheetId="14">#REF!</definedName>
    <definedName name="_2" localSheetId="10">#REF!</definedName>
    <definedName name="_2" localSheetId="11">#REF!</definedName>
    <definedName name="_2">#REF!</definedName>
    <definedName name="_2.1" localSheetId="14">#REF!</definedName>
    <definedName name="_2.1" localSheetId="10">#REF!</definedName>
    <definedName name="_2.1" localSheetId="11">#REF!</definedName>
    <definedName name="_2.1">#REF!</definedName>
    <definedName name="_2.2" localSheetId="14">'[5]Abu Dhabi'!#REF!</definedName>
    <definedName name="_2.2" localSheetId="10">'[5]Abu Dhabi'!#REF!</definedName>
    <definedName name="_2.2" localSheetId="11">'[5]Abu Dhabi'!#REF!</definedName>
    <definedName name="_2.2">'[5]Abu Dhabi'!#REF!</definedName>
    <definedName name="_20" localSheetId="20">#REF!</definedName>
    <definedName name="_20" localSheetId="14">#REF!</definedName>
    <definedName name="_20" localSheetId="10">#REF!</definedName>
    <definedName name="_20" localSheetId="11">#REF!</definedName>
    <definedName name="_20">#REF!</definedName>
    <definedName name="_21" localSheetId="14">#REF!</definedName>
    <definedName name="_21" localSheetId="10">#REF!</definedName>
    <definedName name="_21" localSheetId="11">#REF!</definedName>
    <definedName name="_21">#REF!</definedName>
    <definedName name="_3" localSheetId="14">#REF!</definedName>
    <definedName name="_3" localSheetId="10">#REF!</definedName>
    <definedName name="_3" localSheetId="11">#REF!</definedName>
    <definedName name="_3">#REF!</definedName>
    <definedName name="_3.1">[3]Sheet4!$A$110</definedName>
    <definedName name="_3.2">[3]Sheet4!$O$8</definedName>
    <definedName name="_3.3" localSheetId="20">'[6]LS-UAE'!#REF!</definedName>
    <definedName name="_3.3" localSheetId="14">'[6]LS-UAE'!#REF!</definedName>
    <definedName name="_3.3" localSheetId="10">'[6]LS-UAE'!#REF!</definedName>
    <definedName name="_3.3" localSheetId="11">'[6]LS-UAE'!#REF!</definedName>
    <definedName name="_3.3">'[6]LS-UAE'!#REF!</definedName>
    <definedName name="_4" localSheetId="20">#REF!</definedName>
    <definedName name="_4" localSheetId="14">#REF!</definedName>
    <definedName name="_4" localSheetId="10">#REF!</definedName>
    <definedName name="_4" localSheetId="11">#REF!</definedName>
    <definedName name="_4">#REF!</definedName>
    <definedName name="_4.1">[3]Sheet4!$A$214</definedName>
    <definedName name="_4.2">[3]Sheet4!$O$112</definedName>
    <definedName name="_5" localSheetId="20">#REF!</definedName>
    <definedName name="_5" localSheetId="14">#REF!</definedName>
    <definedName name="_5" localSheetId="10">#REF!</definedName>
    <definedName name="_5" localSheetId="11">#REF!</definedName>
    <definedName name="_5">#REF!</definedName>
    <definedName name="_5.1">[3]Sheet4!$A$318</definedName>
    <definedName name="_5.2">[3]Sheet4!$O$216</definedName>
    <definedName name="_6" localSheetId="20">#REF!</definedName>
    <definedName name="_6" localSheetId="14">#REF!</definedName>
    <definedName name="_6" localSheetId="10">#REF!</definedName>
    <definedName name="_6" localSheetId="11">#REF!</definedName>
    <definedName name="_6">#REF!</definedName>
    <definedName name="_6.1">[3]Sheet4!$A$422</definedName>
    <definedName name="_6.2">[3]Sheet4!$O$320</definedName>
    <definedName name="_7" localSheetId="20">#REF!</definedName>
    <definedName name="_7" localSheetId="14">#REF!</definedName>
    <definedName name="_7" localSheetId="10">#REF!</definedName>
    <definedName name="_7" localSheetId="11">#REF!</definedName>
    <definedName name="_7">#REF!</definedName>
    <definedName name="_7.1">[3]Sheet4!$A$526</definedName>
    <definedName name="_7.2">[3]Sheet4!$O$424</definedName>
    <definedName name="_8" localSheetId="20">#REF!</definedName>
    <definedName name="_8" localSheetId="14">#REF!</definedName>
    <definedName name="_8" localSheetId="10">#REF!</definedName>
    <definedName name="_8" localSheetId="11">#REF!</definedName>
    <definedName name="_8">#REF!</definedName>
    <definedName name="_9" localSheetId="14">#REF!</definedName>
    <definedName name="_9" localSheetId="10">#REF!</definedName>
    <definedName name="_9" localSheetId="11">#REF!</definedName>
    <definedName name="_9">#REF!</definedName>
    <definedName name="_A" localSheetId="14">'[1]last qrt2001'!#REF!</definedName>
    <definedName name="_A" localSheetId="10">'[1]last qrt2001'!#REF!</definedName>
    <definedName name="_A" localSheetId="11">'[1]last qrt2001'!#REF!</definedName>
    <definedName name="_A">'[1]last qrt2001'!#REF!</definedName>
    <definedName name="_ASH1">[3]Sheet4!$B$524:$E$625</definedName>
    <definedName name="_ASH2">[3]Sheet4!$P$422:$Q$523</definedName>
    <definedName name="_ASS1" localSheetId="20">#REF!</definedName>
    <definedName name="_ASS1" localSheetId="14">#REF!</definedName>
    <definedName name="_ASS1" localSheetId="10">#REF!</definedName>
    <definedName name="_ASS1" localSheetId="11">#REF!</definedName>
    <definedName name="_ASS1">#REF!</definedName>
    <definedName name="_ASS2" localSheetId="14">#REF!</definedName>
    <definedName name="_ASS2" localSheetId="10">#REF!</definedName>
    <definedName name="_ASS2" localSheetId="11">#REF!</definedName>
    <definedName name="_ASS2">#REF!</definedName>
    <definedName name="_B" localSheetId="14">'[1]last qrt2001'!#REF!</definedName>
    <definedName name="_B" localSheetId="10">'[1]last qrt2001'!#REF!</definedName>
    <definedName name="_B" localSheetId="11">'[1]last qrt2001'!#REF!</definedName>
    <definedName name="_B">'[1]last qrt2001'!#REF!</definedName>
    <definedName name="_EPZ1">[3]Sheet4!$F$428:$F$519</definedName>
    <definedName name="_EPZ2">[3]Sheet4!$S$326:$S$417</definedName>
    <definedName name="_Fill" hidden="1">'[7]BS-OVS'!$I$126:$I$284</definedName>
    <definedName name="_xlnm._FilterDatabase" localSheetId="10" hidden="1">'5.3'!$B$11:$O$105</definedName>
    <definedName name="_xlnm._FilterDatabase" localSheetId="17" hidden="1">'Banks Rating'!$L$13:$M$20</definedName>
    <definedName name="_xlnm._FilterDatabase" localSheetId="18" hidden="1">'TER Working'!$B$7:$I$255</definedName>
    <definedName name="_xlnm._FilterDatabase" localSheetId="4" hidden="1">'UHF New'!$BI$20:$BI$48</definedName>
    <definedName name="_jr0707" localSheetId="20">Scheduled_Payment+Extra_Payment</definedName>
    <definedName name="_jr0707" localSheetId="14">Scheduled_Payment+Extra_Payment</definedName>
    <definedName name="_jr0707" localSheetId="10">Scheduled_Payment+Extra_Payment</definedName>
    <definedName name="_jr0707" localSheetId="11">Scheduled_Payment+Extra_Payment</definedName>
    <definedName name="_jr0707">Scheduled_Payment+Extra_Payment</definedName>
    <definedName name="_Key1" localSheetId="20" hidden="1">#REF!</definedName>
    <definedName name="_Key1" localSheetId="14" hidden="1">#REF!</definedName>
    <definedName name="_Key1" localSheetId="10" hidden="1">#REF!</definedName>
    <definedName name="_Key1" localSheetId="11" hidden="1">#REF!</definedName>
    <definedName name="_Key1" hidden="1">#REF!</definedName>
    <definedName name="_Key2" localSheetId="14" hidden="1">#REF!</definedName>
    <definedName name="_Key2" localSheetId="10" hidden="1">#REF!</definedName>
    <definedName name="_Key2" localSheetId="11" hidden="1">#REF!</definedName>
    <definedName name="_Key2" hidden="1">#REF!</definedName>
    <definedName name="_LIA1" localSheetId="14">#REF!</definedName>
    <definedName name="_LIA1" localSheetId="10">#REF!</definedName>
    <definedName name="_LIA1" localSheetId="11">#REF!</definedName>
    <definedName name="_LIA1">#REF!</definedName>
    <definedName name="_LIA2" localSheetId="14">#REF!</definedName>
    <definedName name="_LIA2" localSheetId="10">#REF!</definedName>
    <definedName name="_LIA2" localSheetId="11">#REF!</definedName>
    <definedName name="_LIA2">#REF!</definedName>
    <definedName name="_Order1" hidden="1">255</definedName>
    <definedName name="_Order2" hidden="1">255</definedName>
    <definedName name="_PL1" localSheetId="20">#REF!</definedName>
    <definedName name="_PL1" localSheetId="14">#REF!</definedName>
    <definedName name="_PL1" localSheetId="10">#REF!</definedName>
    <definedName name="_PL1" localSheetId="11">#REF!</definedName>
    <definedName name="_PL1">#REF!</definedName>
    <definedName name="_PL2" localSheetId="14">#REF!</definedName>
    <definedName name="_PL2" localSheetId="10">#REF!</definedName>
    <definedName name="_PL2" localSheetId="11">#REF!</definedName>
    <definedName name="_PL2">#REF!</definedName>
    <definedName name="_PP2" localSheetId="14">#REF!</definedName>
    <definedName name="_PP2" localSheetId="10">#REF!</definedName>
    <definedName name="_PP2" localSheetId="11">#REF!</definedName>
    <definedName name="_PP2">#REF!</definedName>
    <definedName name="_PP3" localSheetId="14">#REF!</definedName>
    <definedName name="_PP3" localSheetId="10">#REF!</definedName>
    <definedName name="_PP3" localSheetId="11">#REF!</definedName>
    <definedName name="_PP3">#REF!</definedName>
    <definedName name="_R" localSheetId="20">'[1]last qrt2001'!#REF!</definedName>
    <definedName name="_R" localSheetId="14">'[1]last qrt2001'!#REF!</definedName>
    <definedName name="_R" localSheetId="10">'[1]last qrt2001'!#REF!</definedName>
    <definedName name="_R" localSheetId="11">'[1]last qrt2001'!#REF!</definedName>
    <definedName name="_R">'[1]last qrt2001'!#REF!</definedName>
    <definedName name="_REC1999">'[4]RC-0997'!$B$132:$Q$171</definedName>
    <definedName name="_Regression_X" localSheetId="20" hidden="1">#REF!</definedName>
    <definedName name="_Regression_X" localSheetId="14" hidden="1">#REF!</definedName>
    <definedName name="_Regression_X" localSheetId="10" hidden="1">#REF!</definedName>
    <definedName name="_Regression_X" localSheetId="11" hidden="1">#REF!</definedName>
    <definedName name="_Regression_X" hidden="1">#REF!</definedName>
    <definedName name="_RSE1" localSheetId="14">#REF!</definedName>
    <definedName name="_RSE1" localSheetId="10">#REF!</definedName>
    <definedName name="_RSE1" localSheetId="11">#REF!</definedName>
    <definedName name="_RSE1">#REF!</definedName>
    <definedName name="_RSE2" localSheetId="14">#REF!</definedName>
    <definedName name="_RSE2" localSheetId="10">#REF!</definedName>
    <definedName name="_RSE2" localSheetId="11">#REF!</definedName>
    <definedName name="_RSE2">#REF!</definedName>
    <definedName name="_RSE3" localSheetId="14">#REF!</definedName>
    <definedName name="_RSE3" localSheetId="10">#REF!</definedName>
    <definedName name="_RSE3" localSheetId="11">#REF!</definedName>
    <definedName name="_RSE3">#REF!</definedName>
    <definedName name="_S" localSheetId="14">'[1]last qrt2001'!#REF!</definedName>
    <definedName name="_S" localSheetId="10">'[1]last qrt2001'!#REF!</definedName>
    <definedName name="_S" localSheetId="11">'[1]last qrt2001'!#REF!</definedName>
    <definedName name="_S">'[1]last qrt2001'!#REF!</definedName>
    <definedName name="_Sort" localSheetId="20" hidden="1">#REF!</definedName>
    <definedName name="_Sort" localSheetId="14" hidden="1">#REF!</definedName>
    <definedName name="_Sort" localSheetId="10" hidden="1">#REF!</definedName>
    <definedName name="_Sort" localSheetId="11" hidden="1">#REF!</definedName>
    <definedName name="_Sort" hidden="1">#REF!</definedName>
    <definedName name="_T" localSheetId="20">[2]Notes1_5_old_!#REF!</definedName>
    <definedName name="_T" localSheetId="14">[2]Notes1_5_old_!#REF!</definedName>
    <definedName name="_T" localSheetId="10">[2]Notes1_5_old_!#REF!</definedName>
    <definedName name="_T" localSheetId="11">[2]Notes1_5_old_!#REF!</definedName>
    <definedName name="_T">[2]Notes1_5_old_!#REF!</definedName>
    <definedName name="_UAE1">[3]Sheet4!$D$116:$D$207</definedName>
    <definedName name="_UAE2">[3]Sheet4!$Q$14:$Q$105</definedName>
    <definedName name="_UK1">[3]Sheet4!$F$324:$F$415</definedName>
    <definedName name="_UK2">[3]Sheet4!$S$222:$S$313</definedName>
    <definedName name="_USA1">[3]Sheet4!$D$428:$D$519</definedName>
    <definedName name="_USA2">[3]Sheet4!$Q$326:$Q$417</definedName>
    <definedName name="a" localSheetId="20">#REF!</definedName>
    <definedName name="a" localSheetId="14">#REF!</definedName>
    <definedName name="a" localSheetId="10">#REF!</definedName>
    <definedName name="a" localSheetId="11">#REF!</definedName>
    <definedName name="a">#REF!</definedName>
    <definedName name="aa" localSheetId="14">#REF!</definedName>
    <definedName name="aa" localSheetId="10">#REF!</definedName>
    <definedName name="aa" localSheetId="11">#REF!</definedName>
    <definedName name="aa">#REF!</definedName>
    <definedName name="aaa" localSheetId="14">#REF!</definedName>
    <definedName name="aaa" localSheetId="10">#REF!</definedName>
    <definedName name="aaa" localSheetId="11">#REF!</definedName>
    <definedName name="aaa">#REF!</definedName>
    <definedName name="AB" localSheetId="14">#REF!</definedName>
    <definedName name="AB" localSheetId="10">#REF!</definedName>
    <definedName name="AB" localSheetId="11">#REF!</definedName>
    <definedName name="AB">#REF!</definedName>
    <definedName name="abc" localSheetId="14">#REF!</definedName>
    <definedName name="abc" localSheetId="10">#REF!</definedName>
    <definedName name="abc" localSheetId="11">#REF!</definedName>
    <definedName name="abc">#REF!</definedName>
    <definedName name="Abid" localSheetId="14">#REF!</definedName>
    <definedName name="Abid" localSheetId="10">#REF!</definedName>
    <definedName name="Abid" localSheetId="11">#REF!</definedName>
    <definedName name="Abid">#REF!</definedName>
    <definedName name="AC" localSheetId="14">#REF!</definedName>
    <definedName name="AC" localSheetId="10">#REF!</definedName>
    <definedName name="AC" localSheetId="11">#REF!</definedName>
    <definedName name="AC">#REF!</definedName>
    <definedName name="Acc.Code" localSheetId="14">#REF!</definedName>
    <definedName name="Acc.Code" localSheetId="10">#REF!</definedName>
    <definedName name="Acc.Code" localSheetId="11">#REF!</definedName>
    <definedName name="Acc.Code">#REF!</definedName>
    <definedName name="Act_Date" localSheetId="14">#REF!</definedName>
    <definedName name="Act_Date" localSheetId="10">#REF!</definedName>
    <definedName name="Act_Date" localSheetId="11">#REF!</definedName>
    <definedName name="Act_Date">#REF!</definedName>
    <definedName name="Act_FullScreen" localSheetId="14">#REF!</definedName>
    <definedName name="Act_FullScreen" localSheetId="10">#REF!</definedName>
    <definedName name="Act_FullScreen" localSheetId="11">#REF!</definedName>
    <definedName name="Act_FullScreen">#REF!</definedName>
    <definedName name="Act_It" localSheetId="14">#REF!</definedName>
    <definedName name="Act_It" localSheetId="10">#REF!</definedName>
    <definedName name="Act_It" localSheetId="11">#REF!</definedName>
    <definedName name="Act_It">#REF!</definedName>
    <definedName name="Act_Name" localSheetId="14">#REF!</definedName>
    <definedName name="Act_Name" localSheetId="10">#REF!</definedName>
    <definedName name="Act_Name" localSheetId="11">#REF!</definedName>
    <definedName name="Act_Name">#REF!</definedName>
    <definedName name="Act_Obj" localSheetId="14">#REF!</definedName>
    <definedName name="Act_Obj" localSheetId="10">#REF!</definedName>
    <definedName name="Act_Obj" localSheetId="11">#REF!</definedName>
    <definedName name="Act_Obj">#REF!</definedName>
    <definedName name="Act_Obj_Comp" localSheetId="14">#REF!</definedName>
    <definedName name="Act_Obj_Comp" localSheetId="10">#REF!</definedName>
    <definedName name="Act_Obj_Comp" localSheetId="11">#REF!</definedName>
    <definedName name="Act_Obj_Comp">#REF!</definedName>
    <definedName name="Act_Obj_PwC_Example" localSheetId="14">#REF!</definedName>
    <definedName name="Act_Obj_PwC_Example" localSheetId="10">#REF!</definedName>
    <definedName name="Act_Obj_PwC_Example" localSheetId="11">#REF!</definedName>
    <definedName name="Act_Obj_PwC_Example">#REF!</definedName>
    <definedName name="Act_PM" localSheetId="14">#REF!</definedName>
    <definedName name="Act_PM" localSheetId="10">#REF!</definedName>
    <definedName name="Act_PM" localSheetId="11">#REF!</definedName>
    <definedName name="Act_PM">#REF!</definedName>
    <definedName name="Act_Total" localSheetId="14">#REF!</definedName>
    <definedName name="Act_Total" localSheetId="10">#REF!</definedName>
    <definedName name="Act_Total" localSheetId="11">#REF!</definedName>
    <definedName name="Act_Total">#REF!</definedName>
    <definedName name="ad">[8]A!$Q$604:$Q$639</definedName>
    <definedName name="ADV" localSheetId="20">[9]acct!#REF!</definedName>
    <definedName name="ADV" localSheetId="14">[9]acct!#REF!</definedName>
    <definedName name="ADV" localSheetId="10">[9]acct!#REF!</definedName>
    <definedName name="ADV" localSheetId="11">[9]acct!#REF!</definedName>
    <definedName name="ADV">[9]acct!#REF!</definedName>
    <definedName name="affair" localSheetId="20">[10]BSDOMOVS!#REF!</definedName>
    <definedName name="affair" localSheetId="14">[10]BSDOMOVS!#REF!</definedName>
    <definedName name="affair" localSheetId="10">[10]BSDOMOVS!#REF!</definedName>
    <definedName name="affair" localSheetId="11">[10]BSDOMOVS!#REF!</definedName>
    <definedName name="affair">[10]BSDOMOVS!#REF!</definedName>
    <definedName name="Amount" localSheetId="20">#REF!</definedName>
    <definedName name="Amount" localSheetId="14">#REF!</definedName>
    <definedName name="Amount" localSheetId="10">#REF!</definedName>
    <definedName name="Amount" localSheetId="11">#REF!</definedName>
    <definedName name="Amount">#REF!</definedName>
    <definedName name="APAGE1" localSheetId="14">#REF!</definedName>
    <definedName name="APAGE1" localSheetId="10">#REF!</definedName>
    <definedName name="APAGE1" localSheetId="11">#REF!</definedName>
    <definedName name="APAGE1">#REF!</definedName>
    <definedName name="APAGE2" localSheetId="14">#REF!</definedName>
    <definedName name="APAGE2" localSheetId="10">#REF!</definedName>
    <definedName name="APAGE2" localSheetId="11">#REF!</definedName>
    <definedName name="APAGE2">#REF!</definedName>
    <definedName name="APAGE3" localSheetId="14">#REF!</definedName>
    <definedName name="APAGE3" localSheetId="10">#REF!</definedName>
    <definedName name="APAGE3" localSheetId="11">#REF!</definedName>
    <definedName name="APAGE3">#REF!</definedName>
    <definedName name="APAGE4" localSheetId="14">#REF!</definedName>
    <definedName name="APAGE4" localSheetId="10">#REF!</definedName>
    <definedName name="APAGE4" localSheetId="11">#REF!</definedName>
    <definedName name="APAGE4">#REF!</definedName>
    <definedName name="ARA_Threshold" localSheetId="20">'[11]Lead - 2020'!$O$2</definedName>
    <definedName name="ARA_Threshold">'Lead - 2020'!$O$2</definedName>
    <definedName name="ARP_Threshold" localSheetId="20">'[11]Lead - 2020'!$N$2</definedName>
    <definedName name="ARP_Threshold">'Lead - 2020'!$N$2</definedName>
    <definedName name="AS2DocOpenMode" hidden="1">"AS2DocumentEdit"</definedName>
    <definedName name="AS2LinkLS" localSheetId="20" hidden="1">#REF!</definedName>
    <definedName name="AS2LinkLS" localSheetId="14" hidden="1">#REF!</definedName>
    <definedName name="AS2LinkLS" localSheetId="10" hidden="1">#REF!</definedName>
    <definedName name="AS2LinkLS" localSheetId="11" hidden="1">#REF!</definedName>
    <definedName name="AS2LinkLS" hidden="1">#REF!</definedName>
    <definedName name="AS2ReportLS" hidden="1">1</definedName>
    <definedName name="AS2StaticLS" localSheetId="20" hidden="1">#REF!</definedName>
    <definedName name="AS2StaticLS" localSheetId="14" hidden="1">#REF!</definedName>
    <definedName name="AS2StaticLS" localSheetId="10" hidden="1">#REF!</definedName>
    <definedName name="AS2StaticLS" localSheetId="11" hidden="1">#REF!</definedName>
    <definedName name="AS2StaticLS" hidden="1">#REF!</definedName>
    <definedName name="AS2SyncStepLS" hidden="1">0</definedName>
    <definedName name="AS2TickmarkLS" localSheetId="14" hidden="1">#REF!</definedName>
    <definedName name="AS2TickmarkLS" localSheetId="10" hidden="1">#REF!</definedName>
    <definedName name="AS2TickmarkLS" localSheetId="11" hidden="1">#REF!</definedName>
    <definedName name="AS2TickmarkLS" hidden="1">#REF!</definedName>
    <definedName name="AS2VersionLS" hidden="1">300</definedName>
    <definedName name="asdf" localSheetId="20">Scheduled_Payment+Extra_Payment</definedName>
    <definedName name="asdf" localSheetId="14">Scheduled_Payment+Extra_Payment</definedName>
    <definedName name="asdf" localSheetId="10">Scheduled_Payment+Extra_Payment</definedName>
    <definedName name="asdf" localSheetId="11">Scheduled_Payment+Extra_Payment</definedName>
    <definedName name="asdf">Scheduled_Payment+Extra_Payment</definedName>
    <definedName name="Asgar" localSheetId="20">#REF!</definedName>
    <definedName name="Asgar" localSheetId="14">#REF!</definedName>
    <definedName name="Asgar" localSheetId="10">#REF!</definedName>
    <definedName name="Asgar" localSheetId="11">#REF!</definedName>
    <definedName name="Asgar">#REF!</definedName>
    <definedName name="ASHRAF" localSheetId="14">#REF!</definedName>
    <definedName name="ASHRAF" localSheetId="10">#REF!</definedName>
    <definedName name="ASHRAF" localSheetId="11">#REF!</definedName>
    <definedName name="ASHRAF">#REF!</definedName>
    <definedName name="ASSE" localSheetId="20">'[5]Abu Dhabi'!#REF!</definedName>
    <definedName name="ASSE" localSheetId="14">'[5]Abu Dhabi'!#REF!</definedName>
    <definedName name="ASSE" localSheetId="10">'[5]Abu Dhabi'!#REF!</definedName>
    <definedName name="ASSE" localSheetId="11">'[5]Abu Dhabi'!#REF!</definedName>
    <definedName name="ASSE">'[5]Abu Dhabi'!#REF!</definedName>
    <definedName name="ASSET1" localSheetId="20">#REF!</definedName>
    <definedName name="ASSET1" localSheetId="14">#REF!</definedName>
    <definedName name="ASSET1" localSheetId="10">#REF!</definedName>
    <definedName name="ASSET1" localSheetId="11">#REF!</definedName>
    <definedName name="ASSET1">#REF!</definedName>
    <definedName name="ASSET2" localSheetId="14">#REF!</definedName>
    <definedName name="ASSET2" localSheetId="10">#REF!</definedName>
    <definedName name="ASSET2" localSheetId="11">#REF!</definedName>
    <definedName name="ASSET2">#REF!</definedName>
    <definedName name="ASSET3" localSheetId="14">#REF!</definedName>
    <definedName name="ASSET3" localSheetId="10">#REF!</definedName>
    <definedName name="ASSET3" localSheetId="11">#REF!</definedName>
    <definedName name="ASSET3">#REF!</definedName>
    <definedName name="ASSET4" localSheetId="14">#REF!</definedName>
    <definedName name="ASSET4" localSheetId="10">#REF!</definedName>
    <definedName name="ASSET4" localSheetId="11">#REF!</definedName>
    <definedName name="ASSET4">#REF!</definedName>
    <definedName name="b" localSheetId="14">#REF!</definedName>
    <definedName name="b" localSheetId="10">#REF!</definedName>
    <definedName name="b" localSheetId="11">#REF!</definedName>
    <definedName name="b">#REF!</definedName>
    <definedName name="BAHRAIN1">[3]Sheet4!$L$14:$L$105</definedName>
    <definedName name="BAHRAIN2">[3]Sheet4!$Y$14:$Y$105</definedName>
    <definedName name="bal" localSheetId="20" hidden="1">{"'CALL MONEY'!$K$53"}</definedName>
    <definedName name="bal" hidden="1">{"'CALL MONEY'!$K$53"}</definedName>
    <definedName name="balances" localSheetId="20" hidden="1">{"'CALL MONEY'!$K$53"}</definedName>
    <definedName name="balances" hidden="1">{"'CALL MONEY'!$K$53"}</definedName>
    <definedName name="BalanceSheetDates" localSheetId="14">#REF!</definedName>
    <definedName name="BalanceSheetDates" localSheetId="10">#REF!</definedName>
    <definedName name="BalanceSheetDates" localSheetId="11">#REF!</definedName>
    <definedName name="BalanceSheetDates">#REF!</definedName>
    <definedName name="bas">#N/A</definedName>
    <definedName name="Beg_Bal" localSheetId="20">#REF!</definedName>
    <definedName name="Beg_Bal" localSheetId="14">#REF!</definedName>
    <definedName name="Beg_Bal" localSheetId="10">#REF!</definedName>
    <definedName name="Beg_Bal" localSheetId="11">#REF!</definedName>
    <definedName name="Beg_Bal">#REF!</definedName>
    <definedName name="bela" localSheetId="14">#REF!</definedName>
    <definedName name="bela" localSheetId="10">#REF!</definedName>
    <definedName name="bela" localSheetId="11">#REF!</definedName>
    <definedName name="bela">#REF!</definedName>
    <definedName name="BELOW" localSheetId="14">#REF!</definedName>
    <definedName name="BELOW" localSheetId="10">#REF!</definedName>
    <definedName name="BELOW" localSheetId="11">#REF!</definedName>
    <definedName name="BELOW">#REF!</definedName>
    <definedName name="BG_Del" hidden="1">15</definedName>
    <definedName name="BG_Ins" hidden="1">4</definedName>
    <definedName name="BG_Mod" hidden="1">6</definedName>
    <definedName name="BOTTOM" localSheetId="20">#REF!</definedName>
    <definedName name="BOTTOM" localSheetId="14">#REF!</definedName>
    <definedName name="BOTTOM" localSheetId="10">#REF!</definedName>
    <definedName name="BOTTOM" localSheetId="11">#REF!</definedName>
    <definedName name="BOTTOM">#REF!</definedName>
    <definedName name="BSCOMB" localSheetId="14">#REF!</definedName>
    <definedName name="BSCOMB" localSheetId="10">#REF!</definedName>
    <definedName name="BSCOMB" localSheetId="11">#REF!</definedName>
    <definedName name="BSCOMB">#REF!</definedName>
    <definedName name="BuiltIn_AutoFilter___2" localSheetId="14">#REF!</definedName>
    <definedName name="BuiltIn_AutoFilter___2" localSheetId="10">#REF!</definedName>
    <definedName name="BuiltIn_AutoFilter___2" localSheetId="11">#REF!</definedName>
    <definedName name="BuiltIn_AutoFilter___2">#REF!</definedName>
    <definedName name="BuiltIn_AutoFilter___2_11" localSheetId="14">#REF!</definedName>
    <definedName name="BuiltIn_AutoFilter___2_11" localSheetId="10">#REF!</definedName>
    <definedName name="BuiltIn_AutoFilter___2_11" localSheetId="11">#REF!</definedName>
    <definedName name="BuiltIn_AutoFilter___2_11">#REF!</definedName>
    <definedName name="BuiltIn_AutoFilter___2_12" localSheetId="14">#REF!</definedName>
    <definedName name="BuiltIn_AutoFilter___2_12" localSheetId="10">#REF!</definedName>
    <definedName name="BuiltIn_AutoFilter___2_12" localSheetId="11">#REF!</definedName>
    <definedName name="BuiltIn_AutoFilter___2_12">#REF!</definedName>
    <definedName name="BuiltIn_AutoFilter___2_13" localSheetId="14">#REF!</definedName>
    <definedName name="BuiltIn_AutoFilter___2_13" localSheetId="10">#REF!</definedName>
    <definedName name="BuiltIn_AutoFilter___2_13" localSheetId="11">#REF!</definedName>
    <definedName name="BuiltIn_AutoFilter___2_13">#REF!</definedName>
    <definedName name="BuiltIn_AutoFilter___2_14" localSheetId="14">#REF!</definedName>
    <definedName name="BuiltIn_AutoFilter___2_14" localSheetId="10">#REF!</definedName>
    <definedName name="BuiltIn_AutoFilter___2_14" localSheetId="11">#REF!</definedName>
    <definedName name="BuiltIn_AutoFilter___2_14">#REF!</definedName>
    <definedName name="BuiltIn_AutoFilter___2_16" localSheetId="14">#REF!</definedName>
    <definedName name="BuiltIn_AutoFilter___2_16" localSheetId="10">#REF!</definedName>
    <definedName name="BuiltIn_AutoFilter___2_16" localSheetId="11">#REF!</definedName>
    <definedName name="BuiltIn_AutoFilter___2_16">#REF!</definedName>
    <definedName name="BuiltIn_AutoFilter___2_6" localSheetId="14">#REF!</definedName>
    <definedName name="BuiltIn_AutoFilter___2_6" localSheetId="10">#REF!</definedName>
    <definedName name="BuiltIn_AutoFilter___2_6" localSheetId="11">#REF!</definedName>
    <definedName name="BuiltIn_AutoFilter___2_6">#REF!</definedName>
    <definedName name="BuiltIn_AutoFilter___2_7" localSheetId="14">#REF!</definedName>
    <definedName name="BuiltIn_AutoFilter___2_7" localSheetId="10">#REF!</definedName>
    <definedName name="BuiltIn_AutoFilter___2_7" localSheetId="11">#REF!</definedName>
    <definedName name="BuiltIn_AutoFilter___2_7">#REF!</definedName>
    <definedName name="BuiltIn_AutoFilter___2_8" localSheetId="14">#REF!</definedName>
    <definedName name="BuiltIn_AutoFilter___2_8" localSheetId="10">#REF!</definedName>
    <definedName name="BuiltIn_AutoFilter___2_8" localSheetId="11">#REF!</definedName>
    <definedName name="BuiltIn_AutoFilter___2_8">#REF!</definedName>
    <definedName name="BuiltIn_AutoFilter___2_9" localSheetId="14">#REF!</definedName>
    <definedName name="BuiltIn_AutoFilter___2_9" localSheetId="10">#REF!</definedName>
    <definedName name="BuiltIn_AutoFilter___2_9" localSheetId="11">#REF!</definedName>
    <definedName name="BuiltIn_AutoFilter___2_9">#REF!</definedName>
    <definedName name="CALL" localSheetId="14">#REF!</definedName>
    <definedName name="CALL" localSheetId="10">#REF!</definedName>
    <definedName name="CALL" localSheetId="11">#REF!</definedName>
    <definedName name="CALL">#REF!</definedName>
    <definedName name="call1" localSheetId="14">#REF!</definedName>
    <definedName name="call1" localSheetId="10">#REF!</definedName>
    <definedName name="call1" localSheetId="11">#REF!</definedName>
    <definedName name="call1">#REF!</definedName>
    <definedName name="CC" localSheetId="14">'[5]Abu Dhabi'!#REF!</definedName>
    <definedName name="CC" localSheetId="10">'[5]Abu Dhabi'!#REF!</definedName>
    <definedName name="CC" localSheetId="11">'[5]Abu Dhabi'!#REF!</definedName>
    <definedName name="CC">'[5]Abu Dhabi'!#REF!</definedName>
    <definedName name="CH.IN.EQUIT" localSheetId="14">[9]acct!#REF!</definedName>
    <definedName name="CH.IN.EQUIT" localSheetId="10">[9]acct!#REF!</definedName>
    <definedName name="CH.IN.EQUIT" localSheetId="11">[9]acct!#REF!</definedName>
    <definedName name="CH.IN.EQUIT">[9]acct!#REF!</definedName>
    <definedName name="cHECK" localSheetId="14">[9]acct!#REF!</definedName>
    <definedName name="cHECK" localSheetId="10">[9]acct!#REF!</definedName>
    <definedName name="cHECK" localSheetId="11">[9]acct!#REF!</definedName>
    <definedName name="cHECK">[9]acct!#REF!</definedName>
    <definedName name="chk" localSheetId="20">#REF!</definedName>
    <definedName name="chk" localSheetId="14">#REF!</definedName>
    <definedName name="chk" localSheetId="10">#REF!</definedName>
    <definedName name="chk" localSheetId="11">#REF!</definedName>
    <definedName name="chk">#REF!</definedName>
    <definedName name="ci" localSheetId="14">#REF!</definedName>
    <definedName name="ci" localSheetId="10">#REF!</definedName>
    <definedName name="ci" localSheetId="11">#REF!</definedName>
    <definedName name="ci">#REF!</definedName>
    <definedName name="CIs" localSheetId="14">#REF!</definedName>
    <definedName name="CIs" localSheetId="10">#REF!</definedName>
    <definedName name="CIs" localSheetId="11">#REF!</definedName>
    <definedName name="CIs">#REF!</definedName>
    <definedName name="Classified" localSheetId="14">#REF!</definedName>
    <definedName name="Classified" localSheetId="10">#REF!</definedName>
    <definedName name="Classified" localSheetId="11">#REF!</definedName>
    <definedName name="Classified">#REF!</definedName>
    <definedName name="closing" localSheetId="14">[12]BSDOMOVS!#REF!</definedName>
    <definedName name="closing" localSheetId="10">[12]BSDOMOVS!#REF!</definedName>
    <definedName name="closing" localSheetId="11">[12]BSDOMOVS!#REF!</definedName>
    <definedName name="closing">[12]BSDOMOVS!#REF!</definedName>
    <definedName name="ColorNames" localSheetId="20">#REF!</definedName>
    <definedName name="ColorNames" localSheetId="14">#REF!</definedName>
    <definedName name="ColorNames" localSheetId="10">#REF!</definedName>
    <definedName name="ColorNames" localSheetId="11">#REF!</definedName>
    <definedName name="ColorNames">#REF!</definedName>
    <definedName name="Conventions" localSheetId="14">#REF!</definedName>
    <definedName name="Conventions" localSheetId="10">#REF!</definedName>
    <definedName name="Conventions" localSheetId="11">#REF!</definedName>
    <definedName name="Conventions">#REF!</definedName>
    <definedName name="CRED" localSheetId="14">[9]acct!#REF!</definedName>
    <definedName name="CRED" localSheetId="10">[9]acct!#REF!</definedName>
    <definedName name="CRED" localSheetId="11">[9]acct!#REF!</definedName>
    <definedName name="CRED">[9]acct!#REF!</definedName>
    <definedName name="_xlnm.Criteria" localSheetId="20">#REF!</definedName>
    <definedName name="_xlnm.Criteria" localSheetId="14">#REF!</definedName>
    <definedName name="_xlnm.Criteria" localSheetId="10">#REF!</definedName>
    <definedName name="_xlnm.Criteria" localSheetId="11">#REF!</definedName>
    <definedName name="_xlnm.Criteria">#REF!</definedName>
    <definedName name="Currency" localSheetId="14">#REF!</definedName>
    <definedName name="Currency" localSheetId="10">#REF!</definedName>
    <definedName name="Currency" localSheetId="11">#REF!</definedName>
    <definedName name="Currency">#REF!</definedName>
    <definedName name="CY_lik_Equity" localSheetId="14">#REF!</definedName>
    <definedName name="CY_lik_Equity" localSheetId="10">#REF!</definedName>
    <definedName name="CY_lik_Equity" localSheetId="11">#REF!</definedName>
    <definedName name="CY_lik_Equity">#REF!</definedName>
    <definedName name="CY_lik_Income" localSheetId="14">#REF!</definedName>
    <definedName name="CY_lik_Income" localSheetId="10">#REF!</definedName>
    <definedName name="CY_lik_Income" localSheetId="11">#REF!</definedName>
    <definedName name="CY_lik_Income">#REF!</definedName>
    <definedName name="CY_lik_Liabs" localSheetId="14">#REF!</definedName>
    <definedName name="CY_lik_Liabs" localSheetId="10">#REF!</definedName>
    <definedName name="CY_lik_Liabs" localSheetId="11">#REF!</definedName>
    <definedName name="CY_lik_Liabs">#REF!</definedName>
    <definedName name="CY_lik_RetEarn_bf" localSheetId="14">#REF!</definedName>
    <definedName name="CY_lik_RetEarn_bf" localSheetId="10">#REF!</definedName>
    <definedName name="CY_lik_RetEarn_bf" localSheetId="11">#REF!</definedName>
    <definedName name="CY_lik_RetEarn_bf">#REF!</definedName>
    <definedName name="CY_tx_all_Equity" localSheetId="14">#REF!</definedName>
    <definedName name="CY_tx_all_Equity" localSheetId="10">#REF!</definedName>
    <definedName name="CY_tx_all_Equity" localSheetId="11">#REF!</definedName>
    <definedName name="CY_tx_all_Equity">#REF!</definedName>
    <definedName name="CY_tx_all_Income" localSheetId="14">#REF!</definedName>
    <definedName name="CY_tx_all_Income" localSheetId="10">#REF!</definedName>
    <definedName name="CY_tx_all_Income" localSheetId="11">#REF!</definedName>
    <definedName name="CY_tx_all_Income">#REF!</definedName>
    <definedName name="CY_tx_all_Liabs" localSheetId="14">#REF!</definedName>
    <definedName name="CY_tx_all_Liabs" localSheetId="10">#REF!</definedName>
    <definedName name="CY_tx_all_Liabs" localSheetId="11">#REF!</definedName>
    <definedName name="CY_tx_all_Liabs">#REF!</definedName>
    <definedName name="CY_tx_all_RetEarn_bf" localSheetId="14">#REF!</definedName>
    <definedName name="CY_tx_all_RetEarn_bf" localSheetId="10">#REF!</definedName>
    <definedName name="CY_tx_all_RetEarn_bf" localSheetId="11">#REF!</definedName>
    <definedName name="CY_tx_all_RetEarn_bf">#REF!</definedName>
    <definedName name="CY_tx_knw_Equity" localSheetId="14">#REF!</definedName>
    <definedName name="CY_tx_knw_Equity" localSheetId="10">#REF!</definedName>
    <definedName name="CY_tx_knw_Equity" localSheetId="11">#REF!</definedName>
    <definedName name="CY_tx_knw_Equity">#REF!</definedName>
    <definedName name="CY_tx_knw_Income" localSheetId="14">#REF!</definedName>
    <definedName name="CY_tx_knw_Income" localSheetId="10">#REF!</definedName>
    <definedName name="CY_tx_knw_Income" localSheetId="11">#REF!</definedName>
    <definedName name="CY_tx_knw_Income">#REF!</definedName>
    <definedName name="CY_tx_knw_Liabs" localSheetId="14">#REF!</definedName>
    <definedName name="CY_tx_knw_Liabs" localSheetId="10">#REF!</definedName>
    <definedName name="CY_tx_knw_Liabs" localSheetId="11">#REF!</definedName>
    <definedName name="CY_tx_knw_Liabs">#REF!</definedName>
    <definedName name="CY_tx_knw_RetEarn_bf" localSheetId="14">#REF!</definedName>
    <definedName name="CY_tx_knw_RetEarn_bf" localSheetId="10">#REF!</definedName>
    <definedName name="CY_tx_knw_RetEarn_bf" localSheetId="11">#REF!</definedName>
    <definedName name="CY_tx_knw_RetEarn_bf">#REF!</definedName>
    <definedName name="CY_tx_lik_Equity" localSheetId="14">#REF!</definedName>
    <definedName name="CY_tx_lik_Equity" localSheetId="10">#REF!</definedName>
    <definedName name="CY_tx_lik_Equity" localSheetId="11">#REF!</definedName>
    <definedName name="CY_tx_lik_Equity">#REF!</definedName>
    <definedName name="CY_tx_lik_Income" localSheetId="14">#REF!</definedName>
    <definedName name="CY_tx_lik_Income" localSheetId="10">#REF!</definedName>
    <definedName name="CY_tx_lik_Income" localSheetId="11">#REF!</definedName>
    <definedName name="CY_tx_lik_Income">#REF!</definedName>
    <definedName name="CY_tx_lik_Liabs" localSheetId="14">#REF!</definedName>
    <definedName name="CY_tx_lik_Liabs" localSheetId="10">#REF!</definedName>
    <definedName name="CY_tx_lik_Liabs" localSheetId="11">#REF!</definedName>
    <definedName name="CY_tx_lik_Liabs">#REF!</definedName>
    <definedName name="CY_tx_lik_RetEarn_bf" localSheetId="14">#REF!</definedName>
    <definedName name="CY_tx_lik_RetEarn_bf" localSheetId="10">#REF!</definedName>
    <definedName name="CY_tx_lik_RetEarn_bf" localSheetId="11">#REF!</definedName>
    <definedName name="CY_tx_lik_RetEarn_bf">#REF!</definedName>
    <definedName name="da" localSheetId="14">#REF!</definedName>
    <definedName name="da" localSheetId="10">#REF!</definedName>
    <definedName name="da" localSheetId="11">#REF!</definedName>
    <definedName name="da">#REF!</definedName>
    <definedName name="DAL_RESERVED">'Lead - 2020'!$A:$A</definedName>
    <definedName name="DALFirstRange">'Lead - 2020'!$1:$1</definedName>
    <definedName name="DALS_GrandTotal" hidden="1">'Lead - 2020'!$406:$406</definedName>
    <definedName name="DALS_Heading">'Lead - 2020'!$2:$2</definedName>
    <definedName name="Data" localSheetId="20">#REF!</definedName>
    <definedName name="Data" localSheetId="14">#REF!</definedName>
    <definedName name="Data" localSheetId="10">#REF!</definedName>
    <definedName name="Data" localSheetId="11">#REF!</definedName>
    <definedName name="Data">#REF!</definedName>
    <definedName name="_xlnm.Database" localSheetId="14">#REF!</definedName>
    <definedName name="_xlnm.Database" localSheetId="10">#REF!</definedName>
    <definedName name="_xlnm.Database" localSheetId="11">#REF!</definedName>
    <definedName name="_xlnm.Database">#REF!</definedName>
    <definedName name="DD" localSheetId="14">'[1]last qrt2001'!#REF!</definedName>
    <definedName name="DD" localSheetId="10">'[1]last qrt2001'!#REF!</definedName>
    <definedName name="DD" localSheetId="11">'[1]last qrt2001'!#REF!</definedName>
    <definedName name="DD">'[1]last qrt2001'!#REF!</definedName>
    <definedName name="DD_Curr">[13]Currency!$C$3</definedName>
    <definedName name="ddd" localSheetId="20">#REF!</definedName>
    <definedName name="ddd" localSheetId="14">#REF!</definedName>
    <definedName name="ddd" localSheetId="10">#REF!</definedName>
    <definedName name="ddd" localSheetId="11">#REF!</definedName>
    <definedName name="ddd">#REF!</definedName>
    <definedName name="dddd" localSheetId="20">'[14]BS-OVS'!#REF!</definedName>
    <definedName name="dddd" localSheetId="14">'[14]BS-OVS'!#REF!</definedName>
    <definedName name="dddd" localSheetId="10">'[14]BS-OVS'!#REF!</definedName>
    <definedName name="dddd" localSheetId="11">'[14]BS-OVS'!#REF!</definedName>
    <definedName name="dddd">'[14]BS-OVS'!#REF!</definedName>
    <definedName name="deals">[15]Main!$B$6</definedName>
    <definedName name="dEFF.LIA" localSheetId="20">[9]acct!#REF!</definedName>
    <definedName name="dEFF.LIA" localSheetId="14">[9]acct!#REF!</definedName>
    <definedName name="dEFF.LIA" localSheetId="10">[9]acct!#REF!</definedName>
    <definedName name="dEFF.LIA" localSheetId="11">[9]acct!#REF!</definedName>
    <definedName name="dEFF.LIA">[9]acct!#REF!</definedName>
    <definedName name="Description" localSheetId="20">#REF!</definedName>
    <definedName name="Description" localSheetId="14">#REF!</definedName>
    <definedName name="Description" localSheetId="10">#REF!</definedName>
    <definedName name="Description" localSheetId="11">#REF!</definedName>
    <definedName name="Description">#REF!</definedName>
    <definedName name="DiffAmtHeader">'Lead - 2020'!$O$1</definedName>
    <definedName name="Differences" localSheetId="20">#REF!</definedName>
    <definedName name="Differences" localSheetId="14">#REF!</definedName>
    <definedName name="Differences" localSheetId="10">#REF!</definedName>
    <definedName name="Differences" localSheetId="11">#REF!</definedName>
    <definedName name="Differences">#REF!</definedName>
    <definedName name="Differnces" localSheetId="20">'[16]Notes1-5'!#REF!</definedName>
    <definedName name="Differnces" localSheetId="14">'[16]Notes1-5'!#REF!</definedName>
    <definedName name="Differnces" localSheetId="10">'[16]Notes1-5'!#REF!</definedName>
    <definedName name="Differnces" localSheetId="11">'[16]Notes1-5'!#REF!</definedName>
    <definedName name="Differnces">'[16]Notes1-5'!#REF!</definedName>
    <definedName name="DiffPercentHeader">'Lead - 2020'!$N$1</definedName>
    <definedName name="DOMOVS" localSheetId="20">#REF!</definedName>
    <definedName name="DOMOVS" localSheetId="14">#REF!</definedName>
    <definedName name="DOMOVS" localSheetId="10">#REF!</definedName>
    <definedName name="DOMOVS" localSheetId="11">#REF!</definedName>
    <definedName name="DOMOVS">#REF!</definedName>
    <definedName name="dr" localSheetId="14">#REF!</definedName>
    <definedName name="dr" localSheetId="10">#REF!</definedName>
    <definedName name="dr" localSheetId="11">#REF!</definedName>
    <definedName name="dr">#REF!</definedName>
    <definedName name="dsds" localSheetId="14">'[17]Notes1-5'!#REF!</definedName>
    <definedName name="dsds" localSheetId="10">'[17]Notes1-5'!#REF!</definedName>
    <definedName name="dsds" localSheetId="11">'[17]Notes1-5'!#REF!</definedName>
    <definedName name="dsds">'[17]Notes1-5'!#REF!</definedName>
    <definedName name="dswef">[18]Links!$K$1:$K$65536</definedName>
    <definedName name="E" localSheetId="20">#REF!</definedName>
    <definedName name="E" localSheetId="14">#REF!</definedName>
    <definedName name="E" localSheetId="10">#REF!</definedName>
    <definedName name="E" localSheetId="11">#REF!</definedName>
    <definedName name="E">#REF!</definedName>
    <definedName name="End_Bal" localSheetId="14">#REF!</definedName>
    <definedName name="End_Bal" localSheetId="10">#REF!</definedName>
    <definedName name="End_Bal" localSheetId="11">#REF!</definedName>
    <definedName name="End_Bal">#REF!</definedName>
    <definedName name="EPAGE1" localSheetId="14">#REF!</definedName>
    <definedName name="EPAGE1" localSheetId="10">#REF!</definedName>
    <definedName name="EPAGE1" localSheetId="11">#REF!</definedName>
    <definedName name="EPAGE1">#REF!</definedName>
    <definedName name="Err_Add_Plus10" localSheetId="14">#REF!</definedName>
    <definedName name="Err_Add_Plus10" localSheetId="10">#REF!</definedName>
    <definedName name="Err_Add_Plus10" localSheetId="11">#REF!</definedName>
    <definedName name="Err_Add_Plus10">#REF!</definedName>
    <definedName name="Err_Box_AddSamp" localSheetId="14">#REF!</definedName>
    <definedName name="Err_Box_AddSamp" localSheetId="10">#REF!</definedName>
    <definedName name="Err_Box_AddSamp" localSheetId="11">#REF!</definedName>
    <definedName name="Err_Box_AddSamp">#REF!</definedName>
    <definedName name="Err_Box_Rej" localSheetId="14">#REF!</definedName>
    <definedName name="Err_Box_Rej" localSheetId="10">#REF!</definedName>
    <definedName name="Err_Box_Rej" localSheetId="11">#REF!</definedName>
    <definedName name="Err_Box_Rej">#REF!</definedName>
    <definedName name="Err_CellComments" localSheetId="14">#REF!</definedName>
    <definedName name="Err_CellComments" localSheetId="10">#REF!</definedName>
    <definedName name="Err_CellComments" localSheetId="11">#REF!</definedName>
    <definedName name="Err_CellComments">#REF!</definedName>
    <definedName name="Err_Date_Check" localSheetId="14">#REF!</definedName>
    <definedName name="Err_Date_Check" localSheetId="10">#REF!</definedName>
    <definedName name="Err_Date_Check" localSheetId="11">#REF!</definedName>
    <definedName name="Err_Date_Check">#REF!</definedName>
    <definedName name="Err_Date_Numb" localSheetId="14">#REF!</definedName>
    <definedName name="Err_Date_Numb" localSheetId="10">#REF!</definedName>
    <definedName name="Err_Date_Numb" localSheetId="11">#REF!</definedName>
    <definedName name="Err_Date_Numb">#REF!</definedName>
    <definedName name="Err_Date_Today" localSheetId="14">#REF!</definedName>
    <definedName name="Err_Date_Today" localSheetId="10">#REF!</definedName>
    <definedName name="Err_Date_Today" localSheetId="11">#REF!</definedName>
    <definedName name="Err_Date_Today">#REF!</definedName>
    <definedName name="Err_Empty" localSheetId="14">#REF!</definedName>
    <definedName name="Err_Empty" localSheetId="10">#REF!</definedName>
    <definedName name="Err_Empty" localSheetId="11">#REF!</definedName>
    <definedName name="Err_Empty">#REF!</definedName>
    <definedName name="Err_Eval_Blank" localSheetId="14">#REF!</definedName>
    <definedName name="Err_Eval_Blank" localSheetId="10">#REF!</definedName>
    <definedName name="Err_Eval_Blank" localSheetId="11">#REF!</definedName>
    <definedName name="Err_Eval_Blank">#REF!</definedName>
    <definedName name="Err_Fail_Verbiage" localSheetId="14">#REF!</definedName>
    <definedName name="Err_Fail_Verbiage" localSheetId="10">#REF!</definedName>
    <definedName name="Err_Fail_Verbiage" localSheetId="11">#REF!</definedName>
    <definedName name="Err_Fail_Verbiage">#REF!</definedName>
    <definedName name="Err_InfoCheck" localSheetId="14">#REF!</definedName>
    <definedName name="Err_InfoCheck" localSheetId="10">#REF!</definedName>
    <definedName name="Err_InfoCheck" localSheetId="11">#REF!</definedName>
    <definedName name="Err_InfoCheck">#REF!</definedName>
    <definedName name="Err_NotesBox" localSheetId="14">#REF!</definedName>
    <definedName name="Err_NotesBox" localSheetId="10">#REF!</definedName>
    <definedName name="Err_NotesBox" localSheetId="11">#REF!</definedName>
    <definedName name="Err_NotesBox">#REF!</definedName>
    <definedName name="Err_Rand_1" localSheetId="14">#REF!</definedName>
    <definedName name="Err_Rand_1" localSheetId="10">#REF!</definedName>
    <definedName name="Err_Rand_1" localSheetId="11">#REF!</definedName>
    <definedName name="Err_Rand_1">#REF!</definedName>
    <definedName name="Err_Random" localSheetId="14">#REF!</definedName>
    <definedName name="Err_Random" localSheetId="10">#REF!</definedName>
    <definedName name="Err_Random" localSheetId="11">#REF!</definedName>
    <definedName name="Err_Random">#REF!</definedName>
    <definedName name="Err_SampErr" localSheetId="14">#REF!</definedName>
    <definedName name="Err_SampErr" localSheetId="10">#REF!</definedName>
    <definedName name="Err_SampErr" localSheetId="11">#REF!</definedName>
    <definedName name="Err_SampErr">#REF!</definedName>
    <definedName name="Err_StopCode" localSheetId="14">#REF!</definedName>
    <definedName name="Err_StopCode" localSheetId="10">#REF!</definedName>
    <definedName name="Err_StopCode" localSheetId="11">#REF!</definedName>
    <definedName name="Err_StopCode">#REF!</definedName>
    <definedName name="Eval_btn" localSheetId="14">#REF!</definedName>
    <definedName name="Eval_btn" localSheetId="10">#REF!</definedName>
    <definedName name="Eval_btn" localSheetId="11">#REF!</definedName>
    <definedName name="Eval_btn">#REF!</definedName>
    <definedName name="Eval_btn_Ans" localSheetId="14">#REF!</definedName>
    <definedName name="Eval_btn_Ans" localSheetId="10">#REF!</definedName>
    <definedName name="Eval_btn_Ans" localSheetId="11">#REF!</definedName>
    <definedName name="Eval_btn_Ans">#REF!</definedName>
    <definedName name="Eval_MR" localSheetId="14">#REF!</definedName>
    <definedName name="Eval_MR" localSheetId="10">#REF!</definedName>
    <definedName name="Eval_MR" localSheetId="11">#REF!</definedName>
    <definedName name="Eval_MR">#REF!</definedName>
    <definedName name="Eval_Targ_T" localSheetId="14">#REF!</definedName>
    <definedName name="Eval_Targ_T" localSheetId="10">#REF!</definedName>
    <definedName name="Eval_Targ_T" localSheetId="11">#REF!</definedName>
    <definedName name="Eval_Targ_T">#REF!</definedName>
    <definedName name="Eval_Text" localSheetId="14">#REF!</definedName>
    <definedName name="Eval_Text" localSheetId="10">#REF!</definedName>
    <definedName name="Eval_Text" localSheetId="11">#REF!</definedName>
    <definedName name="Eval_Text">#REF!</definedName>
    <definedName name="Eval_TM" localSheetId="14">#REF!</definedName>
    <definedName name="Eval_TM" localSheetId="10">#REF!</definedName>
    <definedName name="Eval_TM" localSheetId="11">#REF!</definedName>
    <definedName name="Eval_TM">#REF!</definedName>
    <definedName name="Eval_TTMR" localSheetId="14">#REF!</definedName>
    <definedName name="Eval_TTMR" localSheetId="10">#REF!</definedName>
    <definedName name="Eval_TTMR" localSheetId="11">#REF!</definedName>
    <definedName name="Eval_TTMR">#REF!</definedName>
    <definedName name="Excel_BuiltIn__FilterDatabase_3" localSheetId="14">[19]Documentation!#REF!</definedName>
    <definedName name="Excel_BuiltIn__FilterDatabase_3" localSheetId="10">[19]Documentation!#REF!</definedName>
    <definedName name="Excel_BuiltIn__FilterDatabase_3" localSheetId="11">[19]Documentation!#REF!</definedName>
    <definedName name="Excel_BuiltIn__FilterDatabase_3">[19]Documentation!#REF!</definedName>
    <definedName name="Excel_BuiltIn__FilterDatabase_7_1" localSheetId="20">#REF!</definedName>
    <definedName name="Excel_BuiltIn__FilterDatabase_7_1" localSheetId="14">#REF!</definedName>
    <definedName name="Excel_BuiltIn__FilterDatabase_7_1" localSheetId="10">#REF!</definedName>
    <definedName name="Excel_BuiltIn__FilterDatabase_7_1" localSheetId="11">#REF!</definedName>
    <definedName name="Excel_BuiltIn__FilterDatabase_7_1">#REF!</definedName>
    <definedName name="Excel_BuiltIn__FilterDatabase_7_1_1" localSheetId="14">#REF!</definedName>
    <definedName name="Excel_BuiltIn__FilterDatabase_7_1_1" localSheetId="10">#REF!</definedName>
    <definedName name="Excel_BuiltIn__FilterDatabase_7_1_1" localSheetId="11">#REF!</definedName>
    <definedName name="Excel_BuiltIn__FilterDatabase_7_1_1">#REF!</definedName>
    <definedName name="Excel_BuiltIn_Print_Area_3_1">'[20]MTM TB'!$A$1:$S$63</definedName>
    <definedName name="Excel_BuiltIn_Print_Area_3_1_1">'[20]MTM TB'!$A$1:$S$50</definedName>
    <definedName name="EXP" localSheetId="20">#REF!</definedName>
    <definedName name="EXP" localSheetId="14">#REF!</definedName>
    <definedName name="EXP" localSheetId="10">#REF!</definedName>
    <definedName name="EXP" localSheetId="11">#REF!</definedName>
    <definedName name="EXP">#REF!</definedName>
    <definedName name="Extra_Pay" localSheetId="14">#REF!</definedName>
    <definedName name="Extra_Pay" localSheetId="10">#REF!</definedName>
    <definedName name="Extra_Pay" localSheetId="11">#REF!</definedName>
    <definedName name="Extra_Pay">#REF!</definedName>
    <definedName name="f_name">'[21]A-C CODE &amp; NAME'!$B$1:$C$193</definedName>
    <definedName name="FA" localSheetId="20">[9]acct!#REF!</definedName>
    <definedName name="FA" localSheetId="14">[9]acct!#REF!</definedName>
    <definedName name="FA" localSheetId="10">[9]acct!#REF!</definedName>
    <definedName name="FA" localSheetId="11">[9]acct!#REF!</definedName>
    <definedName name="FA">[9]acct!#REF!</definedName>
    <definedName name="FDE" localSheetId="20">'[22]Notes1-5'!#REF!</definedName>
    <definedName name="FDE" localSheetId="14">'[22]Notes1-5'!#REF!</definedName>
    <definedName name="FDE" localSheetId="10">'[22]Notes1-5'!#REF!</definedName>
    <definedName name="FDE" localSheetId="11">'[22]Notes1-5'!#REF!</definedName>
    <definedName name="FDE">'[22]Notes1-5'!#REF!</definedName>
    <definedName name="fg" localSheetId="20">#REF!</definedName>
    <definedName name="fg" localSheetId="14">#REF!</definedName>
    <definedName name="fg" localSheetId="10">#REF!</definedName>
    <definedName name="fg" localSheetId="11">#REF!</definedName>
    <definedName name="fg">#REF!</definedName>
    <definedName name="FIBREPO" localSheetId="14">#REF!</definedName>
    <definedName name="FIBREPO" localSheetId="10">#REF!</definedName>
    <definedName name="FIBREPO" localSheetId="11">#REF!</definedName>
    <definedName name="FIBREPO">#REF!</definedName>
    <definedName name="FIBWON" localSheetId="14">#REF!</definedName>
    <definedName name="FIBWON" localSheetId="10">#REF!</definedName>
    <definedName name="FIBWON" localSheetId="11">#REF!</definedName>
    <definedName name="FIBWON">#REF!</definedName>
    <definedName name="FINASSET" localSheetId="14">[9]acct!#REF!</definedName>
    <definedName name="FINASSET" localSheetId="10">[9]acct!#REF!</definedName>
    <definedName name="FINASSET" localSheetId="11">[9]acct!#REF!</definedName>
    <definedName name="FINASSET">[9]acct!#REF!</definedName>
    <definedName name="FORM" localSheetId="20">#REF!</definedName>
    <definedName name="FORM" localSheetId="14">#REF!</definedName>
    <definedName name="FORM" localSheetId="10">#REF!</definedName>
    <definedName name="FORM" localSheetId="11">#REF!</definedName>
    <definedName name="FORM">#REF!</definedName>
    <definedName name="FP_EU_0206__00246_04" localSheetId="14">#REF!</definedName>
    <definedName name="FP_EU_0206__00246_04" localSheetId="10">#REF!</definedName>
    <definedName name="FP_EU_0206__00246_04" localSheetId="11">#REF!</definedName>
    <definedName name="FP_EU_0206__00246_04">#REF!</definedName>
    <definedName name="FSA" localSheetId="14">#REF!</definedName>
    <definedName name="FSA" localSheetId="10">#REF!</definedName>
    <definedName name="FSA" localSheetId="11">#REF!</definedName>
    <definedName name="FSA">#REF!</definedName>
    <definedName name="Full_Print" localSheetId="14">#REF!</definedName>
    <definedName name="Full_Print" localSheetId="10">#REF!</definedName>
    <definedName name="Full_Print" localSheetId="11">#REF!</definedName>
    <definedName name="Full_Print">#REF!</definedName>
    <definedName name="G" localSheetId="14">#REF!</definedName>
    <definedName name="G" localSheetId="10">#REF!</definedName>
    <definedName name="G" localSheetId="11">#REF!</definedName>
    <definedName name="G">#REF!</definedName>
    <definedName name="Header_Row" localSheetId="14">ROW(#REF!)</definedName>
    <definedName name="Header_Row" localSheetId="10">ROW(#REF!)</definedName>
    <definedName name="Header_Row" localSheetId="11">ROW(#REF!)</definedName>
    <definedName name="Header_Row">ROW(#REF!)</definedName>
    <definedName name="HTML_CodePage" hidden="1">1252</definedName>
    <definedName name="HTML_Control" localSheetId="20" hidden="1">{"'CALL MONEY'!$K$53"}</definedName>
    <definedName name="HTML_Control" hidden="1">{"'CALL MONEY'!$K$53"}</definedName>
    <definedName name="HTML_Description" hidden="1">""</definedName>
    <definedName name="HTML_Email" hidden="1">""</definedName>
    <definedName name="HTML_Header" hidden="1">"CALL MONEY"</definedName>
    <definedName name="HTML_LastUpdate" hidden="1">"27/11/02"</definedName>
    <definedName name="HTML_LineAfter" hidden="1">FALSE</definedName>
    <definedName name="HTML_LineBefore" hidden="1">FALSE</definedName>
    <definedName name="HTML_Name" hidden="1">"Sana"</definedName>
    <definedName name="HTML_OBDlg2" hidden="1">TRUE</definedName>
    <definedName name="HTML_OBDlg4" hidden="1">TRUE</definedName>
    <definedName name="HTML_OS" hidden="1">0</definedName>
    <definedName name="HTML_PathFile" hidden="1">"C:\My Documents\MyHTML.htm"</definedName>
    <definedName name="HTML_Title" hidden="1">"HOLDING 27-11-2002"</definedName>
    <definedName name="I" localSheetId="20">#REF!</definedName>
    <definedName name="I" localSheetId="14">#REF!</definedName>
    <definedName name="I" localSheetId="10">#REF!</definedName>
    <definedName name="I" localSheetId="11">#REF!</definedName>
    <definedName name="I">#REF!</definedName>
    <definedName name="INC" localSheetId="14">#REF!</definedName>
    <definedName name="INC" localSheetId="10">#REF!</definedName>
    <definedName name="INC" localSheetId="11">#REF!</definedName>
    <definedName name="INC">#REF!</definedName>
    <definedName name="incomeretfc" localSheetId="14">#REF!</definedName>
    <definedName name="incomeretfc" localSheetId="10">#REF!</definedName>
    <definedName name="incomeretfc" localSheetId="11">#REF!</definedName>
    <definedName name="incomeretfc">#REF!</definedName>
    <definedName name="IncomeStatementDates" localSheetId="14">#REF!</definedName>
    <definedName name="IncomeStatementDates" localSheetId="10">#REF!</definedName>
    <definedName name="IncomeStatementDates" localSheetId="11">#REF!</definedName>
    <definedName name="IncomeStatementDates">#REF!</definedName>
    <definedName name="Int" localSheetId="14">#REF!</definedName>
    <definedName name="Int" localSheetId="10">#REF!</definedName>
    <definedName name="Int" localSheetId="11">#REF!</definedName>
    <definedName name="Int">#REF!</definedName>
    <definedName name="Interest_Rate" localSheetId="14">#REF!</definedName>
    <definedName name="Interest_Rate" localSheetId="10">#REF!</definedName>
    <definedName name="Interest_Rate" localSheetId="11">#REF!</definedName>
    <definedName name="Interest_Rate">#REF!</definedName>
    <definedName name="INVEST" localSheetId="20">[9]acct!#REF!</definedName>
    <definedName name="INVEST" localSheetId="14">[9]acct!#REF!</definedName>
    <definedName name="INVEST" localSheetId="10">[9]acct!#REF!</definedName>
    <definedName name="INVEST" localSheetId="11">[9]acct!#REF!</definedName>
    <definedName name="INVEST">[9]acct!#REF!</definedName>
    <definedName name="IPAGE1" localSheetId="20">#REF!</definedName>
    <definedName name="IPAGE1" localSheetId="14">#REF!</definedName>
    <definedName name="IPAGE1" localSheetId="10">#REF!</definedName>
    <definedName name="IPAGE1" localSheetId="11">#REF!</definedName>
    <definedName name="IPAGE1">#REF!</definedName>
    <definedName name="iqbal" localSheetId="20">[23]Sheet2!#REF!</definedName>
    <definedName name="iqbal" localSheetId="14">[23]Sheet2!#REF!</definedName>
    <definedName name="iqbal" localSheetId="10">[23]Sheet2!#REF!</definedName>
    <definedName name="iqbal" localSheetId="11">[23]Sheet2!#REF!</definedName>
    <definedName name="iqbal">[23]Sheet2!#REF!</definedName>
    <definedName name="J" localSheetId="20">#REF!</definedName>
    <definedName name="J" localSheetId="14">#REF!</definedName>
    <definedName name="J" localSheetId="10">#REF!</definedName>
    <definedName name="J" localSheetId="11">#REF!</definedName>
    <definedName name="J">#REF!</definedName>
    <definedName name="jak" localSheetId="14">#REF!</definedName>
    <definedName name="jak" localSheetId="10">#REF!</definedName>
    <definedName name="jak" localSheetId="11">#REF!</definedName>
    <definedName name="jak">#REF!</definedName>
    <definedName name="kkk" localSheetId="14">#REF!</definedName>
    <definedName name="kkk" localSheetId="10">#REF!</definedName>
    <definedName name="kkk" localSheetId="11">#REF!</definedName>
    <definedName name="kkk">#REF!</definedName>
    <definedName name="L" localSheetId="14">#REF!</definedName>
    <definedName name="L" localSheetId="10">#REF!</definedName>
    <definedName name="L" localSheetId="11">#REF!</definedName>
    <definedName name="L">#REF!</definedName>
    <definedName name="L_Adjust">[24]Links!$H:$H</definedName>
    <definedName name="L_AJE_Tot">[24]Links!$G:$G</definedName>
    <definedName name="L_CY_Beg">[24]Links!$F:$F</definedName>
    <definedName name="L_CY_End">[24]Links!$J:$J</definedName>
    <definedName name="L_PY_End">[24]Links!$K:$K</definedName>
    <definedName name="L_RJE_Tot">[24]Links!$I:$I</definedName>
    <definedName name="Last_Row" localSheetId="20">IF('17.1 (2)'!Values_Entered,Header_Row+'17.1 (2)'!Number_of_Payments,Header_Row)</definedName>
    <definedName name="Last_Row" localSheetId="14">IF('18'!Values_Entered,'18'!Header_Row+'18'!Number_of_Payments,'18'!Header_Row)</definedName>
    <definedName name="Last_Row" localSheetId="10">IF('5.3'!Values_Entered,'5.3'!Header_Row+'5.3'!Number_of_Payments,'5.3'!Header_Row)</definedName>
    <definedName name="Last_Row" localSheetId="11">IF('5.4'!Values_Entered,'5.4'!Header_Row+'5.4'!Number_of_Payments,'5.4'!Header_Row)</definedName>
    <definedName name="Last_Row">IF(Values_Entered,Header_Row+Number_of_Payments,Header_Row)</definedName>
    <definedName name="LIAB1" localSheetId="20">#REF!</definedName>
    <definedName name="LIAB1" localSheetId="14">#REF!</definedName>
    <definedName name="LIAB1" localSheetId="10">#REF!</definedName>
    <definedName name="LIAB1" localSheetId="11">#REF!</definedName>
    <definedName name="LIAB1">#REF!</definedName>
    <definedName name="LIAB2" localSheetId="14">#REF!</definedName>
    <definedName name="LIAB2" localSheetId="10">#REF!</definedName>
    <definedName name="LIAB2" localSheetId="11">#REF!</definedName>
    <definedName name="LIAB2">#REF!</definedName>
    <definedName name="LIAB3" localSheetId="14">#REF!</definedName>
    <definedName name="LIAB3" localSheetId="10">#REF!</definedName>
    <definedName name="LIAB3" localSheetId="11">#REF!</definedName>
    <definedName name="LIAB3">#REF!</definedName>
    <definedName name="LIAB4" localSheetId="14">#REF!</definedName>
    <definedName name="LIAB4" localSheetId="10">#REF!</definedName>
    <definedName name="LIAB4" localSheetId="11">#REF!</definedName>
    <definedName name="LIAB4">#REF!</definedName>
    <definedName name="LIBAST" localSheetId="14">#REF!</definedName>
    <definedName name="LIBAST" localSheetId="10">#REF!</definedName>
    <definedName name="LIBAST" localSheetId="11">#REF!</definedName>
    <definedName name="LIBAST">#REF!</definedName>
    <definedName name="List_Curr">[13]Currency!$B$9:$B$31</definedName>
    <definedName name="List_Level_Assr">[13]DropDown!$B$1:$B$4</definedName>
    <definedName name="List_Proj_Meth">[13]DropDown!$H$1:$H$2</definedName>
    <definedName name="List_Samp_Sel">[13]DropDown!$D$1:$D$4</definedName>
    <definedName name="Loan_Amount" localSheetId="20">#REF!</definedName>
    <definedName name="Loan_Amount" localSheetId="14">#REF!</definedName>
    <definedName name="Loan_Amount" localSheetId="10">#REF!</definedName>
    <definedName name="Loan_Amount" localSheetId="11">#REF!</definedName>
    <definedName name="Loan_Amount">#REF!</definedName>
    <definedName name="Loan_Start" localSheetId="14">#REF!</definedName>
    <definedName name="Loan_Start" localSheetId="10">#REF!</definedName>
    <definedName name="Loan_Start" localSheetId="11">#REF!</definedName>
    <definedName name="Loan_Start">#REF!</definedName>
    <definedName name="Loan_Years" localSheetId="14">#REF!</definedName>
    <definedName name="Loan_Years" localSheetId="10">#REF!</definedName>
    <definedName name="Loan_Years" localSheetId="11">#REF!</definedName>
    <definedName name="Loan_Years">#REF!</definedName>
    <definedName name="LOANS" localSheetId="14">[9]acct!#REF!</definedName>
    <definedName name="LOANS" localSheetId="10">[9]acct!#REF!</definedName>
    <definedName name="LOANS" localSheetId="11">[9]acct!#REF!</definedName>
    <definedName name="LOANS">[9]acct!#REF!</definedName>
    <definedName name="LPAGE1" localSheetId="20">#REF!</definedName>
    <definedName name="LPAGE1" localSheetId="14">#REF!</definedName>
    <definedName name="LPAGE1" localSheetId="10">#REF!</definedName>
    <definedName name="LPAGE1" localSheetId="11">#REF!</definedName>
    <definedName name="LPAGE1">#REF!</definedName>
    <definedName name="LPAGE2" localSheetId="14">#REF!</definedName>
    <definedName name="LPAGE2" localSheetId="10">#REF!</definedName>
    <definedName name="LPAGE2" localSheetId="11">#REF!</definedName>
    <definedName name="LPAGE2">#REF!</definedName>
    <definedName name="LPAGE3" localSheetId="14">#REF!</definedName>
    <definedName name="LPAGE3" localSheetId="10">#REF!</definedName>
    <definedName name="LPAGE3" localSheetId="11">#REF!</definedName>
    <definedName name="LPAGE3">#REF!</definedName>
    <definedName name="LPAGE4" localSheetId="14">#REF!</definedName>
    <definedName name="LPAGE4" localSheetId="10">#REF!</definedName>
    <definedName name="LPAGE4" localSheetId="11">#REF!</definedName>
    <definedName name="LPAGE4">#REF!</definedName>
    <definedName name="M" localSheetId="14">#REF!</definedName>
    <definedName name="M" localSheetId="10">#REF!</definedName>
    <definedName name="M" localSheetId="11">#REF!</definedName>
    <definedName name="M">#REF!</definedName>
    <definedName name="main" localSheetId="14">#REF!</definedName>
    <definedName name="main" localSheetId="10">#REF!</definedName>
    <definedName name="main" localSheetId="11">#REF!</definedName>
    <definedName name="main">#REF!</definedName>
    <definedName name="Mansoor" localSheetId="14">#REF!</definedName>
    <definedName name="Mansoor" localSheetId="10">#REF!</definedName>
    <definedName name="Mansoor" localSheetId="11">#REF!</definedName>
    <definedName name="Mansoor">#REF!</definedName>
    <definedName name="masroor" localSheetId="14">#REF!</definedName>
    <definedName name="masroor" localSheetId="10">#REF!</definedName>
    <definedName name="masroor" localSheetId="11">#REF!</definedName>
    <definedName name="masroor">#REF!</definedName>
    <definedName name="Materiality" localSheetId="14">#REF!</definedName>
    <definedName name="Materiality" localSheetId="10">#REF!</definedName>
    <definedName name="Materiality" localSheetId="11">#REF!</definedName>
    <definedName name="Materiality">#REF!</definedName>
    <definedName name="Mis_Def" localSheetId="14">#REF!</definedName>
    <definedName name="Mis_Def" localSheetId="10">#REF!</definedName>
    <definedName name="Mis_Def" localSheetId="11">#REF!</definedName>
    <definedName name="Mis_Def">#REF!</definedName>
    <definedName name="MLNTREGISTER" localSheetId="14">#REF!</definedName>
    <definedName name="MLNTREGISTER" localSheetId="10">#REF!</definedName>
    <definedName name="MLNTREGISTER" localSheetId="11">#REF!</definedName>
    <definedName name="MLNTREGISTER">#REF!</definedName>
    <definedName name="Monetary_Precision" localSheetId="14">#REF!</definedName>
    <definedName name="Monetary_Precision" localSheetId="10">#REF!</definedName>
    <definedName name="Monetary_Precision" localSheetId="11">#REF!</definedName>
    <definedName name="Monetary_Precision">#REF!</definedName>
    <definedName name="movement" localSheetId="14">#REF!</definedName>
    <definedName name="movement" localSheetId="10">#REF!</definedName>
    <definedName name="movement" localSheetId="11">#REF!</definedName>
    <definedName name="movement">#REF!</definedName>
    <definedName name="N" localSheetId="14">#REF!</definedName>
    <definedName name="N" localSheetId="10">#REF!</definedName>
    <definedName name="N" localSheetId="11">#REF!</definedName>
    <definedName name="N">#REF!</definedName>
    <definedName name="NAME" localSheetId="14">'[25]INDTAX 2002-2003'!#REF!</definedName>
    <definedName name="NAME" localSheetId="10">'[25]INDTAX 2002-2003'!#REF!</definedName>
    <definedName name="NAME" localSheetId="11">'[25]INDTAX 2002-2003'!#REF!</definedName>
    <definedName name="NAME">'[25]INDTAX 2002-2003'!#REF!</definedName>
    <definedName name="new" localSheetId="20">#REF!</definedName>
    <definedName name="new" localSheetId="14">#REF!</definedName>
    <definedName name="new" localSheetId="10">#REF!</definedName>
    <definedName name="new" localSheetId="11">#REF!</definedName>
    <definedName name="new">#REF!</definedName>
    <definedName name="Note58" localSheetId="20">'[14]BS-OVS'!#REF!</definedName>
    <definedName name="Note58" localSheetId="14">'[14]BS-OVS'!#REF!</definedName>
    <definedName name="Note58" localSheetId="10">'[14]BS-OVS'!#REF!</definedName>
    <definedName name="Note58" localSheetId="11">'[14]BS-OVS'!#REF!</definedName>
    <definedName name="Note58">'[14]BS-OVS'!#REF!</definedName>
    <definedName name="npl" localSheetId="20">#REF!</definedName>
    <definedName name="npl" localSheetId="14">#REF!</definedName>
    <definedName name="npl" localSheetId="10">#REF!</definedName>
    <definedName name="npl" localSheetId="11">#REF!</definedName>
    <definedName name="npl">#REF!</definedName>
    <definedName name="nplsum" localSheetId="14">#REF!</definedName>
    <definedName name="nplsum" localSheetId="10">#REF!</definedName>
    <definedName name="nplsum" localSheetId="11">#REF!</definedName>
    <definedName name="nplsum">#REF!</definedName>
    <definedName name="Num_Pmt_Per_Year" localSheetId="14">#REF!</definedName>
    <definedName name="Num_Pmt_Per_Year" localSheetId="10">#REF!</definedName>
    <definedName name="Num_Pmt_Per_Year" localSheetId="11">#REF!</definedName>
    <definedName name="Num_Pmt_Per_Year">#REF!</definedName>
    <definedName name="Number_of_Payments" localSheetId="20">MATCH(0.01,End_Bal,-1)+1</definedName>
    <definedName name="Number_of_Payments" localSheetId="14">MATCH(0.01,'18'!End_Bal,-1)+1</definedName>
    <definedName name="Number_of_Payments" localSheetId="10">MATCH(0.01,'5.3'!End_Bal,-1)+1</definedName>
    <definedName name="Number_of_Payments" localSheetId="11">MATCH(0.01,'5.4'!End_Bal,-1)+1</definedName>
    <definedName name="Number_of_Payments">MATCH(0.01,End_Bal,-1)+1</definedName>
    <definedName name="Number_of_Selections" localSheetId="20">#REF!</definedName>
    <definedName name="Number_of_Selections" localSheetId="14">#REF!</definedName>
    <definedName name="Number_of_Selections" localSheetId="10">#REF!</definedName>
    <definedName name="Number_of_Selections" localSheetId="11">#REF!</definedName>
    <definedName name="Number_of_Selections">#REF!</definedName>
    <definedName name="Numof_Selections2" localSheetId="14">#REF!</definedName>
    <definedName name="Numof_Selections2" localSheetId="10">#REF!</definedName>
    <definedName name="Numof_Selections2" localSheetId="11">#REF!</definedName>
    <definedName name="Numof_Selections2">#REF!</definedName>
    <definedName name="O" localSheetId="14">#REF!</definedName>
    <definedName name="O" localSheetId="10">#REF!</definedName>
    <definedName name="O" localSheetId="11">#REF!</definedName>
    <definedName name="O">#REF!</definedName>
    <definedName name="olk" localSheetId="14">#REF!</definedName>
    <definedName name="olk" localSheetId="10">#REF!</definedName>
    <definedName name="olk" localSheetId="11">#REF!</definedName>
    <definedName name="olk">#REF!</definedName>
    <definedName name="OSAL" localSheetId="14">#REF!</definedName>
    <definedName name="OSAL" localSheetId="10">#REF!</definedName>
    <definedName name="OSAL" localSheetId="11">#REF!</definedName>
    <definedName name="OSAL">#REF!</definedName>
    <definedName name="OVER" localSheetId="14">#REF!</definedName>
    <definedName name="OVER" localSheetId="10">#REF!</definedName>
    <definedName name="OVER" localSheetId="11">#REF!</definedName>
    <definedName name="OVER">#REF!</definedName>
    <definedName name="P" localSheetId="14">#REF!</definedName>
    <definedName name="P" localSheetId="10">#REF!</definedName>
    <definedName name="P" localSheetId="11">#REF!</definedName>
    <definedName name="P">#REF!</definedName>
    <definedName name="PAGE2" localSheetId="14">#REF!</definedName>
    <definedName name="PAGE2" localSheetId="10">#REF!</definedName>
    <definedName name="PAGE2" localSheetId="11">#REF!</definedName>
    <definedName name="PAGE2">#REF!</definedName>
    <definedName name="Pattern" localSheetId="20" hidden="1">{"'CALL MONEY'!$K$53"}</definedName>
    <definedName name="Pattern" hidden="1">{"'CALL MONEY'!$K$53"}</definedName>
    <definedName name="Pay_Date" localSheetId="14">#REF!</definedName>
    <definedName name="Pay_Date" localSheetId="10">#REF!</definedName>
    <definedName name="Pay_Date" localSheetId="11">#REF!</definedName>
    <definedName name="Pay_Date">#REF!</definedName>
    <definedName name="Pay_Num" localSheetId="14">#REF!</definedName>
    <definedName name="Pay_Num" localSheetId="10">#REF!</definedName>
    <definedName name="Pay_Num" localSheetId="11">#REF!</definedName>
    <definedName name="Pay_Num">#REF!</definedName>
    <definedName name="Payment_Date" localSheetId="20">DATE(YEAR(Loan_Start),MONTH(Loan_Start)+Payment_Number,DAY(Loan_Start))</definedName>
    <definedName name="Payment_Date" localSheetId="14">DATE(YEAR('18'!Loan_Start),MONTH('18'!Loan_Start)+Payment_Number,DAY('18'!Loan_Start))</definedName>
    <definedName name="Payment_Date" localSheetId="10">DATE(YEAR('5.3'!Loan_Start),MONTH('5.3'!Loan_Start)+Payment_Number,DAY('5.3'!Loan_Start))</definedName>
    <definedName name="Payment_Date" localSheetId="11">DATE(YEAR('5.4'!Loan_Start),MONTH('5.4'!Loan_Start)+Payment_Number,DAY('5.4'!Loan_Start))</definedName>
    <definedName name="Payment_Date">DATE(YEAR(Loan_Start),MONTH(Loan_Start)+Payment_Number,DAY(Loan_Start))</definedName>
    <definedName name="PKRV1">[26]PKRV!$B$1:$C$65536</definedName>
    <definedName name="Pop_AC" localSheetId="20">#REF!</definedName>
    <definedName name="Pop_AC" localSheetId="14">#REF!</definedName>
    <definedName name="Pop_AC" localSheetId="10">#REF!</definedName>
    <definedName name="Pop_AC" localSheetId="11">#REF!</definedName>
    <definedName name="Pop_AC">#REF!</definedName>
    <definedName name="Pop_Acc_Comp" localSheetId="14">#REF!</definedName>
    <definedName name="Pop_Acc_Comp" localSheetId="10">#REF!</definedName>
    <definedName name="Pop_Acc_Comp" localSheetId="11">#REF!</definedName>
    <definedName name="Pop_Acc_Comp">#REF!</definedName>
    <definedName name="Pop_Def" localSheetId="14">#REF!</definedName>
    <definedName name="Pop_Def" localSheetId="10">#REF!</definedName>
    <definedName name="Pop_Def" localSheetId="11">#REF!</definedName>
    <definedName name="Pop_Def">#REF!</definedName>
    <definedName name="Pop_Imm_Def" localSheetId="14">#REF!</definedName>
    <definedName name="Pop_Imm_Def" localSheetId="10">#REF!</definedName>
    <definedName name="Pop_Imm_Def" localSheetId="11">#REF!</definedName>
    <definedName name="Pop_Imm_Def">#REF!</definedName>
    <definedName name="Pop_Imm_It" localSheetId="14">#REF!</definedName>
    <definedName name="Pop_Imm_It" localSheetId="10">#REF!</definedName>
    <definedName name="Pop_Imm_It" localSheetId="11">#REF!</definedName>
    <definedName name="Pop_Imm_It">#REF!</definedName>
    <definedName name="Pop_Imm_T" localSheetId="14">#REF!</definedName>
    <definedName name="Pop_Imm_T" localSheetId="10">#REF!</definedName>
    <definedName name="Pop_Imm_T" localSheetId="11">#REF!</definedName>
    <definedName name="Pop_Imm_T">#REF!</definedName>
    <definedName name="Pop_Samp_It" localSheetId="14">#REF!</definedName>
    <definedName name="Pop_Samp_It" localSheetId="10">#REF!</definedName>
    <definedName name="Pop_Samp_It" localSheetId="11">#REF!</definedName>
    <definedName name="Pop_Samp_It">#REF!</definedName>
    <definedName name="Pop_Samp_T" localSheetId="14">#REF!</definedName>
    <definedName name="Pop_Samp_T" localSheetId="10">#REF!</definedName>
    <definedName name="Pop_Samp_T" localSheetId="11">#REF!</definedName>
    <definedName name="Pop_Samp_T">#REF!</definedName>
    <definedName name="Pop_Sig_Def" localSheetId="14">#REF!</definedName>
    <definedName name="Pop_Sig_Def" localSheetId="10">#REF!</definedName>
    <definedName name="Pop_Sig_Def" localSheetId="11">#REF!</definedName>
    <definedName name="Pop_Sig_Def">#REF!</definedName>
    <definedName name="Pop_Sig_It" localSheetId="14">#REF!</definedName>
    <definedName name="Pop_Sig_It" localSheetId="10">#REF!</definedName>
    <definedName name="Pop_Sig_It" localSheetId="11">#REF!</definedName>
    <definedName name="Pop_Sig_It">#REF!</definedName>
    <definedName name="Pop_Sig_T" localSheetId="14">#REF!</definedName>
    <definedName name="Pop_Sig_T" localSheetId="10">#REF!</definedName>
    <definedName name="Pop_Sig_T" localSheetId="11">#REF!</definedName>
    <definedName name="Pop_Sig_T">#REF!</definedName>
    <definedName name="Pop_SU" localSheetId="14">#REF!</definedName>
    <definedName name="Pop_SU" localSheetId="10">#REF!</definedName>
    <definedName name="Pop_SU" localSheetId="11">#REF!</definedName>
    <definedName name="Pop_SU">#REF!</definedName>
    <definedName name="PP" localSheetId="14">#REF!</definedName>
    <definedName name="PP" localSheetId="10">#REF!</definedName>
    <definedName name="PP" localSheetId="11">#REF!</definedName>
    <definedName name="PP">#REF!</definedName>
    <definedName name="Pre_tax_materiality" localSheetId="14">#REF!</definedName>
    <definedName name="Pre_tax_materiality" localSheetId="10">#REF!</definedName>
    <definedName name="Pre_tax_materiality" localSheetId="11">#REF!</definedName>
    <definedName name="Pre_tax_materiality">#REF!</definedName>
    <definedName name="PRELIM_TM">'Lead - 2020'!$G:$G</definedName>
    <definedName name="PRELIM_TM2">'Lead - 2020'!$L:$L</definedName>
    <definedName name="Princ" localSheetId="20">#REF!</definedName>
    <definedName name="Princ" localSheetId="14">#REF!</definedName>
    <definedName name="Princ" localSheetId="10">#REF!</definedName>
    <definedName name="Princ" localSheetId="11">#REF!</definedName>
    <definedName name="Princ">#REF!</definedName>
    <definedName name="_xlnm.Print_Area" localSheetId="6">'1 - 4.2'!$A$1:$I$137</definedName>
    <definedName name="_xlnm.Print_Area" localSheetId="13">'17.1'!$A$1:$M$45</definedName>
    <definedName name="_xlnm.Print_Area" localSheetId="20">'17.1 (2)'!$A$1:$M$49</definedName>
    <definedName name="_xlnm.Print_Area" localSheetId="14">'18'!$A$1:$P$88</definedName>
    <definedName name="_xlnm.Print_Area" localSheetId="15">'19 - 19.1.2'!$A$1:$J$139</definedName>
    <definedName name="_xlnm.Print_Area" localSheetId="16">'19.1.3 - 19.3'!$A$1:$P$162</definedName>
    <definedName name="_xlnm.Print_Area" localSheetId="7">'5 - 5.1.2'!$A$1:$M$99</definedName>
    <definedName name="_xlnm.Print_Area" localSheetId="8">'5.1.2.1 - 5.1.7'!$A$1:$L$136</definedName>
    <definedName name="_xlnm.Print_Area" localSheetId="12">'5.2 - 25'!$A$1:$L$482</definedName>
    <definedName name="_xlnm.Print_Area" localSheetId="9">'5.2 - 5.3'!$A$1:$N$80</definedName>
    <definedName name="_xlnm.Print_Area" localSheetId="10">'5.3'!$A$1:$M$125</definedName>
    <definedName name="_xlnm.Print_Area" localSheetId="11">'5.4'!$A$1:$L$78</definedName>
    <definedName name="_xlnm.Print_Area" localSheetId="5">Cashflow!$A$1:$H$65</definedName>
    <definedName name="_xlnm.Print_Area" localSheetId="2">IS!$A$1:$H$80</definedName>
    <definedName name="_xlnm.Print_Area" localSheetId="0">SOAL!$A$1:$H$60</definedName>
    <definedName name="_xlnm.Print_Area" localSheetId="3">SOCI!$A$1:$H$31</definedName>
    <definedName name="_xlnm.Print_Area" localSheetId="4">'UHF New'!$A$1:$K$85</definedName>
    <definedName name="_xlnm.Print_Area">[3]Sheet4!$A$421:$Q$523</definedName>
    <definedName name="PRINT_AREA_MI">[3]Sheet4!$A$421:$Q$523</definedName>
    <definedName name="Print_Area_Reset" localSheetId="20">OFFSET(Full_Print,0,0,[27]!Last_Row)</definedName>
    <definedName name="Print_Area_Reset" localSheetId="14">OFFSET('18'!Full_Print,0,0,[27]!Last_Row)</definedName>
    <definedName name="Print_Area_Reset" localSheetId="10">OFFSET('5.3'!Full_Print,0,0,[27]!Last_Row)</definedName>
    <definedName name="Print_Area_Reset" localSheetId="11">OFFSET('5.4'!Full_Print,0,0,[27]!Last_Row)</definedName>
    <definedName name="Print_Area_Reset">OFFSET(Full_Print,0,0,[27]!Last_Row)</definedName>
    <definedName name="PROFIT1" localSheetId="20">#REF!</definedName>
    <definedName name="PROFIT1" localSheetId="14">#REF!</definedName>
    <definedName name="PROFIT1" localSheetId="10">#REF!</definedName>
    <definedName name="PROFIT1" localSheetId="11">#REF!</definedName>
    <definedName name="PROFIT1">#REF!</definedName>
    <definedName name="PROFIT2" localSheetId="14">#REF!</definedName>
    <definedName name="PROFIT2" localSheetId="10">#REF!</definedName>
    <definedName name="PROFIT2" localSheetId="11">#REF!</definedName>
    <definedName name="PROFIT2">#REF!</definedName>
    <definedName name="Proj_Meth" localSheetId="14">#REF!</definedName>
    <definedName name="Proj_Meth" localSheetId="10">#REF!</definedName>
    <definedName name="Proj_Meth" localSheetId="11">#REF!</definedName>
    <definedName name="Proj_Meth">#REF!</definedName>
    <definedName name="provisiondet" localSheetId="14">#REF!</definedName>
    <definedName name="provisiondet" localSheetId="10">#REF!</definedName>
    <definedName name="provisiondet" localSheetId="11">#REF!</definedName>
    <definedName name="provisiondet">#REF!</definedName>
    <definedName name="PY_all_Equity" localSheetId="14">#REF!</definedName>
    <definedName name="PY_all_Equity" localSheetId="10">#REF!</definedName>
    <definedName name="PY_all_Equity" localSheetId="11">#REF!</definedName>
    <definedName name="PY_all_Equity">#REF!</definedName>
    <definedName name="PY_all_Income" localSheetId="14">#REF!</definedName>
    <definedName name="PY_all_Income" localSheetId="10">#REF!</definedName>
    <definedName name="PY_all_Income" localSheetId="11">#REF!</definedName>
    <definedName name="PY_all_Income">#REF!</definedName>
    <definedName name="PY_all_RetEarn" localSheetId="14">#REF!</definedName>
    <definedName name="PY_all_RetEarn" localSheetId="10">#REF!</definedName>
    <definedName name="PY_all_RetEarn" localSheetId="11">#REF!</definedName>
    <definedName name="PY_all_RetEarn">#REF!</definedName>
    <definedName name="PY_knw_Income" localSheetId="14">#REF!</definedName>
    <definedName name="PY_knw_Income" localSheetId="10">#REF!</definedName>
    <definedName name="PY_knw_Income" localSheetId="11">#REF!</definedName>
    <definedName name="PY_knw_Income">#REF!</definedName>
    <definedName name="PY_knw_RetEarn" localSheetId="14">#REF!</definedName>
    <definedName name="PY_knw_RetEarn" localSheetId="10">#REF!</definedName>
    <definedName name="PY_knw_RetEarn" localSheetId="11">#REF!</definedName>
    <definedName name="PY_knw_RetEarn">#REF!</definedName>
    <definedName name="PY_lik_Income" localSheetId="14">#REF!</definedName>
    <definedName name="PY_lik_Income" localSheetId="10">#REF!</definedName>
    <definedName name="PY_lik_Income" localSheetId="11">#REF!</definedName>
    <definedName name="PY_lik_Income">#REF!</definedName>
    <definedName name="PY_lik_RetEarn" localSheetId="14">#REF!</definedName>
    <definedName name="PY_lik_RetEarn" localSheetId="10">#REF!</definedName>
    <definedName name="PY_lik_RetEarn" localSheetId="11">#REF!</definedName>
    <definedName name="PY_lik_RetEarn">#REF!</definedName>
    <definedName name="PY_tot_knw_Xfoot" localSheetId="14">#REF!</definedName>
    <definedName name="PY_tot_knw_Xfoot" localSheetId="10">#REF!</definedName>
    <definedName name="PY_tot_knw_Xfoot" localSheetId="11">#REF!</definedName>
    <definedName name="PY_tot_knw_Xfoot">#REF!</definedName>
    <definedName name="PY_tot_lik_Xfoot" localSheetId="14">#REF!</definedName>
    <definedName name="PY_tot_lik_Xfoot" localSheetId="10">#REF!</definedName>
    <definedName name="PY_tot_lik_Xfoot" localSheetId="11">#REF!</definedName>
    <definedName name="PY_tot_lik_Xfoot">#REF!</definedName>
    <definedName name="PY_tx_all_Income" localSheetId="14">#REF!</definedName>
    <definedName name="PY_tx_all_Income" localSheetId="10">#REF!</definedName>
    <definedName name="PY_tx_all_Income" localSheetId="11">#REF!</definedName>
    <definedName name="PY_tx_all_Income">#REF!</definedName>
    <definedName name="PY_tx_all_RetEarn" localSheetId="14">#REF!</definedName>
    <definedName name="PY_tx_all_RetEarn" localSheetId="10">#REF!</definedName>
    <definedName name="PY_tx_all_RetEarn" localSheetId="11">#REF!</definedName>
    <definedName name="PY_tx_all_RetEarn">#REF!</definedName>
    <definedName name="PY_tx_knw_Income" localSheetId="14">#REF!</definedName>
    <definedName name="PY_tx_knw_Income" localSheetId="10">#REF!</definedName>
    <definedName name="PY_tx_knw_Income" localSheetId="11">#REF!</definedName>
    <definedName name="PY_tx_knw_Income">#REF!</definedName>
    <definedName name="PY_tx_knw_RetEarn" localSheetId="14">#REF!</definedName>
    <definedName name="PY_tx_knw_RetEarn" localSheetId="10">#REF!</definedName>
    <definedName name="PY_tx_knw_RetEarn" localSheetId="11">#REF!</definedName>
    <definedName name="PY_tx_knw_RetEarn">#REF!</definedName>
    <definedName name="PY_tx_lik_Income" localSheetId="14">#REF!</definedName>
    <definedName name="PY_tx_lik_Income" localSheetId="10">#REF!</definedName>
    <definedName name="PY_tx_lik_Income" localSheetId="11">#REF!</definedName>
    <definedName name="PY_tx_lik_Income">#REF!</definedName>
    <definedName name="PY_tx_lik_RetEarn" localSheetId="14">#REF!</definedName>
    <definedName name="PY_tx_lik_RetEarn" localSheetId="10">#REF!</definedName>
    <definedName name="PY_tx_lik_RetEarn" localSheetId="11">#REF!</definedName>
    <definedName name="PY_tx_lik_RetEarn">#REF!</definedName>
    <definedName name="Q" localSheetId="14">#REF!</definedName>
    <definedName name="Q" localSheetId="10">#REF!</definedName>
    <definedName name="Q" localSheetId="11">#REF!</definedName>
    <definedName name="Q">#REF!</definedName>
    <definedName name="QATAR1">[3]Sheet4!$H$428:$H$519</definedName>
    <definedName name="QATAR2">[3]Sheet4!$U$326:$U$417</definedName>
    <definedName name="qaz" localSheetId="20">#REF!</definedName>
    <definedName name="qaz" localSheetId="14">#REF!</definedName>
    <definedName name="qaz" localSheetId="10">#REF!</definedName>
    <definedName name="qaz" localSheetId="11">#REF!</definedName>
    <definedName name="qaz">#REF!</definedName>
    <definedName name="Raza" localSheetId="14">#REF!</definedName>
    <definedName name="Raza" localSheetId="10">#REF!</definedName>
    <definedName name="Raza" localSheetId="11">#REF!</definedName>
    <definedName name="Raza">#REF!</definedName>
    <definedName name="REDCAP" localSheetId="14">[9]acct!#REF!</definedName>
    <definedName name="REDCAP" localSheetId="10">[9]acct!#REF!</definedName>
    <definedName name="REDCAP" localSheetId="11">[9]acct!#REF!</definedName>
    <definedName name="REDCAP">[9]acct!#REF!</definedName>
    <definedName name="RESERVED_DATA" hidden="1">'Lead - 2020'!$A$2:$A$406</definedName>
    <definedName name="RF" localSheetId="20">[9]acct!#REF!</definedName>
    <definedName name="RF" localSheetId="14">[9]acct!#REF!</definedName>
    <definedName name="RF" localSheetId="10">[9]acct!#REF!</definedName>
    <definedName name="RF" localSheetId="11">[9]acct!#REF!</definedName>
    <definedName name="RF">[9]acct!#REF!</definedName>
    <definedName name="S_AcctDes">'Lead - 2020'!$E:$E</definedName>
    <definedName name="S_Adjust">'Lead - 2020'!$I:$I</definedName>
    <definedName name="S_Adjust_Data">[24]AS2Lead!$I$1:$I$272</definedName>
    <definedName name="S_AJE_Tot">'Lead - 2020'!$H:$H</definedName>
    <definedName name="S_AJE_Tot_Data">[24]AS2Lead!$H$1:$H$272</definedName>
    <definedName name="S_CompNum">'Lead - 2020'!$B:$B</definedName>
    <definedName name="S_CY_Beg">'Lead - 2020'!$F:$F</definedName>
    <definedName name="S_CY_Beg_Data">[24]AS2Lead!$F$1:$F$272</definedName>
    <definedName name="S_CY_End">'Lead - 2020'!$K:$K</definedName>
    <definedName name="S_CY_End_Data">[24]AS2Lead!$K$1:$K$272</definedName>
    <definedName name="S_Diff_Amt">'Lead - 2020'!$O:$O</definedName>
    <definedName name="S_Diff_Pct">'Lead - 2020'!$N:$N</definedName>
    <definedName name="S_GrpNum">'Lead - 2020'!$C:$C</definedName>
    <definedName name="S_PY_End">'Lead - 2020'!$M:$M</definedName>
    <definedName name="S_PY_End_Data">[24]AS2Lead!$M$1:$M$272</definedName>
    <definedName name="S_RJE_Tot">'Lead - 2020'!$J:$J</definedName>
    <definedName name="S_RJE_Tot_Data">[24]AS2Lead!$J$1:$J$272</definedName>
    <definedName name="S_RowNum">'Lead - 2020'!$D:$D</definedName>
    <definedName name="sa" localSheetId="20">Scheduled_Payment+Extra_Payment</definedName>
    <definedName name="sa" localSheetId="14">Scheduled_Payment+Extra_Payment</definedName>
    <definedName name="sa" localSheetId="10">Scheduled_Payment+Extra_Payment</definedName>
    <definedName name="sa" localSheetId="11">Scheduled_Payment+Extra_Payment</definedName>
    <definedName name="sa">Scheduled_Payment+Extra_Payment</definedName>
    <definedName name="SALES" localSheetId="20">[9]acct!#REF!</definedName>
    <definedName name="SALES" localSheetId="14">[9]acct!#REF!</definedName>
    <definedName name="SALES" localSheetId="10">[9]acct!#REF!</definedName>
    <definedName name="SALES" localSheetId="11">[9]acct!#REF!</definedName>
    <definedName name="SALES">[9]acct!#REF!</definedName>
    <definedName name="sam" localSheetId="20">#REF!</definedName>
    <definedName name="sam" localSheetId="14">#REF!</definedName>
    <definedName name="sam" localSheetId="10">#REF!</definedName>
    <definedName name="sam" localSheetId="11">#REF!</definedName>
    <definedName name="sam">#REF!</definedName>
    <definedName name="Samp_Ass" localSheetId="14">#REF!</definedName>
    <definedName name="Samp_Ass" localSheetId="10">#REF!</definedName>
    <definedName name="Samp_Ass" localSheetId="11">#REF!</definedName>
    <definedName name="Samp_Ass">#REF!</definedName>
    <definedName name="Samp_Calc_Sample" localSheetId="14">#REF!</definedName>
    <definedName name="Samp_Calc_Sample" localSheetId="10">#REF!</definedName>
    <definedName name="Samp_Calc_Sample" localSheetId="11">#REF!</definedName>
    <definedName name="Samp_Calc_Sample">#REF!</definedName>
    <definedName name="Samp_Calc_TM" localSheetId="14">#REF!</definedName>
    <definedName name="Samp_Calc_TM" localSheetId="10">#REF!</definedName>
    <definedName name="Samp_Calc_TM" localSheetId="11">#REF!</definedName>
    <definedName name="Samp_Calc_TM">#REF!</definedName>
    <definedName name="Samp_DSS" localSheetId="14">#REF!</definedName>
    <definedName name="Samp_DSS" localSheetId="10">#REF!</definedName>
    <definedName name="Samp_DSS" localSheetId="11">#REF!</definedName>
    <definedName name="Samp_DSS">#REF!</definedName>
    <definedName name="Samp_EM_Per" localSheetId="14">#REF!</definedName>
    <definedName name="Samp_EM_Per" localSheetId="10">#REF!</definedName>
    <definedName name="Samp_EM_Per" localSheetId="11">#REF!</definedName>
    <definedName name="Samp_EM_Per">#REF!</definedName>
    <definedName name="Samp_EM_T" localSheetId="14">#REF!</definedName>
    <definedName name="Samp_EM_T" localSheetId="10">#REF!</definedName>
    <definedName name="Samp_EM_T" localSheetId="11">#REF!</definedName>
    <definedName name="Samp_EM_T">#REF!</definedName>
    <definedName name="Samp_Factor" localSheetId="14">#REF!</definedName>
    <definedName name="Samp_Factor" localSheetId="10">#REF!</definedName>
    <definedName name="Samp_Factor" localSheetId="11">#REF!</definedName>
    <definedName name="Samp_Factor">#REF!</definedName>
    <definedName name="Samp_Min_SS" localSheetId="14">#REF!</definedName>
    <definedName name="Samp_Min_SS" localSheetId="10">#REF!</definedName>
    <definedName name="Samp_Min_SS" localSheetId="11">#REF!</definedName>
    <definedName name="Samp_Min_SS">#REF!</definedName>
    <definedName name="Samp_MTM" localSheetId="14">#REF!</definedName>
    <definedName name="Samp_MTM" localSheetId="10">#REF!</definedName>
    <definedName name="Samp_MTM" localSheetId="11">#REF!</definedName>
    <definedName name="Samp_MTM">#REF!</definedName>
    <definedName name="Samp_PM" localSheetId="14">#REF!</definedName>
    <definedName name="Samp_PM" localSheetId="10">#REF!</definedName>
    <definedName name="Samp_PM" localSheetId="11">#REF!</definedName>
    <definedName name="Samp_PM">#REF!</definedName>
    <definedName name="Samp_Pre" localSheetId="14">#REF!</definedName>
    <definedName name="Samp_Pre" localSheetId="10">#REF!</definedName>
    <definedName name="Samp_Pre" localSheetId="11">#REF!</definedName>
    <definedName name="Samp_Pre">#REF!</definedName>
    <definedName name="Samp_Pre_T" localSheetId="14">#REF!</definedName>
    <definedName name="Samp_Pre_T" localSheetId="10">#REF!</definedName>
    <definedName name="Samp_Pre_T" localSheetId="11">#REF!</definedName>
    <definedName name="Samp_Pre_T">#REF!</definedName>
    <definedName name="Samp_RTB" localSheetId="14">#REF!</definedName>
    <definedName name="Samp_RTB" localSheetId="10">#REF!</definedName>
    <definedName name="Samp_RTB" localSheetId="11">#REF!</definedName>
    <definedName name="Samp_RTB">#REF!</definedName>
    <definedName name="Samp_RTB_Desc" localSheetId="14">#REF!</definedName>
    <definedName name="Samp_RTB_Desc" localSheetId="10">#REF!</definedName>
    <definedName name="Samp_RTB_Desc" localSheetId="11">#REF!</definedName>
    <definedName name="Samp_RTB_Desc">#REF!</definedName>
    <definedName name="Samp_Sel" localSheetId="14">#REF!</definedName>
    <definedName name="Samp_Sel" localSheetId="10">#REF!</definedName>
    <definedName name="Samp_Sel" localSheetId="11">#REF!</definedName>
    <definedName name="Samp_Sel">#REF!</definedName>
    <definedName name="Samp_Small_Adj" localSheetId="14">#REF!</definedName>
    <definedName name="Samp_Small_Adj" localSheetId="10">#REF!</definedName>
    <definedName name="Samp_Small_Adj" localSheetId="11">#REF!</definedName>
    <definedName name="Samp_Small_Adj">#REF!</definedName>
    <definedName name="Samp_SS" localSheetId="14">#REF!</definedName>
    <definedName name="Samp_SS" localSheetId="10">#REF!</definedName>
    <definedName name="Samp_SS" localSheetId="11">#REF!</definedName>
    <definedName name="Samp_SS">#REF!</definedName>
    <definedName name="Samp_TM_Diff" localSheetId="14">#REF!</definedName>
    <definedName name="Samp_TM_Diff" localSheetId="10">#REF!</definedName>
    <definedName name="Samp_TM_Diff" localSheetId="11">#REF!</definedName>
    <definedName name="Samp_TM_Diff">#REF!</definedName>
    <definedName name="Samp_TM_Exp_Diff" localSheetId="14">#REF!</definedName>
    <definedName name="Samp_TM_Exp_Diff" localSheetId="10">#REF!</definedName>
    <definedName name="Samp_TM_Exp_Diff" localSheetId="11">#REF!</definedName>
    <definedName name="Samp_TM_Exp_Diff">#REF!</definedName>
    <definedName name="Samp_TM_N" localSheetId="14">#REF!</definedName>
    <definedName name="Samp_TM_N" localSheetId="10">#REF!</definedName>
    <definedName name="Samp_TM_N" localSheetId="11">#REF!</definedName>
    <definedName name="Samp_TM_N">#REF!</definedName>
    <definedName name="Samp_TM_Y" localSheetId="14">#REF!</definedName>
    <definedName name="Samp_TM_Y" localSheetId="10">#REF!</definedName>
    <definedName name="Samp_TM_Y" localSheetId="11">#REF!</definedName>
    <definedName name="Samp_TM_Y">#REF!</definedName>
    <definedName name="Sampr_Factor" localSheetId="14">#REF!</definedName>
    <definedName name="Sampr_Factor" localSheetId="10">#REF!</definedName>
    <definedName name="Sampr_Factor" localSheetId="11">#REF!</definedName>
    <definedName name="Sampr_Factor">#REF!</definedName>
    <definedName name="SBP" localSheetId="20">'[28]Notes1-5'!#REF!</definedName>
    <definedName name="SBP" localSheetId="14">'[28]Notes1-5'!#REF!</definedName>
    <definedName name="SBP" localSheetId="10">'[28]Notes1-5'!#REF!</definedName>
    <definedName name="SBP" localSheetId="11">'[28]Notes1-5'!#REF!</definedName>
    <definedName name="SBP">'[28]Notes1-5'!#REF!</definedName>
    <definedName name="Sched_Pay" localSheetId="20">#REF!</definedName>
    <definedName name="Sched_Pay" localSheetId="14">#REF!</definedName>
    <definedName name="Sched_Pay" localSheetId="10">#REF!</definedName>
    <definedName name="Sched_Pay" localSheetId="11">#REF!</definedName>
    <definedName name="Sched_Pay">#REF!</definedName>
    <definedName name="Scheduled_Extra_Payments" localSheetId="14">#REF!</definedName>
    <definedName name="Scheduled_Extra_Payments" localSheetId="10">#REF!</definedName>
    <definedName name="Scheduled_Extra_Payments" localSheetId="11">#REF!</definedName>
    <definedName name="Scheduled_Extra_Payments">#REF!</definedName>
    <definedName name="Scheduled_Interest_Rate" localSheetId="14">#REF!</definedName>
    <definedName name="Scheduled_Interest_Rate" localSheetId="10">#REF!</definedName>
    <definedName name="Scheduled_Interest_Rate" localSheetId="11">#REF!</definedName>
    <definedName name="Scheduled_Interest_Rate">#REF!</definedName>
    <definedName name="Scheduled_Monthly_Payment" localSheetId="14">#REF!</definedName>
    <definedName name="Scheduled_Monthly_Payment" localSheetId="10">#REF!</definedName>
    <definedName name="Scheduled_Monthly_Payment" localSheetId="11">#REF!</definedName>
    <definedName name="Scheduled_Monthly_Payment">#REF!</definedName>
    <definedName name="sdsa">[29]A!$AX$5:$AX$129</definedName>
    <definedName name="SDSAD" localSheetId="20">#REF!</definedName>
    <definedName name="SDSAD" localSheetId="14">#REF!</definedName>
    <definedName name="SDSAD" localSheetId="10">#REF!</definedName>
    <definedName name="SDSAD" localSheetId="11">#REF!</definedName>
    <definedName name="SDSAD">#REF!</definedName>
    <definedName name="sectionNames" localSheetId="14">#REF!</definedName>
    <definedName name="sectionNames" localSheetId="10">#REF!</definedName>
    <definedName name="sectionNames" localSheetId="11">#REF!</definedName>
    <definedName name="sectionNames">#REF!</definedName>
    <definedName name="Selected_Materiality" localSheetId="14">#REF!</definedName>
    <definedName name="Selected_Materiality" localSheetId="10">#REF!</definedName>
    <definedName name="Selected_Materiality" localSheetId="11">#REF!</definedName>
    <definedName name="Selected_Materiality">#REF!</definedName>
    <definedName name="sheet5" localSheetId="20" hidden="1">{#N/A,#N/A,FALSE,"Aging Summary";#N/A,#N/A,FALSE,"Ratio Analysis";#N/A,#N/A,FALSE,"Test 120 Day Accts";#N/A,#N/A,FALSE,"Tickmarks"}</definedName>
    <definedName name="sheet5" hidden="1">{#N/A,#N/A,FALSE,"Aging Summary";#N/A,#N/A,FALSE,"Ratio Analysis";#N/A,#N/A,FALSE,"Test 120 Day Accts";#N/A,#N/A,FALSE,"Tickmarks"}</definedName>
    <definedName name="SNS" localSheetId="14">[9]acct!#REF!</definedName>
    <definedName name="SNS" localSheetId="10">[9]acct!#REF!</definedName>
    <definedName name="SNS" localSheetId="11">[9]acct!#REF!</definedName>
    <definedName name="SNS">[9]acct!#REF!</definedName>
    <definedName name="Strat_1_Def" localSheetId="20">#REF!</definedName>
    <definedName name="Strat_1_Def" localSheetId="14">#REF!</definedName>
    <definedName name="Strat_1_Def" localSheetId="10">#REF!</definedName>
    <definedName name="Strat_1_Def" localSheetId="11">#REF!</definedName>
    <definedName name="Strat_1_Def">#REF!</definedName>
    <definedName name="Strat_1_It" localSheetId="14">#REF!</definedName>
    <definedName name="Strat_1_It" localSheetId="10">#REF!</definedName>
    <definedName name="Strat_1_It" localSheetId="11">#REF!</definedName>
    <definedName name="Strat_1_It">#REF!</definedName>
    <definedName name="Strat_1_T" localSheetId="14">#REF!</definedName>
    <definedName name="Strat_1_T" localSheetId="10">#REF!</definedName>
    <definedName name="Strat_1_T" localSheetId="11">#REF!</definedName>
    <definedName name="Strat_1_T">#REF!</definedName>
    <definedName name="Strat_2_Def" localSheetId="14">#REF!</definedName>
    <definedName name="Strat_2_Def" localSheetId="10">#REF!</definedName>
    <definedName name="Strat_2_Def" localSheetId="11">#REF!</definedName>
    <definedName name="Strat_2_Def">#REF!</definedName>
    <definedName name="Strat_2_It" localSheetId="14">#REF!</definedName>
    <definedName name="Strat_2_It" localSheetId="10">#REF!</definedName>
    <definedName name="Strat_2_It" localSheetId="11">#REF!</definedName>
    <definedName name="Strat_2_It">#REF!</definedName>
    <definedName name="Strat_2_T" localSheetId="14">#REF!</definedName>
    <definedName name="Strat_2_T" localSheetId="10">#REF!</definedName>
    <definedName name="Strat_2_T" localSheetId="11">#REF!</definedName>
    <definedName name="Strat_2_T">#REF!</definedName>
    <definedName name="Strat_Dec" localSheetId="14">#REF!</definedName>
    <definedName name="Strat_Dec" localSheetId="10">#REF!</definedName>
    <definedName name="Strat_Dec" localSheetId="11">#REF!</definedName>
    <definedName name="Strat_Dec">#REF!</definedName>
    <definedName name="Strat_Def" localSheetId="14">#REF!</definedName>
    <definedName name="Strat_Def" localSheetId="10">#REF!</definedName>
    <definedName name="Strat_Def" localSheetId="11">#REF!</definedName>
    <definedName name="Strat_Def">#REF!</definedName>
    <definedName name="Strat_T_It" localSheetId="14">#REF!</definedName>
    <definedName name="Strat_T_It" localSheetId="10">#REF!</definedName>
    <definedName name="Strat_T_It" localSheetId="11">#REF!</definedName>
    <definedName name="Strat_T_It">#REF!</definedName>
    <definedName name="Strat_T_T" localSheetId="14">#REF!</definedName>
    <definedName name="Strat_T_T" localSheetId="10">#REF!</definedName>
    <definedName name="Strat_T_T" localSheetId="11">#REF!</definedName>
    <definedName name="Strat_T_T">#REF!</definedName>
    <definedName name="sum" localSheetId="14">#REF!</definedName>
    <definedName name="sum" localSheetId="10">#REF!</definedName>
    <definedName name="sum" localSheetId="11">#REF!</definedName>
    <definedName name="sum">#REF!</definedName>
    <definedName name="T_BILLOWN" localSheetId="14">#REF!</definedName>
    <definedName name="T_BILLOWN" localSheetId="10">#REF!</definedName>
    <definedName name="T_BILLOWN" localSheetId="11">#REF!</definedName>
    <definedName name="T_BILLOWN">#REF!</definedName>
    <definedName name="T_BILLREPO" localSheetId="14">'[30]T-BILL'!#REF!</definedName>
    <definedName name="T_BILLREPO" localSheetId="10">'[30]T-BILL'!#REF!</definedName>
    <definedName name="T_BILLREPO" localSheetId="11">'[30]T-BILL'!#REF!</definedName>
    <definedName name="T_BILLREPO">'[30]T-BILL'!#REF!</definedName>
    <definedName name="TABLE">'[25]INDTAX 2002-2003'!$C$200:$AK$201</definedName>
    <definedName name="TABLE1">[31]B!$A$27:$D$32</definedName>
    <definedName name="TABLE2">[31]B!$B$27:$E$32</definedName>
    <definedName name="tAX" localSheetId="20">[9]acct!#REF!</definedName>
    <definedName name="tAX" localSheetId="14">[9]acct!#REF!</definedName>
    <definedName name="tAX" localSheetId="10">[9]acct!#REF!</definedName>
    <definedName name="tAX" localSheetId="11">[9]acct!#REF!</definedName>
    <definedName name="tAX">[9]acct!#REF!</definedName>
    <definedName name="Tax_Effect_Income" localSheetId="20">#REF!</definedName>
    <definedName name="Tax_Effect_Income" localSheetId="14">#REF!</definedName>
    <definedName name="Tax_Effect_Income" localSheetId="10">#REF!</definedName>
    <definedName name="Tax_Effect_Income" localSheetId="11">#REF!</definedName>
    <definedName name="Tax_Effect_Income">#REF!</definedName>
    <definedName name="Tax_Effect_Liabs" localSheetId="14">#REF!</definedName>
    <definedName name="Tax_Effect_Liabs" localSheetId="10">#REF!</definedName>
    <definedName name="Tax_Effect_Liabs" localSheetId="11">#REF!</definedName>
    <definedName name="Tax_Effect_Liabs">#REF!</definedName>
    <definedName name="Tax_Effect_RetEarn" localSheetId="14">#REF!</definedName>
    <definedName name="Tax_Effect_RetEarn" localSheetId="10">#REF!</definedName>
    <definedName name="Tax_Effect_RetEarn" localSheetId="11">#REF!</definedName>
    <definedName name="Tax_Effect_RetEarn">#REF!</definedName>
    <definedName name="Tax_Rate" localSheetId="14">#REF!</definedName>
    <definedName name="Tax_Rate" localSheetId="10">#REF!</definedName>
    <definedName name="Tax_Rate" localSheetId="11">#REF!</definedName>
    <definedName name="Tax_Rate">#REF!</definedName>
    <definedName name="Test_ND" localSheetId="14">#REF!</definedName>
    <definedName name="Test_ND" localSheetId="10">#REF!</definedName>
    <definedName name="Test_ND" localSheetId="11">#REF!</definedName>
    <definedName name="Test_ND">#REF!</definedName>
    <definedName name="Test_Proj_Mis" localSheetId="14">#REF!</definedName>
    <definedName name="Test_Proj_Mis" localSheetId="10">#REF!</definedName>
    <definedName name="Test_Proj_Mis" localSheetId="11">#REF!</definedName>
    <definedName name="Test_Proj_Mis">#REF!</definedName>
    <definedName name="Test_Targ" localSheetId="14">#REF!</definedName>
    <definedName name="Test_Targ" localSheetId="10">#REF!</definedName>
    <definedName name="Test_Targ" localSheetId="11">#REF!</definedName>
    <definedName name="Test_Targ">#REF!</definedName>
    <definedName name="Test_Total_T" localSheetId="14">#REF!</definedName>
    <definedName name="Test_Total_T" localSheetId="10">#REF!</definedName>
    <definedName name="Test_Total_T" localSheetId="11">#REF!</definedName>
    <definedName name="Test_Total_T">#REF!</definedName>
    <definedName name="TextRefCopy1" localSheetId="14">#REF!</definedName>
    <definedName name="TextRefCopy1" localSheetId="10">#REF!</definedName>
    <definedName name="TextRefCopy1" localSheetId="11">#REF!</definedName>
    <definedName name="TextRefCopy1">#REF!</definedName>
    <definedName name="TextRefCopy10" localSheetId="14">#REF!</definedName>
    <definedName name="TextRefCopy10" localSheetId="10">#REF!</definedName>
    <definedName name="TextRefCopy10" localSheetId="11">#REF!</definedName>
    <definedName name="TextRefCopy10">#REF!</definedName>
    <definedName name="TextRefCopy11" localSheetId="14">#REF!</definedName>
    <definedName name="TextRefCopy11" localSheetId="10">#REF!</definedName>
    <definedName name="TextRefCopy11" localSheetId="11">#REF!</definedName>
    <definedName name="TextRefCopy11">#REF!</definedName>
    <definedName name="TextRefCopy12" localSheetId="14">#REF!</definedName>
    <definedName name="TextRefCopy12" localSheetId="10">#REF!</definedName>
    <definedName name="TextRefCopy12" localSheetId="11">#REF!</definedName>
    <definedName name="TextRefCopy12">#REF!</definedName>
    <definedName name="TextRefCopy13" localSheetId="14">#REF!</definedName>
    <definedName name="TextRefCopy13" localSheetId="10">#REF!</definedName>
    <definedName name="TextRefCopy13" localSheetId="11">#REF!</definedName>
    <definedName name="TextRefCopy13">#REF!</definedName>
    <definedName name="TextRefCopy14" localSheetId="14">#REF!</definedName>
    <definedName name="TextRefCopy14" localSheetId="10">#REF!</definedName>
    <definedName name="TextRefCopy14" localSheetId="11">#REF!</definedName>
    <definedName name="TextRefCopy14">#REF!</definedName>
    <definedName name="TextRefCopy15" localSheetId="14">#REF!</definedName>
    <definedName name="TextRefCopy15" localSheetId="10">#REF!</definedName>
    <definedName name="TextRefCopy15" localSheetId="11">#REF!</definedName>
    <definedName name="TextRefCopy15">#REF!</definedName>
    <definedName name="TextRefCopy16" localSheetId="14">#REF!</definedName>
    <definedName name="TextRefCopy16" localSheetId="10">#REF!</definedName>
    <definedName name="TextRefCopy16" localSheetId="11">#REF!</definedName>
    <definedName name="TextRefCopy16">#REF!</definedName>
    <definedName name="TextRefCopy17" localSheetId="14">#REF!</definedName>
    <definedName name="TextRefCopy17" localSheetId="10">#REF!</definedName>
    <definedName name="TextRefCopy17" localSheetId="11">#REF!</definedName>
    <definedName name="TextRefCopy17">#REF!</definedName>
    <definedName name="TextRefCopy18">[32]Movement!$E$30</definedName>
    <definedName name="TextRefCopy19">[33]IS!$F$26</definedName>
    <definedName name="TextRefCopy2" localSheetId="20">#REF!</definedName>
    <definedName name="TextRefCopy2" localSheetId="14">#REF!</definedName>
    <definedName name="TextRefCopy2" localSheetId="10">#REF!</definedName>
    <definedName name="TextRefCopy2" localSheetId="11">#REF!</definedName>
    <definedName name="TextRefCopy2">#REF!</definedName>
    <definedName name="TextRefCopy20" localSheetId="20">[34]Verification!#REF!</definedName>
    <definedName name="TextRefCopy20" localSheetId="14">[34]Verification!#REF!</definedName>
    <definedName name="TextRefCopy20" localSheetId="10">[34]Verification!#REF!</definedName>
    <definedName name="TextRefCopy20" localSheetId="11">[34]Verification!#REF!</definedName>
    <definedName name="TextRefCopy20">[34]Verification!#REF!</definedName>
    <definedName name="TextRefCopy21" localSheetId="20">#REF!</definedName>
    <definedName name="TextRefCopy21" localSheetId="14">#REF!</definedName>
    <definedName name="TextRefCopy21" localSheetId="10">#REF!</definedName>
    <definedName name="TextRefCopy21" localSheetId="11">#REF!</definedName>
    <definedName name="TextRefCopy21">#REF!</definedName>
    <definedName name="TextRefCopy22">'[35]Tbills Movement'!$C$21</definedName>
    <definedName name="TextRefCopy23" localSheetId="20">#REF!</definedName>
    <definedName name="TextRefCopy23" localSheetId="14">#REF!</definedName>
    <definedName name="TextRefCopy23" localSheetId="10">#REF!</definedName>
    <definedName name="TextRefCopy23" localSheetId="11">#REF!</definedName>
    <definedName name="TextRefCopy23">#REF!</definedName>
    <definedName name="TextRefCopy24" localSheetId="20">[36]Movement!#REF!</definedName>
    <definedName name="TextRefCopy24" localSheetId="14">[36]Movement!#REF!</definedName>
    <definedName name="TextRefCopy24" localSheetId="10">[36]Movement!#REF!</definedName>
    <definedName name="TextRefCopy24" localSheetId="11">[36]Movement!#REF!</definedName>
    <definedName name="TextRefCopy24">[36]Movement!#REF!</definedName>
    <definedName name="TextRefCopy25" localSheetId="20">#REF!</definedName>
    <definedName name="TextRefCopy25" localSheetId="14">#REF!</definedName>
    <definedName name="TextRefCopy25" localSheetId="10">#REF!</definedName>
    <definedName name="TextRefCopy25" localSheetId="11">#REF!</definedName>
    <definedName name="TextRefCopy25">#REF!</definedName>
    <definedName name="TextRefCopy26" localSheetId="14">#REF!</definedName>
    <definedName name="TextRefCopy26" localSheetId="10">#REF!</definedName>
    <definedName name="TextRefCopy26" localSheetId="11">#REF!</definedName>
    <definedName name="TextRefCopy26">#REF!</definedName>
    <definedName name="TextRefCopy27" localSheetId="14">#REF!</definedName>
    <definedName name="TextRefCopy27" localSheetId="10">#REF!</definedName>
    <definedName name="TextRefCopy27" localSheetId="11">#REF!</definedName>
    <definedName name="TextRefCopy27">#REF!</definedName>
    <definedName name="TextRefCopy28" localSheetId="14">'[35]Tbills Movement'!#REF!</definedName>
    <definedName name="TextRefCopy28" localSheetId="10">'[35]Tbills Movement'!#REF!</definedName>
    <definedName name="TextRefCopy28" localSheetId="11">'[35]Tbills Movement'!#REF!</definedName>
    <definedName name="TextRefCopy28">'[35]Tbills Movement'!#REF!</definedName>
    <definedName name="TextRefCopy29" localSheetId="20">#REF!</definedName>
    <definedName name="TextRefCopy29" localSheetId="14">#REF!</definedName>
    <definedName name="TextRefCopy29" localSheetId="10">#REF!</definedName>
    <definedName name="TextRefCopy29" localSheetId="11">#REF!</definedName>
    <definedName name="TextRefCopy29">#REF!</definedName>
    <definedName name="TextRefCopy3" localSheetId="14">#REF!</definedName>
    <definedName name="TextRefCopy3" localSheetId="10">#REF!</definedName>
    <definedName name="TextRefCopy3" localSheetId="11">#REF!</definedName>
    <definedName name="TextRefCopy3">#REF!</definedName>
    <definedName name="TextRefCopy30" localSheetId="14">'[35]Tbills valuation..'!#REF!</definedName>
    <definedName name="TextRefCopy30" localSheetId="10">'[35]Tbills valuation..'!#REF!</definedName>
    <definedName name="TextRefCopy30" localSheetId="11">'[35]Tbills valuation..'!#REF!</definedName>
    <definedName name="TextRefCopy30">'[35]Tbills valuation..'!#REF!</definedName>
    <definedName name="TextRefCopy31" localSheetId="20">#REF!</definedName>
    <definedName name="TextRefCopy31" localSheetId="14">#REF!</definedName>
    <definedName name="TextRefCopy31" localSheetId="10">#REF!</definedName>
    <definedName name="TextRefCopy31" localSheetId="11">#REF!</definedName>
    <definedName name="TextRefCopy31">#REF!</definedName>
    <definedName name="TextRefCopy32" localSheetId="20">'[35]Tbills valuation..'!#REF!</definedName>
    <definedName name="TextRefCopy32" localSheetId="14">'[35]Tbills valuation..'!#REF!</definedName>
    <definedName name="TextRefCopy32" localSheetId="10">'[35]Tbills valuation..'!#REF!</definedName>
    <definedName name="TextRefCopy32" localSheetId="11">'[35]Tbills valuation..'!#REF!</definedName>
    <definedName name="TextRefCopy32">'[35]Tbills valuation..'!#REF!</definedName>
    <definedName name="TextRefCopy33" localSheetId="20">#REF!</definedName>
    <definedName name="TextRefCopy33" localSheetId="14">#REF!</definedName>
    <definedName name="TextRefCopy33" localSheetId="10">#REF!</definedName>
    <definedName name="TextRefCopy33" localSheetId="11">#REF!</definedName>
    <definedName name="TextRefCopy33">#REF!</definedName>
    <definedName name="TextRefCopy34" localSheetId="20">'[37]PIBs valuation'!#REF!</definedName>
    <definedName name="TextRefCopy34" localSheetId="14">'[37]PIBs valuation'!#REF!</definedName>
    <definedName name="TextRefCopy34" localSheetId="10">'[37]PIBs valuation'!#REF!</definedName>
    <definedName name="TextRefCopy34" localSheetId="11">'[37]PIBs valuation'!#REF!</definedName>
    <definedName name="TextRefCopy34">'[37]PIBs valuation'!#REF!</definedName>
    <definedName name="TextRefCopy35" localSheetId="20">'[37]PIBs valuation'!#REF!</definedName>
    <definedName name="TextRefCopy35" localSheetId="14">'[37]PIBs valuation'!#REF!</definedName>
    <definedName name="TextRefCopy35" localSheetId="10">'[37]PIBs valuation'!#REF!</definedName>
    <definedName name="TextRefCopy35" localSheetId="11">'[37]PIBs valuation'!#REF!</definedName>
    <definedName name="TextRefCopy35">'[37]PIBs valuation'!#REF!</definedName>
    <definedName name="TextRefCopy36" localSheetId="14">'[37]PIBs valuation'!#REF!</definedName>
    <definedName name="TextRefCopy36" localSheetId="10">'[37]PIBs valuation'!#REF!</definedName>
    <definedName name="TextRefCopy36" localSheetId="11">'[37]PIBs valuation'!#REF!</definedName>
    <definedName name="TextRefCopy36">'[37]PIBs valuation'!#REF!</definedName>
    <definedName name="TextRefCopy37" localSheetId="14">'[37]PIBs valuation'!#REF!</definedName>
    <definedName name="TextRefCopy37" localSheetId="10">'[37]PIBs valuation'!#REF!</definedName>
    <definedName name="TextRefCopy37" localSheetId="11">'[37]PIBs valuation'!#REF!</definedName>
    <definedName name="TextRefCopy37">'[37]PIBs valuation'!#REF!</definedName>
    <definedName name="TextRefCopy38" localSheetId="14">'[37]PIBs valuation'!#REF!</definedName>
    <definedName name="TextRefCopy38" localSheetId="10">'[37]PIBs valuation'!#REF!</definedName>
    <definedName name="TextRefCopy38" localSheetId="11">'[37]PIBs valuation'!#REF!</definedName>
    <definedName name="TextRefCopy38">'[37]PIBs valuation'!#REF!</definedName>
    <definedName name="TextRefCopy39" localSheetId="14">'[37]PIBs valuation'!#REF!</definedName>
    <definedName name="TextRefCopy39" localSheetId="10">'[37]PIBs valuation'!#REF!</definedName>
    <definedName name="TextRefCopy39" localSheetId="11">'[37]PIBs valuation'!#REF!</definedName>
    <definedName name="TextRefCopy39">'[37]PIBs valuation'!#REF!</definedName>
    <definedName name="TextRefCopy4" localSheetId="20">#REF!</definedName>
    <definedName name="TextRefCopy4" localSheetId="14">#REF!</definedName>
    <definedName name="TextRefCopy4" localSheetId="10">#REF!</definedName>
    <definedName name="TextRefCopy4" localSheetId="11">#REF!</definedName>
    <definedName name="TextRefCopy4">#REF!</definedName>
    <definedName name="TextRefCopy40" localSheetId="20">'[37]PIBs valuation'!#REF!</definedName>
    <definedName name="TextRefCopy40" localSheetId="14">'[37]PIBs valuation'!#REF!</definedName>
    <definedName name="TextRefCopy40" localSheetId="10">'[37]PIBs valuation'!#REF!</definedName>
    <definedName name="TextRefCopy40" localSheetId="11">'[37]PIBs valuation'!#REF!</definedName>
    <definedName name="TextRefCopy40">'[37]PIBs valuation'!#REF!</definedName>
    <definedName name="TextRefCopy41" localSheetId="14">'[37]PIBs valuation'!#REF!</definedName>
    <definedName name="TextRefCopy41" localSheetId="10">'[37]PIBs valuation'!#REF!</definedName>
    <definedName name="TextRefCopy41" localSheetId="11">'[37]PIBs valuation'!#REF!</definedName>
    <definedName name="TextRefCopy41">'[37]PIBs valuation'!#REF!</definedName>
    <definedName name="TextRefCopy42" localSheetId="14">'[37]PIBs valuation'!#REF!</definedName>
    <definedName name="TextRefCopy42" localSheetId="10">'[37]PIBs valuation'!#REF!</definedName>
    <definedName name="TextRefCopy42" localSheetId="11">'[37]PIBs valuation'!#REF!</definedName>
    <definedName name="TextRefCopy42">'[37]PIBs valuation'!#REF!</definedName>
    <definedName name="TextRefCopy43" localSheetId="20">#REF!</definedName>
    <definedName name="TextRefCopy43" localSheetId="14">#REF!</definedName>
    <definedName name="TextRefCopy43" localSheetId="10">#REF!</definedName>
    <definedName name="TextRefCopy43" localSheetId="11">#REF!</definedName>
    <definedName name="TextRefCopy43">#REF!</definedName>
    <definedName name="TextRefCopy44" localSheetId="14">#REF!</definedName>
    <definedName name="TextRefCopy44" localSheetId="10">#REF!</definedName>
    <definedName name="TextRefCopy44" localSheetId="11">#REF!</definedName>
    <definedName name="TextRefCopy44">#REF!</definedName>
    <definedName name="TextRefCopy45" localSheetId="14">#REF!</definedName>
    <definedName name="TextRefCopy45" localSheetId="10">#REF!</definedName>
    <definedName name="TextRefCopy45" localSheetId="11">#REF!</definedName>
    <definedName name="TextRefCopy45">#REF!</definedName>
    <definedName name="TextRefCopy46" localSheetId="14">#REF!</definedName>
    <definedName name="TextRefCopy46" localSheetId="10">#REF!</definedName>
    <definedName name="TextRefCopy46" localSheetId="11">#REF!</definedName>
    <definedName name="TextRefCopy46">#REF!</definedName>
    <definedName name="TextRefCopy47" localSheetId="14">#REF!</definedName>
    <definedName name="TextRefCopy47" localSheetId="10">#REF!</definedName>
    <definedName name="TextRefCopy47" localSheetId="11">#REF!</definedName>
    <definedName name="TextRefCopy47">#REF!</definedName>
    <definedName name="TextRefCopy48" localSheetId="14">#REF!</definedName>
    <definedName name="TextRefCopy48" localSheetId="10">#REF!</definedName>
    <definedName name="TextRefCopy48" localSheetId="11">#REF!</definedName>
    <definedName name="TextRefCopy48">#REF!</definedName>
    <definedName name="TextRefCopy49" localSheetId="14">'[37]PIBs Movement'!#REF!</definedName>
    <definedName name="TextRefCopy49" localSheetId="10">'[37]PIBs Movement'!#REF!</definedName>
    <definedName name="TextRefCopy49" localSheetId="11">'[37]PIBs Movement'!#REF!</definedName>
    <definedName name="TextRefCopy49">'[37]PIBs Movement'!#REF!</definedName>
    <definedName name="TextRefCopy5" localSheetId="20">#REF!</definedName>
    <definedName name="TextRefCopy5" localSheetId="14">#REF!</definedName>
    <definedName name="TextRefCopy5" localSheetId="10">#REF!</definedName>
    <definedName name="TextRefCopy5" localSheetId="11">#REF!</definedName>
    <definedName name="TextRefCopy5">#REF!</definedName>
    <definedName name="TextRefCopy50" localSheetId="14">#REF!</definedName>
    <definedName name="TextRefCopy50" localSheetId="10">#REF!</definedName>
    <definedName name="TextRefCopy50" localSheetId="11">#REF!</definedName>
    <definedName name="TextRefCopy50">#REF!</definedName>
    <definedName name="TextRefCopy51" localSheetId="14">'[37]PIBs valuation'!#REF!</definedName>
    <definedName name="TextRefCopy51" localSheetId="10">'[37]PIBs valuation'!#REF!</definedName>
    <definedName name="TextRefCopy51" localSheetId="11">'[37]PIBs valuation'!#REF!</definedName>
    <definedName name="TextRefCopy51">'[37]PIBs valuation'!#REF!</definedName>
    <definedName name="TextRefCopy52" localSheetId="14">'[38]4. Interpolation IRR at Jun-17'!#REF!</definedName>
    <definedName name="TextRefCopy52" localSheetId="10">'[38]4. Interpolation IRR at Jun-17'!#REF!</definedName>
    <definedName name="TextRefCopy52" localSheetId="11">'[38]4. Interpolation IRR at Jun-17'!#REF!</definedName>
    <definedName name="TextRefCopy52">'[38]4. Interpolation IRR at Jun-17'!#REF!</definedName>
    <definedName name="TextRefCopy53" localSheetId="20">#REF!</definedName>
    <definedName name="TextRefCopy53" localSheetId="14">#REF!</definedName>
    <definedName name="TextRefCopy53" localSheetId="10">#REF!</definedName>
    <definedName name="TextRefCopy53" localSheetId="11">#REF!</definedName>
    <definedName name="TextRefCopy53">#REF!</definedName>
    <definedName name="TextRefCopy54" localSheetId="20">'[37]PIBs valuation'!#REF!</definedName>
    <definedName name="TextRefCopy54" localSheetId="14">'[37]PIBs valuation'!#REF!</definedName>
    <definedName name="TextRefCopy54" localSheetId="10">'[37]PIBs valuation'!#REF!</definedName>
    <definedName name="TextRefCopy54" localSheetId="11">'[37]PIBs valuation'!#REF!</definedName>
    <definedName name="TextRefCopy54">'[37]PIBs valuation'!#REF!</definedName>
    <definedName name="TextRefCopy55" localSheetId="14">'[37]PIBs valuation'!#REF!</definedName>
    <definedName name="TextRefCopy55" localSheetId="10">'[37]PIBs valuation'!#REF!</definedName>
    <definedName name="TextRefCopy55" localSheetId="11">'[37]PIBs valuation'!#REF!</definedName>
    <definedName name="TextRefCopy55">'[37]PIBs valuation'!#REF!</definedName>
    <definedName name="TextRefCopy56" localSheetId="20">#REF!</definedName>
    <definedName name="TextRefCopy56" localSheetId="14">#REF!</definedName>
    <definedName name="TextRefCopy56" localSheetId="10">#REF!</definedName>
    <definedName name="TextRefCopy56" localSheetId="11">#REF!</definedName>
    <definedName name="TextRefCopy56">#REF!</definedName>
    <definedName name="TextRefCopy57" localSheetId="14">#REF!</definedName>
    <definedName name="TextRefCopy57" localSheetId="10">#REF!</definedName>
    <definedName name="TextRefCopy57" localSheetId="11">#REF!</definedName>
    <definedName name="TextRefCopy57">#REF!</definedName>
    <definedName name="TextRefCopy58" localSheetId="14">'[37]PIBs valuation'!#REF!</definedName>
    <definedName name="TextRefCopy58" localSheetId="10">'[37]PIBs valuation'!#REF!</definedName>
    <definedName name="TextRefCopy58" localSheetId="11">'[37]PIBs valuation'!#REF!</definedName>
    <definedName name="TextRefCopy58">'[37]PIBs valuation'!#REF!</definedName>
    <definedName name="TextRefCopy59" localSheetId="14">'[37]PIBs valuation'!#REF!</definedName>
    <definedName name="TextRefCopy59" localSheetId="10">'[37]PIBs valuation'!#REF!</definedName>
    <definedName name="TextRefCopy59" localSheetId="11">'[37]PIBs valuation'!#REF!</definedName>
    <definedName name="TextRefCopy59">'[37]PIBs valuation'!#REF!</definedName>
    <definedName name="TextRefCopy6" localSheetId="20">#REF!</definedName>
    <definedName name="TextRefCopy6" localSheetId="14">#REF!</definedName>
    <definedName name="TextRefCopy6" localSheetId="10">#REF!</definedName>
    <definedName name="TextRefCopy6" localSheetId="11">#REF!</definedName>
    <definedName name="TextRefCopy6">#REF!</definedName>
    <definedName name="TextRefCopy60" localSheetId="14">#REF!</definedName>
    <definedName name="TextRefCopy60" localSheetId="10">#REF!</definedName>
    <definedName name="TextRefCopy60" localSheetId="11">#REF!</definedName>
    <definedName name="TextRefCopy60">#REF!</definedName>
    <definedName name="TextRefCopy61" localSheetId="14">#REF!</definedName>
    <definedName name="TextRefCopy61" localSheetId="10">#REF!</definedName>
    <definedName name="TextRefCopy61" localSheetId="11">#REF!</definedName>
    <definedName name="TextRefCopy61">#REF!</definedName>
    <definedName name="TextRefCopy62" localSheetId="14">#REF!</definedName>
    <definedName name="TextRefCopy62" localSheetId="10">#REF!</definedName>
    <definedName name="TextRefCopy62" localSheetId="11">#REF!</definedName>
    <definedName name="TextRefCopy62">#REF!</definedName>
    <definedName name="TextRefCopy63" localSheetId="14">#REF!</definedName>
    <definedName name="TextRefCopy63" localSheetId="10">#REF!</definedName>
    <definedName name="TextRefCopy63" localSheetId="11">#REF!</definedName>
    <definedName name="TextRefCopy63">#REF!</definedName>
    <definedName name="TextRefCopy64" localSheetId="14">#REF!</definedName>
    <definedName name="TextRefCopy64" localSheetId="10">#REF!</definedName>
    <definedName name="TextRefCopy64" localSheetId="11">#REF!</definedName>
    <definedName name="TextRefCopy64">#REF!</definedName>
    <definedName name="TextRefCopy65" localSheetId="14">#REF!</definedName>
    <definedName name="TextRefCopy65" localSheetId="10">#REF!</definedName>
    <definedName name="TextRefCopy65" localSheetId="11">#REF!</definedName>
    <definedName name="TextRefCopy65">#REF!</definedName>
    <definedName name="TextRefCopy66" localSheetId="14">#REF!</definedName>
    <definedName name="TextRefCopy66" localSheetId="10">#REF!</definedName>
    <definedName name="TextRefCopy66" localSheetId="11">#REF!</definedName>
    <definedName name="TextRefCopy66">#REF!</definedName>
    <definedName name="TextRefCopy67" localSheetId="14">'[37]PIBs valuation'!#REF!</definedName>
    <definedName name="TextRefCopy67" localSheetId="10">'[37]PIBs valuation'!#REF!</definedName>
    <definedName name="TextRefCopy67" localSheetId="11">'[37]PIBs valuation'!#REF!</definedName>
    <definedName name="TextRefCopy67">'[37]PIBs valuation'!#REF!</definedName>
    <definedName name="TextRefCopy68" localSheetId="14">'[37]PIBs valuation'!#REF!</definedName>
    <definedName name="TextRefCopy68" localSheetId="10">'[37]PIBs valuation'!#REF!</definedName>
    <definedName name="TextRefCopy68" localSheetId="11">'[37]PIBs valuation'!#REF!</definedName>
    <definedName name="TextRefCopy68">'[37]PIBs valuation'!#REF!</definedName>
    <definedName name="TextRefCopy69" localSheetId="20">#REF!</definedName>
    <definedName name="TextRefCopy69" localSheetId="14">#REF!</definedName>
    <definedName name="TextRefCopy69" localSheetId="10">#REF!</definedName>
    <definedName name="TextRefCopy69" localSheetId="11">#REF!</definedName>
    <definedName name="TextRefCopy69">#REF!</definedName>
    <definedName name="TextRefCopy7" localSheetId="20">[32]Movement!#REF!</definedName>
    <definedName name="TextRefCopy7" localSheetId="14">[32]Movement!#REF!</definedName>
    <definedName name="TextRefCopy7" localSheetId="10">[32]Movement!#REF!</definedName>
    <definedName name="TextRefCopy7" localSheetId="11">[32]Movement!#REF!</definedName>
    <definedName name="TextRefCopy7">[32]Movement!#REF!</definedName>
    <definedName name="TextRefCopy70" localSheetId="14">'[37]PIBs valuation'!#REF!</definedName>
    <definedName name="TextRefCopy70" localSheetId="10">'[37]PIBs valuation'!#REF!</definedName>
    <definedName name="TextRefCopy70" localSheetId="11">'[37]PIBs valuation'!#REF!</definedName>
    <definedName name="TextRefCopy70">'[37]PIBs valuation'!#REF!</definedName>
    <definedName name="TextRefCopy71" localSheetId="20">#REF!</definedName>
    <definedName name="TextRefCopy71" localSheetId="14">#REF!</definedName>
    <definedName name="TextRefCopy71" localSheetId="10">#REF!</definedName>
    <definedName name="TextRefCopy71" localSheetId="11">#REF!</definedName>
    <definedName name="TextRefCopy71">#REF!</definedName>
    <definedName name="TextRefCopy72" localSheetId="14">#REF!</definedName>
    <definedName name="TextRefCopy72" localSheetId="10">#REF!</definedName>
    <definedName name="TextRefCopy72" localSheetId="11">#REF!</definedName>
    <definedName name="TextRefCopy72">#REF!</definedName>
    <definedName name="TextRefCopy73" localSheetId="14">'[37]PIBs valuation'!#REF!</definedName>
    <definedName name="TextRefCopy73" localSheetId="10">'[37]PIBs valuation'!#REF!</definedName>
    <definedName name="TextRefCopy73" localSheetId="11">'[37]PIBs valuation'!#REF!</definedName>
    <definedName name="TextRefCopy73">'[37]PIBs valuation'!#REF!</definedName>
    <definedName name="TextRefCopy74" localSheetId="20">#REF!</definedName>
    <definedName name="TextRefCopy74" localSheetId="14">#REF!</definedName>
    <definedName name="TextRefCopy74" localSheetId="10">#REF!</definedName>
    <definedName name="TextRefCopy74" localSheetId="11">#REF!</definedName>
    <definedName name="TextRefCopy74">#REF!</definedName>
    <definedName name="TextRefCopy75" localSheetId="14">#REF!</definedName>
    <definedName name="TextRefCopy75" localSheetId="10">#REF!</definedName>
    <definedName name="TextRefCopy75" localSheetId="11">#REF!</definedName>
    <definedName name="TextRefCopy75">#REF!</definedName>
    <definedName name="TextRefCopy76" localSheetId="14">#REF!</definedName>
    <definedName name="TextRefCopy76" localSheetId="10">#REF!</definedName>
    <definedName name="TextRefCopy76" localSheetId="11">#REF!</definedName>
    <definedName name="TextRefCopy76">#REF!</definedName>
    <definedName name="TextRefCopy77" localSheetId="14">#REF!</definedName>
    <definedName name="TextRefCopy77" localSheetId="10">#REF!</definedName>
    <definedName name="TextRefCopy77" localSheetId="11">#REF!</definedName>
    <definedName name="TextRefCopy77">#REF!</definedName>
    <definedName name="TextRefCopy78" localSheetId="14">#REF!</definedName>
    <definedName name="TextRefCopy78" localSheetId="10">#REF!</definedName>
    <definedName name="TextRefCopy78" localSheetId="11">#REF!</definedName>
    <definedName name="TextRefCopy78">#REF!</definedName>
    <definedName name="TextRefCopy79" localSheetId="14">#REF!</definedName>
    <definedName name="TextRefCopy79" localSheetId="10">#REF!</definedName>
    <definedName name="TextRefCopy79" localSheetId="11">#REF!</definedName>
    <definedName name="TextRefCopy79">#REF!</definedName>
    <definedName name="TextRefCopy8" localSheetId="14">[32]Movement!#REF!</definedName>
    <definedName name="TextRefCopy8" localSheetId="10">[32]Movement!#REF!</definedName>
    <definedName name="TextRefCopy8" localSheetId="11">[32]Movement!#REF!</definedName>
    <definedName name="TextRefCopy8">[32]Movement!#REF!</definedName>
    <definedName name="TextRefCopy80" localSheetId="20">#REF!</definedName>
    <definedName name="TextRefCopy80" localSheetId="14">#REF!</definedName>
    <definedName name="TextRefCopy80" localSheetId="10">#REF!</definedName>
    <definedName name="TextRefCopy80" localSheetId="11">#REF!</definedName>
    <definedName name="TextRefCopy80">#REF!</definedName>
    <definedName name="TextRefCopy81" localSheetId="14">#REF!</definedName>
    <definedName name="TextRefCopy81" localSheetId="10">#REF!</definedName>
    <definedName name="TextRefCopy81" localSheetId="11">#REF!</definedName>
    <definedName name="TextRefCopy81">#REF!</definedName>
    <definedName name="TextRefCopy82" localSheetId="14">#REF!</definedName>
    <definedName name="TextRefCopy82" localSheetId="10">#REF!</definedName>
    <definedName name="TextRefCopy82" localSheetId="11">#REF!</definedName>
    <definedName name="TextRefCopy82">#REF!</definedName>
    <definedName name="TextRefCopy83" localSheetId="14">#REF!</definedName>
    <definedName name="TextRefCopy83" localSheetId="10">#REF!</definedName>
    <definedName name="TextRefCopy83" localSheetId="11">#REF!</definedName>
    <definedName name="TextRefCopy83">#REF!</definedName>
    <definedName name="TextRefCopy84" localSheetId="14">#REF!</definedName>
    <definedName name="TextRefCopy84" localSheetId="10">#REF!</definedName>
    <definedName name="TextRefCopy84" localSheetId="11">#REF!</definedName>
    <definedName name="TextRefCopy84">#REF!</definedName>
    <definedName name="TextRefCopy85" localSheetId="14">'[37]PIBs Movement'!#REF!</definedName>
    <definedName name="TextRefCopy85" localSheetId="10">'[37]PIBs Movement'!#REF!</definedName>
    <definedName name="TextRefCopy85" localSheetId="11">'[37]PIBs Movement'!#REF!</definedName>
    <definedName name="TextRefCopy85">'[37]PIBs Movement'!#REF!</definedName>
    <definedName name="TextRefCopy86" localSheetId="20">#REF!</definedName>
    <definedName name="TextRefCopy86" localSheetId="14">#REF!</definedName>
    <definedName name="TextRefCopy86" localSheetId="10">#REF!</definedName>
    <definedName name="TextRefCopy86" localSheetId="11">#REF!</definedName>
    <definedName name="TextRefCopy86">#REF!</definedName>
    <definedName name="TextRefCopy87" localSheetId="14">#REF!</definedName>
    <definedName name="TextRefCopy87" localSheetId="10">#REF!</definedName>
    <definedName name="TextRefCopy87" localSheetId="11">#REF!</definedName>
    <definedName name="TextRefCopy87">#REF!</definedName>
    <definedName name="TextRefCopy88" localSheetId="14">#REF!</definedName>
    <definedName name="TextRefCopy88" localSheetId="10">#REF!</definedName>
    <definedName name="TextRefCopy88" localSheetId="11">#REF!</definedName>
    <definedName name="TextRefCopy88">#REF!</definedName>
    <definedName name="TextRefCopy89" localSheetId="14">#REF!</definedName>
    <definedName name="TextRefCopy89" localSheetId="10">#REF!</definedName>
    <definedName name="TextRefCopy89" localSheetId="11">#REF!</definedName>
    <definedName name="TextRefCopy89">#REF!</definedName>
    <definedName name="TextRefCopy9" localSheetId="14">#REF!</definedName>
    <definedName name="TextRefCopy9" localSheetId="10">#REF!</definedName>
    <definedName name="TextRefCopy9" localSheetId="11">#REF!</definedName>
    <definedName name="TextRefCopy9">#REF!</definedName>
    <definedName name="TextRefCopy90" localSheetId="14">#REF!</definedName>
    <definedName name="TextRefCopy90" localSheetId="10">#REF!</definedName>
    <definedName name="TextRefCopy90" localSheetId="11">#REF!</definedName>
    <definedName name="TextRefCopy90">#REF!</definedName>
    <definedName name="TextRefCopy91" localSheetId="14">#REF!</definedName>
    <definedName name="TextRefCopy91" localSheetId="10">#REF!</definedName>
    <definedName name="TextRefCopy91" localSheetId="11">#REF!</definedName>
    <definedName name="TextRefCopy91">#REF!</definedName>
    <definedName name="TextRefCopy92" localSheetId="14">[39]Movement!#REF!</definedName>
    <definedName name="TextRefCopy92" localSheetId="10">[39]Movement!#REF!</definedName>
    <definedName name="TextRefCopy92" localSheetId="11">[39]Movement!#REF!</definedName>
    <definedName name="TextRefCopy92">[39]Movement!#REF!</definedName>
    <definedName name="TextRefCopyRangeCount" hidden="1">35</definedName>
    <definedName name="Title" localSheetId="20">#REF!</definedName>
    <definedName name="Title" localSheetId="14">#REF!</definedName>
    <definedName name="Title" localSheetId="10">#REF!</definedName>
    <definedName name="Title" localSheetId="11">#REF!</definedName>
    <definedName name="Title">#REF!</definedName>
    <definedName name="TmpDALS_GrandTotal">'Lead - 2020'!$405:$405</definedName>
    <definedName name="TmpRESERVED_DATA">'Lead - 2020'!$A:$A</definedName>
    <definedName name="Tot_knw_Xfoot" localSheetId="20">#REF!</definedName>
    <definedName name="Tot_knw_Xfoot" localSheetId="14">#REF!</definedName>
    <definedName name="Tot_knw_Xfoot" localSheetId="10">#REF!</definedName>
    <definedName name="Tot_knw_Xfoot" localSheetId="11">#REF!</definedName>
    <definedName name="Tot_knw_Xfoot">#REF!</definedName>
    <definedName name="Tot_lik_Xfoot" localSheetId="14">#REF!</definedName>
    <definedName name="Tot_lik_Xfoot" localSheetId="10">#REF!</definedName>
    <definedName name="Tot_lik_Xfoot" localSheetId="11">#REF!</definedName>
    <definedName name="Tot_lik_Xfoot">#REF!</definedName>
    <definedName name="TOTAL" localSheetId="14">#REF!</definedName>
    <definedName name="TOTAL" localSheetId="10">#REF!</definedName>
    <definedName name="TOTAL" localSheetId="11">#REF!</definedName>
    <definedName name="TOTAL">#REF!</definedName>
    <definedName name="Total_Amount" localSheetId="14">#REF!</definedName>
    <definedName name="Total_Amount" localSheetId="10">#REF!</definedName>
    <definedName name="Total_Amount" localSheetId="11">#REF!</definedName>
    <definedName name="Total_Amount">#REF!</definedName>
    <definedName name="Total_anticipated_uncorrected_misstatements" localSheetId="14">#REF!</definedName>
    <definedName name="Total_anticipated_uncorrected_misstatements" localSheetId="10">#REF!</definedName>
    <definedName name="Total_anticipated_uncorrected_misstatements" localSheetId="11">#REF!</definedName>
    <definedName name="Total_anticipated_uncorrected_misstatements">#REF!</definedName>
    <definedName name="Total_Interest" localSheetId="14">#REF!</definedName>
    <definedName name="Total_Interest" localSheetId="10">#REF!</definedName>
    <definedName name="Total_Interest" localSheetId="11">#REF!</definedName>
    <definedName name="Total_Interest">#REF!</definedName>
    <definedName name="Total_Pay" localSheetId="14">#REF!</definedName>
    <definedName name="Total_Pay" localSheetId="10">#REF!</definedName>
    <definedName name="Total_Pay" localSheetId="11">#REF!</definedName>
    <definedName name="Total_Pay">#REF!</definedName>
    <definedName name="Total_Payment" localSheetId="20">Scheduled_Payment+Extra_Payment</definedName>
    <definedName name="Total_Payment" localSheetId="14">Scheduled_Payment+Extra_Payment</definedName>
    <definedName name="Total_Payment" localSheetId="10">Scheduled_Payment+Extra_Payment</definedName>
    <definedName name="Total_Payment" localSheetId="11">Scheduled_Payment+Extra_Payment</definedName>
    <definedName name="Total_Payment">Scheduled_Payment+Extra_Payment</definedName>
    <definedName name="Total_Population2" localSheetId="20">#REF!</definedName>
    <definedName name="Total_Population2" localSheetId="14">#REF!</definedName>
    <definedName name="Total_Population2" localSheetId="10">#REF!</definedName>
    <definedName name="Total_Population2" localSheetId="11">#REF!</definedName>
    <definedName name="Total_Population2">#REF!</definedName>
    <definedName name="TRF" localSheetId="20">'[1]last qrt2001'!#REF!</definedName>
    <definedName name="TRF" localSheetId="14">'[1]last qrt2001'!#REF!</definedName>
    <definedName name="TRF" localSheetId="10">'[1]last qrt2001'!#REF!</definedName>
    <definedName name="TRF" localSheetId="11">'[1]last qrt2001'!#REF!</definedName>
    <definedName name="TRF">'[1]last qrt2001'!#REF!</definedName>
    <definedName name="two" localSheetId="20">#REF!</definedName>
    <definedName name="two" localSheetId="14">#REF!</definedName>
    <definedName name="two" localSheetId="10">#REF!</definedName>
    <definedName name="two" localSheetId="11">#REF!</definedName>
    <definedName name="two">#REF!</definedName>
    <definedName name="Units" localSheetId="14">#REF!</definedName>
    <definedName name="Units" localSheetId="10">#REF!</definedName>
    <definedName name="Units" localSheetId="11">#REF!</definedName>
    <definedName name="Units">#REF!</definedName>
    <definedName name="usman" localSheetId="14">#REF!</definedName>
    <definedName name="usman" localSheetId="10">#REF!</definedName>
    <definedName name="usman" localSheetId="11">#REF!</definedName>
    <definedName name="usman">#REF!</definedName>
    <definedName name="Values_Entered" localSheetId="20">IF('17.1 (2)'!Loan_Amount*Interest_Rate*Loan_Years*Loan_Start&gt;0,1,0)</definedName>
    <definedName name="Values_Entered" localSheetId="14">IF('18'!Loan_Amount*'18'!Interest_Rate*'18'!Loan_Years*'18'!Loan_Start&gt;0,1,0)</definedName>
    <definedName name="Values_Entered" localSheetId="10">IF('5.3'!Loan_Amount*'5.3'!Interest_Rate*'5.3'!Loan_Years*'5.3'!Loan_Start&gt;0,1,0)</definedName>
    <definedName name="Values_Entered" localSheetId="11">IF('5.4'!Loan_Amount*'5.4'!Interest_Rate*'5.4'!Loan_Years*'5.4'!Loan_Start&gt;0,1,0)</definedName>
    <definedName name="Values_Entered">IF(Loan_Amount*Interest_Rate*Loan_Years*Loan_Start&gt;0,1,0)</definedName>
    <definedName name="W" localSheetId="20">#REF!</definedName>
    <definedName name="W" localSheetId="14">#REF!</definedName>
    <definedName name="W" localSheetId="10">#REF!</definedName>
    <definedName name="W" localSheetId="11">#REF!</definedName>
    <definedName name="W">#REF!</definedName>
    <definedName name="Weekly2">[26]PIBrevrepo!$F$1:$G$65536</definedName>
    <definedName name="wrn.Aging._.and._.Trend._.Analysis." localSheetId="20"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tariq." localSheetId="20" hidden="1">{#N/A,#N/A,FALSE,"Fax"}</definedName>
    <definedName name="wrn.tariq." hidden="1">{#N/A,#N/A,FALSE,"Fax"}</definedName>
    <definedName name="wsx" localSheetId="20" hidden="1">{"'CALL MONEY'!$K$53"}</definedName>
    <definedName name="wsx" hidden="1">{"'CALL MONEY'!$K$53"}</definedName>
    <definedName name="www\" localSheetId="14">#REF!</definedName>
    <definedName name="www\" localSheetId="10">#REF!</definedName>
    <definedName name="www\" localSheetId="11">#REF!</definedName>
    <definedName name="www\">#REF!</definedName>
    <definedName name="X" localSheetId="14">#REF!</definedName>
    <definedName name="X" localSheetId="10">#REF!</definedName>
    <definedName name="X" localSheetId="11">#REF!</definedName>
    <definedName name="X">#REF!</definedName>
    <definedName name="XREF_COLUMN_1" localSheetId="14" hidden="1">[40]Working!#REF!</definedName>
    <definedName name="XREF_COLUMN_1" localSheetId="10" hidden="1">[40]Working!#REF!</definedName>
    <definedName name="XREF_COLUMN_1" localSheetId="11" hidden="1">[40]Working!#REF!</definedName>
    <definedName name="XREF_COLUMN_1" hidden="1">[40]Working!#REF!</definedName>
    <definedName name="XREF_COLUMN_2" localSheetId="14" hidden="1">[32]Movement!#REF!</definedName>
    <definedName name="XREF_COLUMN_2" localSheetId="10" hidden="1">[32]Movement!#REF!</definedName>
    <definedName name="XREF_COLUMN_2" localSheetId="11" hidden="1">[32]Movement!#REF!</definedName>
    <definedName name="XREF_COLUMN_2" hidden="1">[32]Movement!#REF!</definedName>
    <definedName name="XREF_COLUMN_3" localSheetId="14" hidden="1">[32]Movement!#REF!</definedName>
    <definedName name="XREF_COLUMN_3" localSheetId="10" hidden="1">[32]Movement!#REF!</definedName>
    <definedName name="XREF_COLUMN_3" localSheetId="11" hidden="1">[32]Movement!#REF!</definedName>
    <definedName name="XREF_COLUMN_3" hidden="1">[32]Movement!#REF!</definedName>
    <definedName name="XREF_COLUMN_4" localSheetId="20" hidden="1">#REF!</definedName>
    <definedName name="XREF_COLUMN_4" localSheetId="14" hidden="1">#REF!</definedName>
    <definedName name="XREF_COLUMN_4" localSheetId="10" hidden="1">#REF!</definedName>
    <definedName name="XREF_COLUMN_4" localSheetId="11" hidden="1">#REF!</definedName>
    <definedName name="XREF_COLUMN_4" hidden="1">#REF!</definedName>
    <definedName name="XREF_COLUMN_5" localSheetId="20" hidden="1">[32]Movement!#REF!</definedName>
    <definedName name="XREF_COLUMN_5" localSheetId="14" hidden="1">[32]Movement!#REF!</definedName>
    <definedName name="XREF_COLUMN_5" localSheetId="10" hidden="1">[32]Movement!#REF!</definedName>
    <definedName name="XREF_COLUMN_5" localSheetId="11" hidden="1">[32]Movement!#REF!</definedName>
    <definedName name="XREF_COLUMN_5" hidden="1">[32]Movement!#REF!</definedName>
    <definedName name="XRefActiveRow" localSheetId="20" hidden="1">#REF!</definedName>
    <definedName name="XRefActiveRow" localSheetId="14" hidden="1">#REF!</definedName>
    <definedName name="XRefActiveRow" localSheetId="10" hidden="1">#REF!</definedName>
    <definedName name="XRefActiveRow" localSheetId="11" hidden="1">#REF!</definedName>
    <definedName name="XRefActiveRow" hidden="1">#REF!</definedName>
    <definedName name="XRefColumnsCount" hidden="1">5</definedName>
    <definedName name="XRefCopy1" localSheetId="20" hidden="1">[32]Movement!#REF!</definedName>
    <definedName name="XRefCopy1" localSheetId="14" hidden="1">[32]Movement!#REF!</definedName>
    <definedName name="XRefCopy1" localSheetId="10" hidden="1">[32]Movement!#REF!</definedName>
    <definedName name="XRefCopy1" localSheetId="11" hidden="1">[32]Movement!#REF!</definedName>
    <definedName name="XRefCopy1" hidden="1">[32]Movement!#REF!</definedName>
    <definedName name="XRefCopy1Row" localSheetId="20" hidden="1">#REF!</definedName>
    <definedName name="XRefCopy1Row" localSheetId="14" hidden="1">#REF!</definedName>
    <definedName name="XRefCopy1Row" localSheetId="10" hidden="1">#REF!</definedName>
    <definedName name="XRefCopy1Row" localSheetId="11" hidden="1">#REF!</definedName>
    <definedName name="XRefCopy1Row" hidden="1">#REF!</definedName>
    <definedName name="XRefCopy2" localSheetId="20" hidden="1">[32]Movement!#REF!</definedName>
    <definedName name="XRefCopy2" localSheetId="14" hidden="1">[32]Movement!#REF!</definedName>
    <definedName name="XRefCopy2" localSheetId="10" hidden="1">[32]Movement!#REF!</definedName>
    <definedName name="XRefCopy2" localSheetId="11" hidden="1">[32]Movement!#REF!</definedName>
    <definedName name="XRefCopy2" hidden="1">[32]Movement!#REF!</definedName>
    <definedName name="XRefCopy2Row" localSheetId="20" hidden="1">#REF!</definedName>
    <definedName name="XRefCopy2Row" localSheetId="14" hidden="1">#REF!</definedName>
    <definedName name="XRefCopy2Row" localSheetId="10" hidden="1">#REF!</definedName>
    <definedName name="XRefCopy2Row" localSheetId="11" hidden="1">#REF!</definedName>
    <definedName name="XRefCopy2Row" hidden="1">#REF!</definedName>
    <definedName name="XRefCopy3" localSheetId="20" hidden="1">[32]Movement!#REF!</definedName>
    <definedName name="XRefCopy3" localSheetId="14" hidden="1">[32]Movement!#REF!</definedName>
    <definedName name="XRefCopy3" localSheetId="10" hidden="1">[32]Movement!#REF!</definedName>
    <definedName name="XRefCopy3" localSheetId="11" hidden="1">[32]Movement!#REF!</definedName>
    <definedName name="XRefCopy3" hidden="1">[32]Movement!#REF!</definedName>
    <definedName name="XRefCopy3Row" localSheetId="20" hidden="1">#REF!</definedName>
    <definedName name="XRefCopy3Row" localSheetId="14" hidden="1">#REF!</definedName>
    <definedName name="XRefCopy3Row" localSheetId="10" hidden="1">#REF!</definedName>
    <definedName name="XRefCopy3Row" localSheetId="11" hidden="1">#REF!</definedName>
    <definedName name="XRefCopy3Row" hidden="1">#REF!</definedName>
    <definedName name="XRefCopy4" localSheetId="20" hidden="1">[32]Movement!#REF!</definedName>
    <definedName name="XRefCopy4" localSheetId="14" hidden="1">[32]Movement!#REF!</definedName>
    <definedName name="XRefCopy4" localSheetId="10" hidden="1">[32]Movement!#REF!</definedName>
    <definedName name="XRefCopy4" localSheetId="11" hidden="1">[32]Movement!#REF!</definedName>
    <definedName name="XRefCopy4" hidden="1">[32]Movement!#REF!</definedName>
    <definedName name="XRefCopy4Row" localSheetId="20" hidden="1">#REF!</definedName>
    <definedName name="XRefCopy4Row" localSheetId="14" hidden="1">#REF!</definedName>
    <definedName name="XRefCopy4Row" localSheetId="10" hidden="1">#REF!</definedName>
    <definedName name="XRefCopy4Row" localSheetId="11" hidden="1">#REF!</definedName>
    <definedName name="XRefCopy4Row" hidden="1">#REF!</definedName>
    <definedName name="XRefCopyRangeCount" hidden="1">4</definedName>
    <definedName name="XRefPaste2" localSheetId="20" hidden="1">#REF!</definedName>
    <definedName name="XRefPaste2" localSheetId="14" hidden="1">#REF!</definedName>
    <definedName name="XRefPaste2" localSheetId="10" hidden="1">#REF!</definedName>
    <definedName name="XRefPaste2" localSheetId="11" hidden="1">#REF!</definedName>
    <definedName name="XRefPaste2" hidden="1">#REF!</definedName>
    <definedName name="XRefPaste2Row" localSheetId="14" hidden="1">#REF!</definedName>
    <definedName name="XRefPaste2Row" localSheetId="10" hidden="1">#REF!</definedName>
    <definedName name="XRefPaste2Row" localSheetId="11" hidden="1">#REF!</definedName>
    <definedName name="XRefPaste2Row" hidden="1">#REF!</definedName>
    <definedName name="XRefPasteRangeCount" hidden="1">2</definedName>
    <definedName name="XX" localSheetId="14">'[1]last qrt2001'!#REF!</definedName>
    <definedName name="XX" localSheetId="10">'[1]last qrt2001'!#REF!</definedName>
    <definedName name="XX" localSheetId="11">'[1]last qrt2001'!#REF!</definedName>
    <definedName name="XX">'[1]last qrt2001'!#REF!</definedName>
    <definedName name="YCAB" localSheetId="20">#REF!</definedName>
    <definedName name="YCAB" localSheetId="14">#REF!</definedName>
    <definedName name="YCAB" localSheetId="10">#REF!</definedName>
    <definedName name="YCAB" localSheetId="11">#REF!</definedName>
    <definedName name="YCAB">#REF!</definedName>
    <definedName name="YEMEN1">[3]Sheet4!$L$222:$L$313</definedName>
    <definedName name="YEMEN2">[3]Sheet4!$Y$222:$Y$313</definedName>
    <definedName name="zaheer" localSheetId="20">#REF!</definedName>
    <definedName name="zaheer" localSheetId="14">#REF!</definedName>
    <definedName name="zaheer" localSheetId="10">#REF!</definedName>
    <definedName name="zaheer" localSheetId="11">#REF!</definedName>
    <definedName name="zaheer">#REF!</definedName>
  </definedNames>
  <calcPr calcId="162913"/>
  <pivotCaches>
    <pivotCache cacheId="0" r:id="rId67"/>
  </pivotCaches>
</workbook>
</file>

<file path=xl/calcChain.xml><?xml version="1.0" encoding="utf-8"?>
<calcChain xmlns="http://schemas.openxmlformats.org/spreadsheetml/2006/main">
  <c r="N257" i="12" l="1"/>
  <c r="M257" i="12"/>
  <c r="M256" i="12"/>
  <c r="N256" i="12" s="1"/>
  <c r="N258" i="12" s="1"/>
  <c r="E39" i="4"/>
  <c r="M258" i="12" l="1"/>
  <c r="AE11" i="6"/>
  <c r="AE10" i="6"/>
  <c r="O30" i="22" l="1"/>
  <c r="O28" i="22"/>
  <c r="O26" i="22"/>
  <c r="O24" i="22"/>
  <c r="O22" i="22"/>
  <c r="G30" i="22" l="1"/>
  <c r="G28" i="22"/>
  <c r="G34" i="22"/>
  <c r="M419" i="12" l="1"/>
  <c r="M416" i="12"/>
  <c r="M413" i="12"/>
  <c r="M357" i="12"/>
  <c r="M353" i="12"/>
  <c r="M348" i="12"/>
  <c r="M410" i="12"/>
  <c r="M341" i="12"/>
  <c r="M407" i="12"/>
  <c r="M344" i="12"/>
  <c r="N273" i="12" l="1"/>
  <c r="K6" i="4" l="1"/>
  <c r="M24" i="3"/>
  <c r="O66" i="20" l="1"/>
  <c r="O64" i="20"/>
  <c r="O63" i="20"/>
  <c r="O62" i="20"/>
  <c r="O61" i="20"/>
  <c r="O60" i="20"/>
  <c r="O59" i="20"/>
  <c r="O56" i="20"/>
  <c r="O55" i="20"/>
  <c r="O54" i="20"/>
  <c r="O39" i="20"/>
  <c r="O37" i="20"/>
  <c r="O36" i="20"/>
  <c r="O35" i="20"/>
  <c r="AG5" i="6"/>
  <c r="AH42" i="6"/>
  <c r="AF5" i="6" s="1"/>
  <c r="AG42" i="6"/>
  <c r="E4" i="24"/>
  <c r="E5" i="24"/>
  <c r="E6" i="24"/>
  <c r="E7" i="24"/>
  <c r="E8" i="24"/>
  <c r="E9" i="24"/>
  <c r="E10" i="24"/>
  <c r="E11" i="24"/>
  <c r="G11" i="24" s="1"/>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G71" i="24" s="1"/>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65" i="24"/>
  <c r="E166" i="24"/>
  <c r="E167" i="24"/>
  <c r="E168" i="24"/>
  <c r="E169" i="24"/>
  <c r="E170" i="24"/>
  <c r="E171" i="24"/>
  <c r="E172" i="24"/>
  <c r="E173"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G188" i="24" s="1"/>
  <c r="E202" i="24"/>
  <c r="E203" i="24"/>
  <c r="E204" i="24"/>
  <c r="E205" i="24"/>
  <c r="E206" i="24"/>
  <c r="E207" i="24"/>
  <c r="E208" i="24"/>
  <c r="E209" i="24"/>
  <c r="Q21" i="3"/>
  <c r="F132" i="8"/>
  <c r="F207" i="24"/>
  <c r="F208" i="24"/>
  <c r="F209" i="24"/>
  <c r="G8" i="24" l="1"/>
  <c r="G9" i="24" s="1"/>
  <c r="G187" i="24"/>
  <c r="G189" i="24" s="1"/>
  <c r="H63" i="10"/>
  <c r="G63" i="10"/>
  <c r="H62" i="10"/>
  <c r="G62" i="10"/>
  <c r="H69" i="10"/>
  <c r="G69" i="10"/>
  <c r="H114" i="10"/>
  <c r="G114" i="10"/>
  <c r="H106" i="10"/>
  <c r="G106" i="10"/>
  <c r="H110" i="10"/>
  <c r="G110" i="10"/>
  <c r="F64" i="10" l="1"/>
  <c r="I53" i="9"/>
  <c r="H53" i="9"/>
  <c r="I51" i="9"/>
  <c r="H51" i="9"/>
  <c r="I52" i="9"/>
  <c r="H52" i="9"/>
  <c r="I50" i="9"/>
  <c r="H50" i="9"/>
  <c r="I36" i="9"/>
  <c r="J36" i="9"/>
  <c r="H36" i="9"/>
  <c r="G25" i="9"/>
  <c r="G26" i="9"/>
  <c r="G27" i="9"/>
  <c r="G28" i="9"/>
  <c r="G29" i="9"/>
  <c r="G30" i="9"/>
  <c r="G31" i="9"/>
  <c r="G32" i="9"/>
  <c r="G33" i="9"/>
  <c r="G34" i="9"/>
  <c r="G53" i="9"/>
  <c r="J53" i="9"/>
  <c r="A35" i="7" l="1"/>
  <c r="AH23" i="6"/>
  <c r="AH44" i="6" s="1"/>
  <c r="AG23" i="6"/>
  <c r="AG44" i="6" s="1"/>
  <c r="AF3" i="6" l="1"/>
  <c r="AG3" i="6"/>
  <c r="J29" i="4" l="1"/>
  <c r="M18" i="3"/>
  <c r="N28" i="3"/>
  <c r="F4" i="24"/>
  <c r="F5" i="24"/>
  <c r="F6" i="24"/>
  <c r="F7" i="24"/>
  <c r="F8" i="24"/>
  <c r="F9" i="24"/>
  <c r="F10" i="24"/>
  <c r="F11" i="24"/>
  <c r="F12" i="24"/>
  <c r="F13" i="24"/>
  <c r="F14" i="24"/>
  <c r="F15" i="24"/>
  <c r="F16" i="24"/>
  <c r="F17" i="24"/>
  <c r="F18" i="24"/>
  <c r="F19" i="24"/>
  <c r="F20" i="24"/>
  <c r="F21" i="24"/>
  <c r="F22" i="24"/>
  <c r="F23" i="24"/>
  <c r="F24" i="24"/>
  <c r="F25" i="24"/>
  <c r="F26" i="24"/>
  <c r="F27" i="24"/>
  <c r="F28" i="24"/>
  <c r="F29" i="24"/>
  <c r="F30"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64" i="24"/>
  <c r="F65" i="24"/>
  <c r="F66" i="24"/>
  <c r="F67" i="24"/>
  <c r="F68" i="24"/>
  <c r="F69" i="24"/>
  <c r="F70" i="24"/>
  <c r="F71" i="24"/>
  <c r="F72" i="24"/>
  <c r="F73" i="24"/>
  <c r="F75" i="24"/>
  <c r="F76" i="24"/>
  <c r="F77" i="24"/>
  <c r="F78" i="24"/>
  <c r="F79" i="24"/>
  <c r="F80" i="24"/>
  <c r="F81" i="24"/>
  <c r="F82" i="24"/>
  <c r="F84" i="24"/>
  <c r="F85" i="24"/>
  <c r="F86" i="24"/>
  <c r="F87" i="24"/>
  <c r="F88" i="24"/>
  <c r="F89" i="24"/>
  <c r="F90" i="24"/>
  <c r="F91" i="24"/>
  <c r="F92" i="24"/>
  <c r="F93" i="24"/>
  <c r="F94" i="24"/>
  <c r="F95" i="24"/>
  <c r="F96" i="24"/>
  <c r="F97" i="24"/>
  <c r="G82" i="24" s="1"/>
  <c r="F98" i="24"/>
  <c r="F99" i="24"/>
  <c r="F100" i="24"/>
  <c r="F101" i="24"/>
  <c r="F102" i="24"/>
  <c r="F103" i="24"/>
  <c r="F104" i="24"/>
  <c r="F105" i="24"/>
  <c r="F106" i="24"/>
  <c r="F107" i="24"/>
  <c r="F108" i="24"/>
  <c r="F109" i="24"/>
  <c r="F110" i="24"/>
  <c r="F111" i="24"/>
  <c r="F112" i="24"/>
  <c r="F113" i="24"/>
  <c r="F114" i="24"/>
  <c r="F115" i="24"/>
  <c r="F116" i="24"/>
  <c r="F117" i="24"/>
  <c r="F118" i="24"/>
  <c r="F119" i="24"/>
  <c r="F120" i="24"/>
  <c r="F121" i="24"/>
  <c r="F122" i="24"/>
  <c r="F123" i="24"/>
  <c r="F124" i="24"/>
  <c r="F125" i="24"/>
  <c r="F126" i="24"/>
  <c r="F127" i="24"/>
  <c r="F128" i="24"/>
  <c r="F129" i="24"/>
  <c r="F130" i="24"/>
  <c r="F131" i="24"/>
  <c r="F132" i="24"/>
  <c r="F133" i="24"/>
  <c r="F134" i="24"/>
  <c r="F135" i="24"/>
  <c r="F136" i="24"/>
  <c r="F137" i="24"/>
  <c r="F138" i="24"/>
  <c r="F139" i="24"/>
  <c r="F140" i="24"/>
  <c r="F141" i="24"/>
  <c r="F142" i="24"/>
  <c r="F143" i="24"/>
  <c r="F144" i="24"/>
  <c r="F145" i="24"/>
  <c r="F146" i="24"/>
  <c r="F147" i="24"/>
  <c r="F148" i="24"/>
  <c r="F149" i="24"/>
  <c r="F150" i="24"/>
  <c r="F151" i="24"/>
  <c r="F152" i="24"/>
  <c r="F153" i="24"/>
  <c r="F154" i="24"/>
  <c r="F155" i="24"/>
  <c r="F156" i="24"/>
  <c r="F157" i="24"/>
  <c r="F158" i="24"/>
  <c r="F159" i="24"/>
  <c r="F160" i="24"/>
  <c r="F161" i="24"/>
  <c r="F162" i="24"/>
  <c r="F163" i="24"/>
  <c r="F164" i="24"/>
  <c r="F165" i="24"/>
  <c r="F166" i="24"/>
  <c r="F167" i="24"/>
  <c r="F168" i="24"/>
  <c r="F169" i="24"/>
  <c r="F170" i="24"/>
  <c r="F171" i="24"/>
  <c r="F172" i="24"/>
  <c r="F173" i="24"/>
  <c r="F174" i="24"/>
  <c r="F175" i="24"/>
  <c r="F176" i="24"/>
  <c r="F177" i="24"/>
  <c r="F178" i="24"/>
  <c r="F179" i="24"/>
  <c r="F180" i="24"/>
  <c r="F181" i="24"/>
  <c r="F182" i="24"/>
  <c r="F183" i="24"/>
  <c r="F184" i="24"/>
  <c r="F185" i="24"/>
  <c r="F186" i="24"/>
  <c r="F187" i="24"/>
  <c r="F188" i="24"/>
  <c r="F189" i="24"/>
  <c r="F190" i="24"/>
  <c r="F191" i="24"/>
  <c r="F192" i="24"/>
  <c r="F193" i="24"/>
  <c r="F194" i="24"/>
  <c r="G206" i="24"/>
  <c r="F195" i="24"/>
  <c r="F196" i="24"/>
  <c r="F197" i="24"/>
  <c r="F198" i="24"/>
  <c r="F199" i="24"/>
  <c r="F200" i="24"/>
  <c r="F201" i="24"/>
  <c r="F202" i="24"/>
  <c r="F203" i="24"/>
  <c r="F204" i="24"/>
  <c r="F205" i="24"/>
  <c r="F206" i="24"/>
  <c r="F3" i="24"/>
  <c r="E3" i="24"/>
  <c r="G28" i="24" s="1"/>
  <c r="G138" i="24" l="1"/>
  <c r="G108" i="24"/>
  <c r="G161" i="24"/>
  <c r="G165" i="24"/>
  <c r="G131" i="24"/>
  <c r="I27" i="3"/>
  <c r="Y123" i="20"/>
  <c r="G72" i="9"/>
  <c r="G73" i="9"/>
  <c r="I55" i="9"/>
  <c r="H55" i="9"/>
  <c r="G51" i="9"/>
  <c r="J51" i="9"/>
  <c r="G52" i="9"/>
  <c r="J52" i="9"/>
  <c r="O33" i="4" l="1"/>
  <c r="H5" i="5" l="1"/>
  <c r="H4" i="5"/>
  <c r="K39" i="3" l="1"/>
  <c r="K38" i="3"/>
  <c r="A36" i="8" l="1"/>
  <c r="A82" i="8" s="1"/>
  <c r="A91" i="8" s="1"/>
  <c r="A101" i="8" s="1"/>
  <c r="A109" i="8" s="1"/>
  <c r="A124" i="8" s="1"/>
  <c r="A169" i="12" s="1"/>
  <c r="A256" i="12" s="1"/>
  <c r="A276" i="12" s="1"/>
  <c r="A281" i="12" s="1"/>
  <c r="A290" i="12" s="1"/>
  <c r="E70" i="4" l="1"/>
  <c r="A295" i="12"/>
  <c r="A426" i="12" s="1"/>
  <c r="A452" i="12" s="1"/>
  <c r="A459" i="12" l="1"/>
  <c r="A315" i="12"/>
  <c r="D195" i="23"/>
  <c r="C195" i="23"/>
  <c r="E120" i="23"/>
  <c r="E118" i="23"/>
  <c r="E109" i="23"/>
  <c r="E98" i="23"/>
  <c r="E77" i="23"/>
  <c r="E53" i="23"/>
  <c r="F189" i="23"/>
  <c r="G193" i="23"/>
  <c r="F193" i="23"/>
  <c r="G192" i="23"/>
  <c r="F192" i="23"/>
  <c r="G191" i="23"/>
  <c r="F191" i="23"/>
  <c r="G190" i="23"/>
  <c r="F190" i="23"/>
  <c r="G189" i="23"/>
  <c r="G188" i="23"/>
  <c r="F188" i="23"/>
  <c r="G187" i="23"/>
  <c r="F187" i="23"/>
  <c r="G186" i="23"/>
  <c r="F186" i="23"/>
  <c r="G185" i="23"/>
  <c r="F185" i="23"/>
  <c r="G184" i="23"/>
  <c r="F184" i="23"/>
  <c r="G183" i="23"/>
  <c r="F183" i="23"/>
  <c r="G182" i="23"/>
  <c r="F182" i="23"/>
  <c r="G181" i="23"/>
  <c r="F181" i="23"/>
  <c r="G180" i="23"/>
  <c r="F180" i="23"/>
  <c r="G179" i="23"/>
  <c r="F179" i="23"/>
  <c r="G178" i="23"/>
  <c r="F178" i="23"/>
  <c r="G177" i="23"/>
  <c r="F177" i="23"/>
  <c r="G176" i="23"/>
  <c r="F176" i="23"/>
  <c r="G175" i="23"/>
  <c r="F175" i="23"/>
  <c r="G174" i="23"/>
  <c r="F174" i="23"/>
  <c r="G173" i="23"/>
  <c r="F173" i="23"/>
  <c r="G172" i="23"/>
  <c r="F172" i="23"/>
  <c r="G171" i="23"/>
  <c r="F171" i="23"/>
  <c r="G170" i="23"/>
  <c r="F170" i="23"/>
  <c r="G169" i="23"/>
  <c r="F169" i="23"/>
  <c r="G168" i="23"/>
  <c r="F168" i="23"/>
  <c r="G167" i="23"/>
  <c r="F167" i="23"/>
  <c r="G166" i="23"/>
  <c r="F166" i="23"/>
  <c r="G165" i="23"/>
  <c r="F165" i="23"/>
  <c r="G163" i="23"/>
  <c r="F163" i="23"/>
  <c r="G162" i="23"/>
  <c r="F162" i="23"/>
  <c r="G161" i="23"/>
  <c r="F161" i="23"/>
  <c r="G160" i="23"/>
  <c r="F160" i="23"/>
  <c r="G159" i="23"/>
  <c r="F159" i="23"/>
  <c r="G158" i="23"/>
  <c r="F158" i="23"/>
  <c r="G157" i="23"/>
  <c r="F157" i="23"/>
  <c r="G156" i="23"/>
  <c r="F156" i="23"/>
  <c r="G155" i="23"/>
  <c r="F155" i="23"/>
  <c r="G154" i="23"/>
  <c r="F154" i="23"/>
  <c r="G153" i="23"/>
  <c r="F153" i="23"/>
  <c r="G152" i="23"/>
  <c r="F152" i="23"/>
  <c r="G151" i="23"/>
  <c r="F151" i="23"/>
  <c r="G150" i="23"/>
  <c r="F150" i="23"/>
  <c r="G149" i="23"/>
  <c r="F149" i="23"/>
  <c r="G148" i="23"/>
  <c r="F148" i="23"/>
  <c r="G147" i="23"/>
  <c r="F147" i="23"/>
  <c r="G146" i="23"/>
  <c r="F146" i="23"/>
  <c r="G145" i="23"/>
  <c r="F145" i="23"/>
  <c r="G144" i="23"/>
  <c r="F144" i="23"/>
  <c r="G143" i="23"/>
  <c r="F143" i="23"/>
  <c r="G142" i="23"/>
  <c r="F142" i="23"/>
  <c r="G141" i="23"/>
  <c r="F141" i="23"/>
  <c r="G140" i="23"/>
  <c r="F140" i="23"/>
  <c r="G139" i="23"/>
  <c r="F139" i="23"/>
  <c r="G138" i="23"/>
  <c r="F138" i="23"/>
  <c r="G137" i="23"/>
  <c r="F137" i="23"/>
  <c r="G136" i="23"/>
  <c r="F136" i="23"/>
  <c r="G135" i="23"/>
  <c r="F135" i="23"/>
  <c r="G134" i="23"/>
  <c r="F134" i="23"/>
  <c r="G133" i="23"/>
  <c r="F133" i="23"/>
  <c r="G132" i="23"/>
  <c r="F132" i="23"/>
  <c r="G131" i="23"/>
  <c r="F131" i="23"/>
  <c r="G130" i="23"/>
  <c r="F130" i="23"/>
  <c r="G129" i="23"/>
  <c r="F129" i="23"/>
  <c r="G128" i="23"/>
  <c r="F128" i="23"/>
  <c r="G127" i="23"/>
  <c r="F127" i="23"/>
  <c r="G126" i="23"/>
  <c r="F126" i="23"/>
  <c r="G125" i="23"/>
  <c r="F125" i="23"/>
  <c r="G124" i="23"/>
  <c r="F124" i="23"/>
  <c r="G123" i="23"/>
  <c r="F123" i="23"/>
  <c r="G122" i="23"/>
  <c r="F122" i="23"/>
  <c r="G120" i="23"/>
  <c r="F120" i="23"/>
  <c r="G119" i="23"/>
  <c r="F119" i="23"/>
  <c r="G118" i="23"/>
  <c r="F118" i="23"/>
  <c r="G117" i="23"/>
  <c r="F117" i="23"/>
  <c r="G116" i="23"/>
  <c r="F116" i="23"/>
  <c r="G115" i="23"/>
  <c r="F115" i="23"/>
  <c r="G114" i="23"/>
  <c r="F114" i="23"/>
  <c r="G113" i="23"/>
  <c r="F113" i="23"/>
  <c r="G112" i="23"/>
  <c r="F112" i="23"/>
  <c r="G111" i="23"/>
  <c r="F111" i="23"/>
  <c r="G110" i="23"/>
  <c r="F110" i="23"/>
  <c r="G109" i="23"/>
  <c r="F109" i="23"/>
  <c r="G108" i="23"/>
  <c r="F108" i="23"/>
  <c r="G107" i="23"/>
  <c r="F107" i="23"/>
  <c r="G106" i="23"/>
  <c r="F106" i="23"/>
  <c r="G105" i="23"/>
  <c r="F105" i="23"/>
  <c r="G104" i="23"/>
  <c r="F104" i="23"/>
  <c r="G103" i="23"/>
  <c r="F103" i="23"/>
  <c r="G102" i="23"/>
  <c r="F102" i="23"/>
  <c r="G101" i="23"/>
  <c r="F101" i="23"/>
  <c r="G100" i="23"/>
  <c r="F100" i="23"/>
  <c r="G99" i="23"/>
  <c r="F99" i="23"/>
  <c r="G98" i="23"/>
  <c r="F98" i="23"/>
  <c r="G97" i="23"/>
  <c r="F97" i="23"/>
  <c r="G96" i="23"/>
  <c r="F96" i="23"/>
  <c r="G95" i="23"/>
  <c r="F95" i="23"/>
  <c r="G94" i="23"/>
  <c r="F94" i="23"/>
  <c r="G93" i="23"/>
  <c r="F93" i="23"/>
  <c r="G92" i="23"/>
  <c r="F92" i="23"/>
  <c r="G91" i="23"/>
  <c r="F91" i="23"/>
  <c r="G90" i="23"/>
  <c r="F90" i="23"/>
  <c r="G89" i="23"/>
  <c r="F89" i="23"/>
  <c r="G88" i="23"/>
  <c r="F88" i="23"/>
  <c r="G87" i="23"/>
  <c r="F87" i="23"/>
  <c r="G86" i="23"/>
  <c r="F86" i="23"/>
  <c r="G85" i="23"/>
  <c r="F85" i="23"/>
  <c r="G84" i="23"/>
  <c r="F84" i="23"/>
  <c r="G83" i="23"/>
  <c r="F83" i="23"/>
  <c r="G82" i="23"/>
  <c r="F82" i="23"/>
  <c r="G81" i="23"/>
  <c r="F81" i="23"/>
  <c r="G80" i="23"/>
  <c r="F80" i="23"/>
  <c r="G79" i="23"/>
  <c r="F79" i="23"/>
  <c r="G78" i="23"/>
  <c r="F78" i="23"/>
  <c r="G77" i="23"/>
  <c r="F77" i="23"/>
  <c r="G76" i="23"/>
  <c r="F76" i="23"/>
  <c r="G75" i="23"/>
  <c r="F75" i="23"/>
  <c r="G74" i="23"/>
  <c r="F74" i="23"/>
  <c r="G73" i="23"/>
  <c r="F73" i="23"/>
  <c r="G72" i="23"/>
  <c r="F72" i="23"/>
  <c r="G71" i="23"/>
  <c r="F71" i="23"/>
  <c r="G70" i="23"/>
  <c r="F70" i="23"/>
  <c r="G69" i="23"/>
  <c r="F69" i="23"/>
  <c r="G68" i="23"/>
  <c r="F68" i="23"/>
  <c r="G67" i="23"/>
  <c r="F67" i="23"/>
  <c r="G66" i="23"/>
  <c r="F66" i="23"/>
  <c r="G65" i="23"/>
  <c r="F65" i="23"/>
  <c r="G64" i="23"/>
  <c r="F64" i="23"/>
  <c r="G63" i="23"/>
  <c r="F63" i="23"/>
  <c r="G62" i="23"/>
  <c r="F62" i="23"/>
  <c r="G61" i="23"/>
  <c r="F61" i="23"/>
  <c r="G60" i="23"/>
  <c r="F60" i="23"/>
  <c r="G59" i="23"/>
  <c r="F59" i="23"/>
  <c r="G58" i="23"/>
  <c r="F58" i="23"/>
  <c r="G57" i="23"/>
  <c r="F57" i="23"/>
  <c r="G56" i="23"/>
  <c r="F56" i="23"/>
  <c r="G55" i="23"/>
  <c r="F55" i="23"/>
  <c r="G54" i="23"/>
  <c r="F54" i="23"/>
  <c r="G53" i="23"/>
  <c r="F53" i="23"/>
  <c r="G52" i="23"/>
  <c r="F52" i="23"/>
  <c r="G51" i="23"/>
  <c r="F51" i="23"/>
  <c r="G50" i="23"/>
  <c r="F50" i="23"/>
  <c r="G49" i="23"/>
  <c r="F49" i="23"/>
  <c r="G48" i="23"/>
  <c r="F48" i="23"/>
  <c r="G47" i="23"/>
  <c r="F47" i="23"/>
  <c r="G46" i="23"/>
  <c r="F46" i="23"/>
  <c r="G45" i="23"/>
  <c r="F45" i="23"/>
  <c r="G44" i="23"/>
  <c r="F44" i="23"/>
  <c r="G43" i="23"/>
  <c r="F43" i="23"/>
  <c r="G42" i="23"/>
  <c r="F42" i="23"/>
  <c r="G41" i="23"/>
  <c r="F41" i="23"/>
  <c r="G40" i="23"/>
  <c r="F40" i="23"/>
  <c r="G39" i="23"/>
  <c r="F39" i="23"/>
  <c r="G38" i="23"/>
  <c r="F38" i="23"/>
  <c r="G37" i="23"/>
  <c r="F37" i="23"/>
  <c r="G36" i="23"/>
  <c r="F36" i="23"/>
  <c r="G35" i="23"/>
  <c r="F35" i="23"/>
  <c r="G34" i="23"/>
  <c r="F34" i="23"/>
  <c r="G33" i="23"/>
  <c r="F33" i="23"/>
  <c r="G32" i="23"/>
  <c r="F32" i="23"/>
  <c r="G31" i="23"/>
  <c r="F31" i="23"/>
  <c r="G30" i="23"/>
  <c r="F30" i="23"/>
  <c r="G29" i="23"/>
  <c r="F29" i="23"/>
  <c r="G28" i="23"/>
  <c r="F28" i="23"/>
  <c r="G27" i="23"/>
  <c r="F27" i="23"/>
  <c r="G26" i="23"/>
  <c r="F26" i="23"/>
  <c r="G25" i="23"/>
  <c r="F25" i="23"/>
  <c r="G24" i="23"/>
  <c r="F24" i="23"/>
  <c r="G23" i="23"/>
  <c r="F23" i="23"/>
  <c r="G22" i="23"/>
  <c r="F22" i="23"/>
  <c r="G21" i="23"/>
  <c r="F21" i="23"/>
  <c r="G20" i="23"/>
  <c r="F20" i="23"/>
  <c r="G19" i="23"/>
  <c r="F19" i="23"/>
  <c r="G18" i="23"/>
  <c r="F18" i="23"/>
  <c r="G17" i="23"/>
  <c r="F17" i="23"/>
  <c r="G16" i="23"/>
  <c r="F16" i="23"/>
  <c r="G15" i="23"/>
  <c r="F15" i="23"/>
  <c r="G14" i="23"/>
  <c r="F14" i="23"/>
  <c r="G13" i="23"/>
  <c r="F13" i="23"/>
  <c r="G12" i="23"/>
  <c r="F12" i="23"/>
  <c r="G11" i="23"/>
  <c r="F11" i="23"/>
  <c r="G10" i="23"/>
  <c r="F10" i="23"/>
  <c r="G9" i="23"/>
  <c r="F9" i="23"/>
  <c r="G8" i="23"/>
  <c r="F8" i="23"/>
  <c r="G7" i="23"/>
  <c r="F7" i="23"/>
  <c r="G6" i="23"/>
  <c r="F6" i="23"/>
  <c r="G5" i="23"/>
  <c r="F5" i="23"/>
  <c r="G4" i="23"/>
  <c r="F4" i="23"/>
  <c r="G3" i="23"/>
  <c r="F3" i="23"/>
  <c r="G2" i="23"/>
  <c r="F2" i="23"/>
  <c r="E2" i="23"/>
  <c r="G195" i="23" l="1"/>
  <c r="A467" i="12"/>
  <c r="A461" i="12"/>
  <c r="A463" i="12"/>
  <c r="F195" i="23"/>
  <c r="G22" i="22"/>
  <c r="G26" i="22"/>
  <c r="G24" i="22"/>
  <c r="M17" i="22"/>
  <c r="I17" i="22"/>
  <c r="A15" i="22"/>
  <c r="G32" i="22" l="1"/>
  <c r="S77" i="4" l="1"/>
  <c r="S78" i="4" s="1"/>
  <c r="R77" i="4"/>
  <c r="R78" i="4" s="1"/>
  <c r="T76" i="4"/>
  <c r="T75" i="4"/>
  <c r="T74" i="4"/>
  <c r="T78" i="4" l="1"/>
  <c r="T77" i="4"/>
  <c r="M75" i="21"/>
  <c r="M72" i="21"/>
  <c r="M69" i="21"/>
  <c r="M68" i="21"/>
  <c r="M65" i="21"/>
  <c r="M64" i="21"/>
  <c r="M61" i="21"/>
  <c r="M60" i="21"/>
  <c r="M57" i="21"/>
  <c r="M56" i="21"/>
  <c r="M55" i="21"/>
  <c r="M52" i="21"/>
  <c r="M49" i="21"/>
  <c r="M48" i="21"/>
  <c r="M45" i="21"/>
  <c r="M44" i="21"/>
  <c r="M43" i="21"/>
  <c r="M40" i="21"/>
  <c r="M39" i="21"/>
  <c r="M36" i="21"/>
  <c r="M35" i="21"/>
  <c r="M34" i="21"/>
  <c r="M33" i="21"/>
  <c r="M30" i="21"/>
  <c r="M29" i="21"/>
  <c r="M26" i="21"/>
  <c r="M25" i="21"/>
  <c r="M24" i="21"/>
  <c r="M23" i="21"/>
  <c r="M22" i="21"/>
  <c r="M19" i="21"/>
  <c r="M16" i="21"/>
  <c r="M13" i="21"/>
  <c r="J77" i="21" l="1"/>
  <c r="I77" i="21"/>
  <c r="H77" i="21"/>
  <c r="O75" i="21"/>
  <c r="O74" i="21"/>
  <c r="O72" i="21"/>
  <c r="O71" i="21"/>
  <c r="O69" i="21"/>
  <c r="O68" i="21"/>
  <c r="O67" i="21"/>
  <c r="O65" i="21"/>
  <c r="O64" i="21"/>
  <c r="O63" i="21"/>
  <c r="O61" i="21"/>
  <c r="O60" i="21"/>
  <c r="O59" i="21"/>
  <c r="O57" i="21"/>
  <c r="O56" i="21"/>
  <c r="O55" i="21"/>
  <c r="O54" i="21"/>
  <c r="O52" i="21"/>
  <c r="O51" i="21"/>
  <c r="O49" i="21"/>
  <c r="O48" i="21"/>
  <c r="O47" i="21"/>
  <c r="O45" i="21"/>
  <c r="O44" i="21"/>
  <c r="O43" i="21"/>
  <c r="O42" i="21"/>
  <c r="O40" i="21"/>
  <c r="O39" i="21"/>
  <c r="O38" i="21"/>
  <c r="O36" i="21"/>
  <c r="O35" i="21"/>
  <c r="O34" i="21"/>
  <c r="O33" i="21"/>
  <c r="O32" i="21"/>
  <c r="O31" i="21"/>
  <c r="O30" i="21"/>
  <c r="O29" i="21"/>
  <c r="O28" i="21"/>
  <c r="O26" i="21"/>
  <c r="O25" i="21"/>
  <c r="O24" i="21"/>
  <c r="O23" i="21"/>
  <c r="O22" i="21"/>
  <c r="O21" i="21"/>
  <c r="O19" i="21"/>
  <c r="O18" i="21"/>
  <c r="O16" i="21"/>
  <c r="O15" i="21"/>
  <c r="O13" i="21"/>
  <c r="G52" i="21" l="1"/>
  <c r="G72" i="21" l="1"/>
  <c r="G69" i="21"/>
  <c r="G68" i="21"/>
  <c r="G65" i="21"/>
  <c r="G64" i="21"/>
  <c r="G63" i="21"/>
  <c r="G61" i="21"/>
  <c r="G60" i="21"/>
  <c r="G57" i="21"/>
  <c r="G56" i="21"/>
  <c r="G55" i="21"/>
  <c r="G49" i="21"/>
  <c r="G45" i="21"/>
  <c r="G48" i="21"/>
  <c r="G44" i="21"/>
  <c r="G43" i="21"/>
  <c r="G40" i="21"/>
  <c r="G39" i="21"/>
  <c r="G36" i="21"/>
  <c r="G35" i="21"/>
  <c r="G34" i="21"/>
  <c r="G33" i="21"/>
  <c r="G30" i="21"/>
  <c r="G29" i="21"/>
  <c r="G26" i="21"/>
  <c r="G25" i="21"/>
  <c r="G24" i="21"/>
  <c r="G23" i="21"/>
  <c r="G22" i="21"/>
  <c r="G19" i="21"/>
  <c r="G16" i="21" l="1"/>
  <c r="G13" i="21"/>
  <c r="O105" i="20" l="1"/>
  <c r="O104" i="20"/>
  <c r="O103" i="20"/>
  <c r="O102" i="20"/>
  <c r="O99" i="20"/>
  <c r="O98" i="20"/>
  <c r="O96" i="20"/>
  <c r="O92" i="20"/>
  <c r="O91" i="20"/>
  <c r="O90" i="20"/>
  <c r="O89" i="20"/>
  <c r="O86" i="20"/>
  <c r="O85" i="20"/>
  <c r="O84" i="20"/>
  <c r="O83" i="20"/>
  <c r="O82" i="20"/>
  <c r="O81" i="20"/>
  <c r="O80" i="20"/>
  <c r="O79" i="20"/>
  <c r="O78" i="20"/>
  <c r="O77" i="20"/>
  <c r="O76" i="20"/>
  <c r="O75" i="20"/>
  <c r="O73" i="20"/>
  <c r="O72" i="20"/>
  <c r="O71" i="20"/>
  <c r="O70" i="20"/>
  <c r="O69" i="20"/>
  <c r="O68" i="20"/>
  <c r="O67" i="20"/>
  <c r="O52" i="20"/>
  <c r="O50" i="20"/>
  <c r="O49" i="20"/>
  <c r="O48" i="20"/>
  <c r="O47" i="20"/>
  <c r="O46" i="20"/>
  <c r="O45" i="20"/>
  <c r="O44" i="20"/>
  <c r="O42" i="20"/>
  <c r="O41" i="20"/>
  <c r="O40" i="20"/>
  <c r="O34" i="20"/>
  <c r="O33" i="20"/>
  <c r="O32" i="20"/>
  <c r="O31" i="20"/>
  <c r="O30" i="20"/>
  <c r="O29" i="20"/>
  <c r="O24" i="20"/>
  <c r="O23" i="20"/>
  <c r="O22" i="20"/>
  <c r="O21" i="20"/>
  <c r="O19" i="20"/>
  <c r="O18" i="20"/>
  <c r="O17" i="20"/>
  <c r="O12" i="20"/>
  <c r="I15" i="3" l="1"/>
  <c r="F131" i="8" l="1"/>
  <c r="F130" i="8"/>
  <c r="F129" i="8"/>
  <c r="J88" i="12" l="1"/>
  <c r="K170" i="1"/>
  <c r="K318" i="1"/>
  <c r="AF2" i="6"/>
  <c r="N232" i="12" l="1"/>
  <c r="N188" i="12"/>
  <c r="J76" i="9"/>
  <c r="I76" i="9"/>
  <c r="H76" i="9"/>
  <c r="G71" i="9"/>
  <c r="J50" i="9"/>
  <c r="J55" i="9" s="1"/>
  <c r="G50" i="9"/>
  <c r="K135" i="1" l="1"/>
  <c r="J73" i="12"/>
  <c r="I14" i="3"/>
  <c r="L130" i="12" l="1"/>
  <c r="L89" i="12"/>
  <c r="L74" i="12"/>
  <c r="K354" i="1" l="1"/>
  <c r="K160" i="1"/>
  <c r="K113" i="1"/>
  <c r="K381" i="1" l="1"/>
  <c r="K343" i="1"/>
  <c r="K328" i="1"/>
  <c r="K321" i="1"/>
  <c r="K304" i="1"/>
  <c r="K296" i="1"/>
  <c r="K266" i="1"/>
  <c r="K261" i="1"/>
  <c r="K249" i="1"/>
  <c r="K243" i="1"/>
  <c r="K237" i="1" l="1"/>
  <c r="K224" i="1"/>
  <c r="K197" i="1"/>
  <c r="K167" i="1"/>
  <c r="K163" i="1"/>
  <c r="K154" i="1"/>
  <c r="K129" i="1"/>
  <c r="K109" i="1"/>
  <c r="K99" i="1"/>
  <c r="K79" i="1"/>
  <c r="K69" i="1"/>
  <c r="K60" i="1"/>
  <c r="K38" i="1"/>
  <c r="K44" i="1" l="1"/>
  <c r="K35" i="1"/>
  <c r="V121" i="8" l="1"/>
  <c r="V122" i="8"/>
  <c r="V123" i="8"/>
  <c r="U128" i="8"/>
  <c r="N131" i="8"/>
  <c r="O131" i="8" l="1"/>
  <c r="P131" i="8" s="1"/>
  <c r="R113" i="14"/>
  <c r="P61" i="18" l="1"/>
  <c r="L63" i="18"/>
  <c r="P63" i="18" s="1"/>
  <c r="L62" i="18"/>
  <c r="N66" i="18"/>
  <c r="J66" i="18"/>
  <c r="F66" i="18"/>
  <c r="H61" i="18"/>
  <c r="E63" i="18"/>
  <c r="H63" i="18" s="1"/>
  <c r="E62" i="18"/>
  <c r="H62" i="18" l="1"/>
  <c r="P62" i="18"/>
  <c r="L62" i="10"/>
  <c r="F62" i="10"/>
  <c r="I62" i="10" l="1"/>
  <c r="L28" i="19" l="1"/>
  <c r="J28" i="19"/>
  <c r="J22" i="19"/>
  <c r="P180" i="12" l="1"/>
  <c r="T86" i="12"/>
  <c r="E64" i="18" l="1"/>
  <c r="L64" i="18"/>
  <c r="L65" i="18"/>
  <c r="P65" i="18" s="1"/>
  <c r="E65" i="18"/>
  <c r="H65" i="18" s="1"/>
  <c r="P64" i="18" l="1"/>
  <c r="P66" i="18" s="1"/>
  <c r="L66" i="18"/>
  <c r="H64" i="18"/>
  <c r="H66" i="18" s="1"/>
  <c r="E66" i="18"/>
  <c r="Q172" i="12" l="1"/>
  <c r="Q171" i="12"/>
  <c r="Q170" i="12"/>
  <c r="J34" i="18" l="1"/>
  <c r="F34" i="18"/>
  <c r="J374" i="12"/>
  <c r="J378" i="12"/>
  <c r="J377" i="12"/>
  <c r="J371" i="12"/>
  <c r="J370" i="12"/>
  <c r="J360" i="12" l="1"/>
  <c r="N330" i="12" l="1"/>
  <c r="F114" i="10" l="1"/>
  <c r="F110" i="10"/>
  <c r="F106" i="10"/>
  <c r="F69" i="10"/>
  <c r="L69" i="10" s="1"/>
  <c r="F63" i="10"/>
  <c r="F26" i="10"/>
  <c r="F21" i="10"/>
  <c r="F16" i="10"/>
  <c r="G24" i="9"/>
  <c r="G23" i="9"/>
  <c r="G22" i="9"/>
  <c r="G21" i="9"/>
  <c r="G20" i="9"/>
  <c r="G19" i="9"/>
  <c r="G18" i="9"/>
  <c r="G17" i="9"/>
  <c r="G16" i="9"/>
  <c r="G15" i="9"/>
  <c r="T128" i="14" l="1"/>
  <c r="L63" i="10"/>
  <c r="G71" i="10"/>
  <c r="N127" i="14"/>
  <c r="G28" i="10"/>
  <c r="E32" i="18" l="1"/>
  <c r="T130" i="14"/>
  <c r="R130" i="14"/>
  <c r="H71" i="10"/>
  <c r="L127" i="14"/>
  <c r="R121" i="14"/>
  <c r="H28" i="10"/>
  <c r="P133" i="8"/>
  <c r="J127" i="14"/>
  <c r="E30" i="18" l="1"/>
  <c r="L32" i="18"/>
  <c r="P32" i="18" s="1"/>
  <c r="H32" i="18"/>
  <c r="R128" i="14"/>
  <c r="T127" i="14"/>
  <c r="H127" i="14"/>
  <c r="H89" i="13"/>
  <c r="R120" i="14"/>
  <c r="H30" i="18" l="1"/>
  <c r="L30" i="18"/>
  <c r="P30" i="18" s="1"/>
  <c r="E89" i="13"/>
  <c r="A14" i="8" l="1"/>
  <c r="A19" i="8" s="1"/>
  <c r="A25" i="8" s="1"/>
  <c r="A30" i="8" s="1"/>
  <c r="A33" i="8" s="1"/>
  <c r="P65" i="4"/>
  <c r="B38" i="15" l="1"/>
  <c r="G24" i="19"/>
  <c r="K109" i="8" l="1"/>
  <c r="K108" i="8"/>
  <c r="P64" i="4"/>
  <c r="P66" i="4" s="1"/>
  <c r="O118" i="10"/>
  <c r="E33" i="18" l="1"/>
  <c r="H53" i="13"/>
  <c r="N33" i="18" l="1"/>
  <c r="P33" i="18" s="1"/>
  <c r="H33" i="18"/>
  <c r="N34" i="18" l="1"/>
  <c r="F89" i="13" l="1"/>
  <c r="AF6" i="6" l="1"/>
  <c r="AF8" i="6" s="1"/>
  <c r="AG4" i="6" l="1"/>
  <c r="BL21" i="6" l="1"/>
  <c r="BK20" i="6" l="1"/>
  <c r="BK23" i="6" s="1"/>
  <c r="BN22" i="6"/>
  <c r="BO22" i="6" s="1"/>
  <c r="BN21" i="6"/>
  <c r="BO21" i="6" s="1"/>
  <c r="BN27" i="6" l="1"/>
  <c r="BP22" i="6"/>
  <c r="BO27" i="6"/>
  <c r="BP21" i="6"/>
  <c r="BP27" i="6" l="1"/>
  <c r="BP23" i="6"/>
  <c r="BG21" i="6"/>
  <c r="BG24" i="6" s="1"/>
  <c r="BG27" i="6" s="1"/>
  <c r="BG20" i="6"/>
  <c r="BE23" i="6"/>
  <c r="BE21" i="6"/>
  <c r="BE22" i="6" s="1"/>
  <c r="BE24" i="6" s="1"/>
  <c r="BC48" i="6"/>
  <c r="N68" i="12" l="1"/>
  <c r="N67" i="12"/>
  <c r="N66" i="12"/>
  <c r="J72" i="12"/>
  <c r="S216" i="12" l="1"/>
  <c r="M188" i="12"/>
  <c r="N405" i="1"/>
  <c r="N404" i="1"/>
  <c r="N403" i="1"/>
  <c r="N402" i="1"/>
  <c r="N399" i="1"/>
  <c r="N396" i="1"/>
  <c r="N395" i="1"/>
  <c r="N394" i="1"/>
  <c r="N393" i="1"/>
  <c r="N389" i="1"/>
  <c r="N386" i="1"/>
  <c r="N384" i="1"/>
  <c r="N382" i="1"/>
  <c r="N378" i="1"/>
  <c r="N377" i="1"/>
  <c r="N375" i="1"/>
  <c r="N374" i="1"/>
  <c r="N373" i="1"/>
  <c r="N372" i="1"/>
  <c r="N368" i="1"/>
  <c r="N366" i="1"/>
  <c r="N365" i="1"/>
  <c r="N363" i="1"/>
  <c r="N360" i="1"/>
  <c r="N358" i="1"/>
  <c r="N355" i="1"/>
  <c r="N353" i="1"/>
  <c r="N350" i="1"/>
  <c r="N348" i="1"/>
  <c r="N347" i="1"/>
  <c r="N344" i="1"/>
  <c r="N342" i="1"/>
  <c r="N341" i="1"/>
  <c r="N340" i="1"/>
  <c r="N337" i="1"/>
  <c r="N336" i="1"/>
  <c r="N333" i="1"/>
  <c r="N332" i="1"/>
  <c r="N331" i="1"/>
  <c r="N330" i="1"/>
  <c r="N329" i="1"/>
  <c r="N326" i="1"/>
  <c r="N325" i="1"/>
  <c r="N322" i="1"/>
  <c r="N319" i="1"/>
  <c r="N317" i="1"/>
  <c r="N314" i="1"/>
  <c r="N311" i="1"/>
  <c r="N310" i="1"/>
  <c r="N309" i="1"/>
  <c r="N308" i="1"/>
  <c r="N307" i="1"/>
  <c r="N306" i="1"/>
  <c r="N305" i="1"/>
  <c r="N303" i="1"/>
  <c r="N302" i="1"/>
  <c r="N301" i="1"/>
  <c r="N298" i="1"/>
  <c r="N297" i="1"/>
  <c r="N294" i="1"/>
  <c r="N288" i="1"/>
  <c r="N286" i="1"/>
  <c r="N285" i="1"/>
  <c r="N284" i="1"/>
  <c r="N276" i="1"/>
  <c r="N273" i="1"/>
  <c r="N270" i="1"/>
  <c r="N269" i="1"/>
  <c r="N268" i="1"/>
  <c r="N267" i="1"/>
  <c r="N266" i="1"/>
  <c r="N265" i="1"/>
  <c r="N264" i="1"/>
  <c r="N263" i="1"/>
  <c r="N262" i="1"/>
  <c r="N260" i="1"/>
  <c r="N253" i="1"/>
  <c r="N252" i="1"/>
  <c r="N250" i="1"/>
  <c r="N248" i="1"/>
  <c r="N246" i="1"/>
  <c r="N244" i="1"/>
  <c r="N243" i="1"/>
  <c r="N242" i="1"/>
  <c r="N241" i="1"/>
  <c r="N240" i="1"/>
  <c r="N239" i="1"/>
  <c r="N238" i="1"/>
  <c r="N235" i="1"/>
  <c r="N231" i="1"/>
  <c r="N230" i="1"/>
  <c r="N229" i="1"/>
  <c r="N228" i="1"/>
  <c r="N225" i="1"/>
  <c r="N216" i="1"/>
  <c r="N213" i="1"/>
  <c r="N212" i="1"/>
  <c r="N211" i="1"/>
  <c r="N210" i="1"/>
  <c r="N209" i="1"/>
  <c r="N208" i="1"/>
  <c r="N207" i="1"/>
  <c r="N206" i="1"/>
  <c r="N203" i="1"/>
  <c r="N202" i="1"/>
  <c r="N201" i="1"/>
  <c r="N200" i="1"/>
  <c r="N199" i="1"/>
  <c r="N198" i="1"/>
  <c r="N196" i="1"/>
  <c r="N193" i="1"/>
  <c r="N192" i="1"/>
  <c r="N190" i="1"/>
  <c r="N183" i="1"/>
  <c r="N180" i="1"/>
  <c r="N179" i="1"/>
  <c r="N178" i="1"/>
  <c r="N177" i="1"/>
  <c r="N176" i="1"/>
  <c r="N175" i="1"/>
  <c r="N174" i="1"/>
  <c r="N171" i="1"/>
  <c r="N168" i="1"/>
  <c r="N164" i="1"/>
  <c r="N162" i="1"/>
  <c r="N157" i="1"/>
  <c r="N156" i="1"/>
  <c r="N155" i="1"/>
  <c r="N153" i="1"/>
  <c r="N151" i="1"/>
  <c r="N150" i="1"/>
  <c r="N149" i="1"/>
  <c r="N148" i="1"/>
  <c r="N145" i="1"/>
  <c r="N144" i="1"/>
  <c r="N143" i="1"/>
  <c r="N140" i="1"/>
  <c r="N138" i="1"/>
  <c r="N136" i="1"/>
  <c r="N130" i="1"/>
  <c r="N125" i="1"/>
  <c r="N124" i="1"/>
  <c r="N122" i="1"/>
  <c r="N120" i="1"/>
  <c r="N119" i="1"/>
  <c r="N118" i="1"/>
  <c r="N117" i="1"/>
  <c r="N116" i="1"/>
  <c r="N115" i="1"/>
  <c r="N114" i="1"/>
  <c r="N113" i="1"/>
  <c r="N112" i="1"/>
  <c r="N111" i="1"/>
  <c r="N110" i="1"/>
  <c r="N108" i="1"/>
  <c r="N107" i="1"/>
  <c r="N106" i="1"/>
  <c r="N100" i="1"/>
  <c r="N98" i="1"/>
  <c r="N97" i="1"/>
  <c r="N96" i="1"/>
  <c r="N94" i="1"/>
  <c r="N92" i="1"/>
  <c r="N91" i="1"/>
  <c r="N90" i="1"/>
  <c r="N86"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2" i="1"/>
  <c r="N50" i="1"/>
  <c r="N49" i="1"/>
  <c r="N48" i="1"/>
  <c r="N47" i="1"/>
  <c r="N46" i="1"/>
  <c r="N45" i="1"/>
  <c r="N39" i="1"/>
  <c r="N38" i="1"/>
  <c r="N37" i="1"/>
  <c r="N36" i="1"/>
  <c r="N33" i="1"/>
  <c r="N32" i="1"/>
  <c r="N31" i="1"/>
  <c r="N30" i="1"/>
  <c r="N28" i="1"/>
  <c r="N27" i="1"/>
  <c r="N26" i="1"/>
  <c r="O402" i="1"/>
  <c r="O399" i="1"/>
  <c r="O396" i="1"/>
  <c r="O393" i="1"/>
  <c r="O389" i="1"/>
  <c r="O386" i="1"/>
  <c r="O382" i="1"/>
  <c r="O374" i="1"/>
  <c r="O372" i="1"/>
  <c r="O368" i="1"/>
  <c r="O363" i="1"/>
  <c r="O358" i="1"/>
  <c r="O355" i="1"/>
  <c r="O347" i="1"/>
  <c r="O344" i="1"/>
  <c r="O333" i="1"/>
  <c r="O331" i="1"/>
  <c r="O329" i="1"/>
  <c r="O325" i="1"/>
  <c r="O322" i="1"/>
  <c r="O319" i="1"/>
  <c r="O314" i="1"/>
  <c r="O308" i="1"/>
  <c r="O305" i="1"/>
  <c r="O297" i="1"/>
  <c r="O276" i="1"/>
  <c r="O273" i="1"/>
  <c r="O270" i="1"/>
  <c r="O267" i="1"/>
  <c r="O264" i="1"/>
  <c r="O262" i="1"/>
  <c r="O250" i="1"/>
  <c r="O244" i="1"/>
  <c r="O240" i="1"/>
  <c r="O238" i="1"/>
  <c r="O230" i="1"/>
  <c r="O228" i="1"/>
  <c r="O225" i="1"/>
  <c r="O216" i="1"/>
  <c r="O213" i="1"/>
  <c r="O210" i="1"/>
  <c r="O208" i="1"/>
  <c r="O206" i="1"/>
  <c r="O203" i="1"/>
  <c r="O201" i="1"/>
  <c r="O198" i="1"/>
  <c r="O179" i="1"/>
  <c r="O177" i="1"/>
  <c r="O174" i="1"/>
  <c r="O171" i="1"/>
  <c r="O168" i="1"/>
  <c r="O164" i="1"/>
  <c r="O157" i="1"/>
  <c r="O155" i="1"/>
  <c r="O151" i="1"/>
  <c r="O148" i="1"/>
  <c r="O145" i="1"/>
  <c r="O143" i="1"/>
  <c r="O140" i="1"/>
  <c r="O136" i="1"/>
  <c r="O130" i="1"/>
  <c r="O120" i="1"/>
  <c r="O117" i="1"/>
  <c r="O114" i="1"/>
  <c r="O110" i="1"/>
  <c r="O100" i="1"/>
  <c r="O83" i="1"/>
  <c r="O80" i="1"/>
  <c r="O77" i="1"/>
  <c r="O74" i="1"/>
  <c r="O70" i="1"/>
  <c r="O66" i="1"/>
  <c r="O61" i="1"/>
  <c r="O50" i="1"/>
  <c r="O47" i="1"/>
  <c r="O45" i="1"/>
  <c r="O39" i="1"/>
  <c r="O36" i="1"/>
  <c r="O30" i="1"/>
  <c r="G40" i="19" l="1"/>
  <c r="M40" i="19" s="1"/>
  <c r="G38" i="19"/>
  <c r="C22" i="19" s="1"/>
  <c r="F82" i="18"/>
  <c r="E7" i="6"/>
  <c r="F5" i="5"/>
  <c r="F5" i="4"/>
  <c r="F6" i="7"/>
  <c r="M38" i="19" l="1"/>
  <c r="I22" i="19" s="1"/>
  <c r="G44" i="19" l="1"/>
  <c r="G42" i="19"/>
  <c r="M42" i="19" s="1"/>
  <c r="G22" i="19"/>
  <c r="A15" i="19"/>
  <c r="G26" i="19"/>
  <c r="M17" i="19"/>
  <c r="I17" i="19"/>
  <c r="M44" i="19" l="1"/>
  <c r="I30" i="19" s="1"/>
  <c r="C30" i="19"/>
  <c r="G30" i="19" s="1"/>
  <c r="C28" i="19"/>
  <c r="G28" i="19" s="1"/>
  <c r="L16" i="12" l="1"/>
  <c r="L15" i="12"/>
  <c r="J54" i="13"/>
  <c r="B52" i="13"/>
  <c r="J48" i="13"/>
  <c r="A13" i="13"/>
  <c r="A30" i="13" s="1"/>
  <c r="P193" i="14"/>
  <c r="N175" i="14"/>
  <c r="L203" i="14"/>
  <c r="J203" i="14"/>
  <c r="P202" i="14"/>
  <c r="P201" i="14"/>
  <c r="P200" i="14"/>
  <c r="P199" i="14"/>
  <c r="P195" i="14"/>
  <c r="P194" i="14"/>
  <c r="L196" i="14"/>
  <c r="P192" i="14"/>
  <c r="P191" i="14"/>
  <c r="L185" i="14"/>
  <c r="J185" i="14"/>
  <c r="L175" i="14"/>
  <c r="L178" i="14" s="1"/>
  <c r="N48" i="13" l="1"/>
  <c r="O48" i="13"/>
  <c r="P48" i="13" s="1"/>
  <c r="N46" i="13"/>
  <c r="O46" i="13" s="1"/>
  <c r="S271" i="12"/>
  <c r="L17" i="12"/>
  <c r="J19" i="12" s="1"/>
  <c r="A24" i="13"/>
  <c r="J196" i="14"/>
  <c r="P203" i="14"/>
  <c r="P196" i="14"/>
  <c r="N196" i="14"/>
  <c r="N203" i="14"/>
  <c r="L20" i="12" l="1"/>
  <c r="H80" i="18" l="1"/>
  <c r="H79" i="18"/>
  <c r="R72" i="18"/>
  <c r="H71" i="18"/>
  <c r="P82" i="10" l="1"/>
  <c r="Q82" i="10" s="1"/>
  <c r="P135" i="10"/>
  <c r="Q135" i="10" s="1"/>
  <c r="P132" i="10"/>
  <c r="Q132" i="10" s="1"/>
  <c r="P129" i="10"/>
  <c r="Q129" i="10" s="1"/>
  <c r="P86" i="10"/>
  <c r="Q86" i="10" s="1"/>
  <c r="P84" i="10"/>
  <c r="Q84" i="10" s="1"/>
  <c r="M62" i="4" l="1"/>
  <c r="P40" i="16" l="1"/>
  <c r="P34" i="16"/>
  <c r="H373" i="16" l="1"/>
  <c r="I373" i="16" s="1"/>
  <c r="H371" i="16"/>
  <c r="I371" i="16" s="1"/>
  <c r="H370" i="16"/>
  <c r="I370" i="16" s="1"/>
  <c r="H369" i="16"/>
  <c r="I369" i="16" s="1"/>
  <c r="E368" i="16"/>
  <c r="H368" i="16" s="1"/>
  <c r="I368" i="16" s="1"/>
  <c r="E367" i="16"/>
  <c r="H367" i="16" s="1"/>
  <c r="I367" i="16" s="1"/>
  <c r="E366" i="16"/>
  <c r="H366" i="16" s="1"/>
  <c r="I366" i="16" s="1"/>
  <c r="E365" i="16"/>
  <c r="H365" i="16" s="1"/>
  <c r="I365" i="16" s="1"/>
  <c r="E364" i="16"/>
  <c r="H364" i="16" s="1"/>
  <c r="I364" i="16" s="1"/>
  <c r="E363" i="16"/>
  <c r="H363" i="16" s="1"/>
  <c r="I363" i="16" s="1"/>
  <c r="E362" i="16"/>
  <c r="H362" i="16" s="1"/>
  <c r="I362" i="16" s="1"/>
  <c r="E361" i="16"/>
  <c r="H361" i="16" s="1"/>
  <c r="I361" i="16" s="1"/>
  <c r="E360" i="16"/>
  <c r="H360" i="16" s="1"/>
  <c r="I360" i="16" s="1"/>
  <c r="E359" i="16"/>
  <c r="H359" i="16" s="1"/>
  <c r="I359" i="16" s="1"/>
  <c r="E358" i="16"/>
  <c r="H358" i="16" s="1"/>
  <c r="I358" i="16" s="1"/>
  <c r="E357" i="16"/>
  <c r="H357" i="16" s="1"/>
  <c r="I357" i="16" s="1"/>
  <c r="E356" i="16"/>
  <c r="H356" i="16" s="1"/>
  <c r="I356" i="16" s="1"/>
  <c r="E355" i="16"/>
  <c r="H355" i="16" s="1"/>
  <c r="I355" i="16" s="1"/>
  <c r="E354" i="16"/>
  <c r="H354" i="16" s="1"/>
  <c r="I354" i="16" s="1"/>
  <c r="E353" i="16"/>
  <c r="H353" i="16" s="1"/>
  <c r="I353" i="16" s="1"/>
  <c r="E352" i="16"/>
  <c r="H352" i="16" s="1"/>
  <c r="I352" i="16" s="1"/>
  <c r="E351" i="16"/>
  <c r="H351" i="16" s="1"/>
  <c r="I351" i="16" s="1"/>
  <c r="E350" i="16"/>
  <c r="H350" i="16" s="1"/>
  <c r="I350" i="16" s="1"/>
  <c r="E349" i="16"/>
  <c r="H349" i="16" s="1"/>
  <c r="I349" i="16" s="1"/>
  <c r="E348" i="16"/>
  <c r="H348" i="16" s="1"/>
  <c r="I348" i="16" s="1"/>
  <c r="E347" i="16"/>
  <c r="H347" i="16" s="1"/>
  <c r="I347" i="16" s="1"/>
  <c r="E346" i="16"/>
  <c r="H346" i="16" s="1"/>
  <c r="I346" i="16" s="1"/>
  <c r="E345" i="16"/>
  <c r="H345" i="16" s="1"/>
  <c r="I345" i="16" s="1"/>
  <c r="E344" i="16"/>
  <c r="H344" i="16" s="1"/>
  <c r="I344" i="16" s="1"/>
  <c r="E343" i="16"/>
  <c r="H343" i="16" s="1"/>
  <c r="I343" i="16" s="1"/>
  <c r="E342" i="16"/>
  <c r="H342" i="16" s="1"/>
  <c r="I342" i="16" s="1"/>
  <c r="E341" i="16"/>
  <c r="H341" i="16" s="1"/>
  <c r="I341" i="16" s="1"/>
  <c r="E340" i="16"/>
  <c r="H340" i="16" s="1"/>
  <c r="I340" i="16" s="1"/>
  <c r="E339" i="16"/>
  <c r="H339" i="16" s="1"/>
  <c r="I339" i="16" s="1"/>
  <c r="E338" i="16"/>
  <c r="H338" i="16" s="1"/>
  <c r="I338" i="16" s="1"/>
  <c r="E337" i="16"/>
  <c r="H337" i="16" s="1"/>
  <c r="I337" i="16" s="1"/>
  <c r="E336" i="16"/>
  <c r="H336" i="16" s="1"/>
  <c r="I336" i="16" s="1"/>
  <c r="E335" i="16"/>
  <c r="H335" i="16" s="1"/>
  <c r="I335" i="16" s="1"/>
  <c r="E334" i="16"/>
  <c r="H334" i="16" s="1"/>
  <c r="I334" i="16" s="1"/>
  <c r="E333" i="16"/>
  <c r="H333" i="16" s="1"/>
  <c r="I333" i="16" s="1"/>
  <c r="E332" i="16"/>
  <c r="H332" i="16" s="1"/>
  <c r="I332" i="16" s="1"/>
  <c r="E331" i="16"/>
  <c r="H331" i="16" s="1"/>
  <c r="I331" i="16" s="1"/>
  <c r="E330" i="16"/>
  <c r="H330" i="16" s="1"/>
  <c r="I330" i="16" s="1"/>
  <c r="E329" i="16"/>
  <c r="H329" i="16" s="1"/>
  <c r="I329" i="16" s="1"/>
  <c r="E328" i="16"/>
  <c r="H328" i="16" s="1"/>
  <c r="I328" i="16" s="1"/>
  <c r="E327" i="16"/>
  <c r="H327" i="16" s="1"/>
  <c r="I327" i="16" s="1"/>
  <c r="E326" i="16"/>
  <c r="H326" i="16" s="1"/>
  <c r="I326" i="16" s="1"/>
  <c r="E325" i="16"/>
  <c r="H325" i="16" s="1"/>
  <c r="I325" i="16" s="1"/>
  <c r="E324" i="16"/>
  <c r="H324" i="16" s="1"/>
  <c r="I324" i="16" s="1"/>
  <c r="E323" i="16"/>
  <c r="H323" i="16" s="1"/>
  <c r="I323" i="16" s="1"/>
  <c r="E322" i="16"/>
  <c r="H322" i="16" s="1"/>
  <c r="I322" i="16" s="1"/>
  <c r="E321" i="16"/>
  <c r="H321" i="16" s="1"/>
  <c r="I321" i="16" s="1"/>
  <c r="E320" i="16"/>
  <c r="H320" i="16" s="1"/>
  <c r="I320" i="16" s="1"/>
  <c r="E319" i="16"/>
  <c r="H319" i="16" s="1"/>
  <c r="I319" i="16" s="1"/>
  <c r="E318" i="16"/>
  <c r="H318" i="16" s="1"/>
  <c r="I318" i="16" s="1"/>
  <c r="E317" i="16"/>
  <c r="H317" i="16" s="1"/>
  <c r="I317" i="16" s="1"/>
  <c r="E316" i="16"/>
  <c r="H316" i="16" s="1"/>
  <c r="I316" i="16" s="1"/>
  <c r="E315" i="16"/>
  <c r="H315" i="16" s="1"/>
  <c r="I315" i="16" s="1"/>
  <c r="E314" i="16"/>
  <c r="H314" i="16" s="1"/>
  <c r="I314" i="16" s="1"/>
  <c r="E313" i="16"/>
  <c r="H313" i="16" s="1"/>
  <c r="I313" i="16" s="1"/>
  <c r="E312" i="16"/>
  <c r="H312" i="16" s="1"/>
  <c r="I312" i="16" s="1"/>
  <c r="E311" i="16"/>
  <c r="H311" i="16" s="1"/>
  <c r="I311" i="16" s="1"/>
  <c r="E310" i="16"/>
  <c r="H310" i="16" s="1"/>
  <c r="I310" i="16" s="1"/>
  <c r="E309" i="16"/>
  <c r="H309" i="16" s="1"/>
  <c r="I309" i="16" s="1"/>
  <c r="E308" i="16"/>
  <c r="H308" i="16" s="1"/>
  <c r="I308" i="16" s="1"/>
  <c r="E307" i="16"/>
  <c r="H307" i="16" s="1"/>
  <c r="I307" i="16" s="1"/>
  <c r="E306" i="16"/>
  <c r="H306" i="16" s="1"/>
  <c r="I306" i="16" s="1"/>
  <c r="E305" i="16"/>
  <c r="H305" i="16" s="1"/>
  <c r="I305" i="16" s="1"/>
  <c r="E304" i="16"/>
  <c r="H304" i="16" s="1"/>
  <c r="I304" i="16" s="1"/>
  <c r="E303" i="16"/>
  <c r="H303" i="16" s="1"/>
  <c r="I303" i="16" s="1"/>
  <c r="E302" i="16"/>
  <c r="H302" i="16" s="1"/>
  <c r="I302" i="16" s="1"/>
  <c r="E301" i="16"/>
  <c r="H301" i="16" s="1"/>
  <c r="I301" i="16" s="1"/>
  <c r="E300" i="16"/>
  <c r="H300" i="16" s="1"/>
  <c r="I300" i="16" s="1"/>
  <c r="E299" i="16"/>
  <c r="H299" i="16" s="1"/>
  <c r="I299" i="16" s="1"/>
  <c r="E298" i="16"/>
  <c r="H298" i="16" s="1"/>
  <c r="I298" i="16" s="1"/>
  <c r="E297" i="16"/>
  <c r="H297" i="16" s="1"/>
  <c r="I297" i="16" s="1"/>
  <c r="E296" i="16"/>
  <c r="H296" i="16" s="1"/>
  <c r="I296" i="16" s="1"/>
  <c r="E295" i="16"/>
  <c r="H295" i="16" s="1"/>
  <c r="I295" i="16" s="1"/>
  <c r="E294" i="16"/>
  <c r="H294" i="16" s="1"/>
  <c r="I294" i="16" s="1"/>
  <c r="E293" i="16"/>
  <c r="H293" i="16" s="1"/>
  <c r="I293" i="16" s="1"/>
  <c r="E292" i="16"/>
  <c r="H292" i="16" s="1"/>
  <c r="I292" i="16" s="1"/>
  <c r="E291" i="16"/>
  <c r="H291" i="16" s="1"/>
  <c r="I291" i="16" s="1"/>
  <c r="E290" i="16"/>
  <c r="H290" i="16" s="1"/>
  <c r="I290" i="16" s="1"/>
  <c r="E289" i="16"/>
  <c r="H289" i="16" s="1"/>
  <c r="I289" i="16" s="1"/>
  <c r="E288" i="16"/>
  <c r="H288" i="16" s="1"/>
  <c r="I288" i="16" s="1"/>
  <c r="E287" i="16"/>
  <c r="H287" i="16" s="1"/>
  <c r="I287" i="16" s="1"/>
  <c r="E286" i="16"/>
  <c r="H286" i="16" s="1"/>
  <c r="I286" i="16" s="1"/>
  <c r="E285" i="16"/>
  <c r="H285" i="16" s="1"/>
  <c r="I285" i="16" s="1"/>
  <c r="E284" i="16"/>
  <c r="H284" i="16" s="1"/>
  <c r="I284" i="16" s="1"/>
  <c r="E283" i="16"/>
  <c r="H283" i="16" s="1"/>
  <c r="I283" i="16" s="1"/>
  <c r="E282" i="16"/>
  <c r="H282" i="16" s="1"/>
  <c r="I282" i="16" s="1"/>
  <c r="E281" i="16"/>
  <c r="H281" i="16" s="1"/>
  <c r="I281" i="16" s="1"/>
  <c r="E280" i="16"/>
  <c r="H280" i="16" s="1"/>
  <c r="I280" i="16" s="1"/>
  <c r="E279" i="16"/>
  <c r="H279" i="16" s="1"/>
  <c r="I279" i="16" s="1"/>
  <c r="E278" i="16"/>
  <c r="H278" i="16" s="1"/>
  <c r="I278" i="16" s="1"/>
  <c r="E277" i="16"/>
  <c r="H277" i="16" s="1"/>
  <c r="I277" i="16" s="1"/>
  <c r="E276" i="16"/>
  <c r="H276" i="16" s="1"/>
  <c r="I276" i="16" s="1"/>
  <c r="E275" i="16"/>
  <c r="H275" i="16" s="1"/>
  <c r="I275" i="16" s="1"/>
  <c r="E274" i="16"/>
  <c r="H274" i="16" s="1"/>
  <c r="I274" i="16" s="1"/>
  <c r="E273" i="16"/>
  <c r="H273" i="16" s="1"/>
  <c r="I273" i="16" s="1"/>
  <c r="E272" i="16"/>
  <c r="H272" i="16" s="1"/>
  <c r="I272" i="16" s="1"/>
  <c r="E271" i="16"/>
  <c r="H271" i="16" s="1"/>
  <c r="I271" i="16" s="1"/>
  <c r="E270" i="16"/>
  <c r="H270" i="16" s="1"/>
  <c r="I270" i="16" s="1"/>
  <c r="E269" i="16"/>
  <c r="H269" i="16" s="1"/>
  <c r="I269" i="16" s="1"/>
  <c r="E268" i="16"/>
  <c r="H268" i="16" s="1"/>
  <c r="I268" i="16" s="1"/>
  <c r="E267" i="16"/>
  <c r="H267" i="16" s="1"/>
  <c r="I267" i="16" s="1"/>
  <c r="E266" i="16"/>
  <c r="H266" i="16" s="1"/>
  <c r="I266" i="16" s="1"/>
  <c r="E265" i="16"/>
  <c r="H265" i="16" s="1"/>
  <c r="I265" i="16" s="1"/>
  <c r="E264" i="16"/>
  <c r="H264" i="16" s="1"/>
  <c r="I264" i="16" s="1"/>
  <c r="E263" i="16"/>
  <c r="H263" i="16" s="1"/>
  <c r="I263" i="16" s="1"/>
  <c r="E262" i="16"/>
  <c r="H262" i="16" s="1"/>
  <c r="I262" i="16" s="1"/>
  <c r="E261" i="16"/>
  <c r="H261" i="16" s="1"/>
  <c r="I261" i="16" s="1"/>
  <c r="E260" i="16"/>
  <c r="H260" i="16" s="1"/>
  <c r="I260" i="16" s="1"/>
  <c r="E259" i="16"/>
  <c r="H259" i="16" s="1"/>
  <c r="I259" i="16" s="1"/>
  <c r="E258" i="16"/>
  <c r="H258" i="16" s="1"/>
  <c r="I258" i="16" s="1"/>
  <c r="E257" i="16"/>
  <c r="H257" i="16" s="1"/>
  <c r="I257" i="16" s="1"/>
  <c r="E256" i="16"/>
  <c r="H256" i="16" s="1"/>
  <c r="I256" i="16" s="1"/>
  <c r="E255" i="16"/>
  <c r="H255" i="16" s="1"/>
  <c r="I255" i="16" s="1"/>
  <c r="E254" i="16"/>
  <c r="H254" i="16" s="1"/>
  <c r="I254" i="16" s="1"/>
  <c r="E253" i="16"/>
  <c r="H253" i="16" s="1"/>
  <c r="I253" i="16" s="1"/>
  <c r="E252" i="16"/>
  <c r="H252" i="16" s="1"/>
  <c r="I252" i="16" s="1"/>
  <c r="E251" i="16"/>
  <c r="H251" i="16" s="1"/>
  <c r="I251" i="16" s="1"/>
  <c r="E250" i="16"/>
  <c r="H250" i="16" s="1"/>
  <c r="I250" i="16" s="1"/>
  <c r="E249" i="16"/>
  <c r="H249" i="16" s="1"/>
  <c r="I249" i="16" s="1"/>
  <c r="E248" i="16"/>
  <c r="H248" i="16" s="1"/>
  <c r="I248" i="16" s="1"/>
  <c r="E247" i="16"/>
  <c r="H247" i="16" s="1"/>
  <c r="I247" i="16" s="1"/>
  <c r="E246" i="16"/>
  <c r="H246" i="16" s="1"/>
  <c r="I246" i="16" s="1"/>
  <c r="E245" i="16"/>
  <c r="H245" i="16" s="1"/>
  <c r="I245" i="16" s="1"/>
  <c r="E244" i="16"/>
  <c r="H244" i="16" s="1"/>
  <c r="I244" i="16" s="1"/>
  <c r="E243" i="16"/>
  <c r="H243" i="16" s="1"/>
  <c r="I243" i="16" s="1"/>
  <c r="E242" i="16"/>
  <c r="H242" i="16" s="1"/>
  <c r="I242" i="16" s="1"/>
  <c r="E241" i="16"/>
  <c r="H241" i="16" s="1"/>
  <c r="I241" i="16" s="1"/>
  <c r="E240" i="16"/>
  <c r="H240" i="16" s="1"/>
  <c r="I240" i="16" s="1"/>
  <c r="E239" i="16"/>
  <c r="H239" i="16" s="1"/>
  <c r="I239" i="16" s="1"/>
  <c r="E238" i="16"/>
  <c r="H238" i="16" s="1"/>
  <c r="I238" i="16" s="1"/>
  <c r="E237" i="16"/>
  <c r="H237" i="16" s="1"/>
  <c r="I237" i="16" s="1"/>
  <c r="E236" i="16"/>
  <c r="H236" i="16" s="1"/>
  <c r="I236" i="16" s="1"/>
  <c r="E235" i="16"/>
  <c r="H235" i="16" s="1"/>
  <c r="I235" i="16" s="1"/>
  <c r="E234" i="16"/>
  <c r="H234" i="16" s="1"/>
  <c r="I234" i="16" s="1"/>
  <c r="E233" i="16"/>
  <c r="H233" i="16" s="1"/>
  <c r="I233" i="16" s="1"/>
  <c r="E232" i="16"/>
  <c r="H232" i="16" s="1"/>
  <c r="I232" i="16" s="1"/>
  <c r="E231" i="16"/>
  <c r="H231" i="16" s="1"/>
  <c r="I231" i="16" s="1"/>
  <c r="E230" i="16"/>
  <c r="H230" i="16" s="1"/>
  <c r="I230" i="16" s="1"/>
  <c r="E229" i="16"/>
  <c r="H229" i="16" s="1"/>
  <c r="I229" i="16" s="1"/>
  <c r="E228" i="16"/>
  <c r="H228" i="16" s="1"/>
  <c r="I228" i="16" s="1"/>
  <c r="E227" i="16"/>
  <c r="H227" i="16" s="1"/>
  <c r="I227" i="16" s="1"/>
  <c r="E226" i="16"/>
  <c r="H226" i="16" s="1"/>
  <c r="I226" i="16" s="1"/>
  <c r="E225" i="16"/>
  <c r="H225" i="16" s="1"/>
  <c r="I225" i="16" s="1"/>
  <c r="E224" i="16"/>
  <c r="H224" i="16" s="1"/>
  <c r="I224" i="16" s="1"/>
  <c r="E223" i="16"/>
  <c r="H223" i="16" s="1"/>
  <c r="I223" i="16" s="1"/>
  <c r="E222" i="16"/>
  <c r="H222" i="16" s="1"/>
  <c r="I222" i="16" s="1"/>
  <c r="E221" i="16"/>
  <c r="H221" i="16" s="1"/>
  <c r="I221" i="16" s="1"/>
  <c r="E220" i="16"/>
  <c r="H220" i="16" s="1"/>
  <c r="I220" i="16" s="1"/>
  <c r="E219" i="16"/>
  <c r="H219" i="16" s="1"/>
  <c r="I219" i="16" s="1"/>
  <c r="E218" i="16"/>
  <c r="H218" i="16" s="1"/>
  <c r="I218" i="16" s="1"/>
  <c r="E217" i="16"/>
  <c r="H217" i="16" s="1"/>
  <c r="I217" i="16" s="1"/>
  <c r="E216" i="16"/>
  <c r="H216" i="16" s="1"/>
  <c r="I216" i="16" s="1"/>
  <c r="E215" i="16"/>
  <c r="H215" i="16" s="1"/>
  <c r="I215" i="16" s="1"/>
  <c r="E214" i="16"/>
  <c r="H214" i="16" s="1"/>
  <c r="I214" i="16" s="1"/>
  <c r="E213" i="16"/>
  <c r="H213" i="16" s="1"/>
  <c r="I213" i="16" s="1"/>
  <c r="E212" i="16"/>
  <c r="H212" i="16" s="1"/>
  <c r="I212" i="16" s="1"/>
  <c r="E211" i="16"/>
  <c r="H211" i="16" s="1"/>
  <c r="I211" i="16" s="1"/>
  <c r="E210" i="16"/>
  <c r="H210" i="16" s="1"/>
  <c r="I210" i="16" s="1"/>
  <c r="E209" i="16"/>
  <c r="H209" i="16" s="1"/>
  <c r="I209" i="16" s="1"/>
  <c r="E208" i="16"/>
  <c r="H208" i="16" s="1"/>
  <c r="I208" i="16" s="1"/>
  <c r="E207" i="16"/>
  <c r="H207" i="16" s="1"/>
  <c r="I207" i="16" s="1"/>
  <c r="E206" i="16"/>
  <c r="H206" i="16" s="1"/>
  <c r="I206" i="16" s="1"/>
  <c r="E205" i="16"/>
  <c r="H205" i="16" s="1"/>
  <c r="I205" i="16" s="1"/>
  <c r="E204" i="16"/>
  <c r="H204" i="16" s="1"/>
  <c r="I204" i="16" s="1"/>
  <c r="E203" i="16"/>
  <c r="H203" i="16" s="1"/>
  <c r="I203" i="16" s="1"/>
  <c r="E202" i="16"/>
  <c r="H202" i="16" s="1"/>
  <c r="I202" i="16" s="1"/>
  <c r="E201" i="16"/>
  <c r="H201" i="16" s="1"/>
  <c r="I201" i="16" s="1"/>
  <c r="E200" i="16"/>
  <c r="H200" i="16" s="1"/>
  <c r="I200" i="16" s="1"/>
  <c r="E199" i="16"/>
  <c r="H199" i="16" s="1"/>
  <c r="I199" i="16" s="1"/>
  <c r="E198" i="16"/>
  <c r="H198" i="16" s="1"/>
  <c r="I198" i="16" s="1"/>
  <c r="E197" i="16"/>
  <c r="H197" i="16" s="1"/>
  <c r="I197" i="16" s="1"/>
  <c r="E196" i="16"/>
  <c r="H196" i="16" s="1"/>
  <c r="I196" i="16" s="1"/>
  <c r="E195" i="16"/>
  <c r="H195" i="16" s="1"/>
  <c r="I195" i="16" s="1"/>
  <c r="E194" i="16"/>
  <c r="H194" i="16" s="1"/>
  <c r="I194" i="16" s="1"/>
  <c r="E193" i="16"/>
  <c r="H193" i="16" s="1"/>
  <c r="I193" i="16" s="1"/>
  <c r="E192" i="16"/>
  <c r="H192" i="16" s="1"/>
  <c r="I192" i="16" s="1"/>
  <c r="E191" i="16"/>
  <c r="H191" i="16" s="1"/>
  <c r="I191" i="16" s="1"/>
  <c r="E190" i="16"/>
  <c r="H190" i="16" s="1"/>
  <c r="I190" i="16" s="1"/>
  <c r="E189" i="16"/>
  <c r="H189" i="16" s="1"/>
  <c r="I189" i="16" s="1"/>
  <c r="E188" i="16"/>
  <c r="H188" i="16" s="1"/>
  <c r="I188" i="16" s="1"/>
  <c r="E187" i="16"/>
  <c r="H187" i="16" s="1"/>
  <c r="I187" i="16" s="1"/>
  <c r="E186" i="16"/>
  <c r="H186" i="16" s="1"/>
  <c r="I186" i="16" s="1"/>
  <c r="E185" i="16"/>
  <c r="H185" i="16" s="1"/>
  <c r="I185" i="16" s="1"/>
  <c r="E184" i="16"/>
  <c r="H184" i="16" s="1"/>
  <c r="I184" i="16" s="1"/>
  <c r="E183" i="16"/>
  <c r="H183" i="16" s="1"/>
  <c r="I183" i="16" s="1"/>
  <c r="E182" i="16"/>
  <c r="H182" i="16" s="1"/>
  <c r="I182" i="16" s="1"/>
  <c r="E181" i="16"/>
  <c r="H181" i="16" s="1"/>
  <c r="I181" i="16" s="1"/>
  <c r="E180" i="16"/>
  <c r="H180" i="16" s="1"/>
  <c r="I180" i="16" s="1"/>
  <c r="E179" i="16"/>
  <c r="H179" i="16" s="1"/>
  <c r="I179" i="16" s="1"/>
  <c r="E178" i="16"/>
  <c r="H178" i="16" s="1"/>
  <c r="I178" i="16" s="1"/>
  <c r="E177" i="16"/>
  <c r="H177" i="16" s="1"/>
  <c r="I177" i="16" s="1"/>
  <c r="E176" i="16"/>
  <c r="H176" i="16" s="1"/>
  <c r="I176" i="16" s="1"/>
  <c r="E175" i="16"/>
  <c r="H175" i="16" s="1"/>
  <c r="I175" i="16" s="1"/>
  <c r="E174" i="16"/>
  <c r="H174" i="16" s="1"/>
  <c r="I174" i="16" s="1"/>
  <c r="E173" i="16"/>
  <c r="H173" i="16" s="1"/>
  <c r="I173" i="16" s="1"/>
  <c r="E172" i="16"/>
  <c r="H172" i="16" s="1"/>
  <c r="I172" i="16" s="1"/>
  <c r="E171" i="16"/>
  <c r="H171" i="16" s="1"/>
  <c r="I171" i="16" s="1"/>
  <c r="E170" i="16"/>
  <c r="H170" i="16" s="1"/>
  <c r="I170" i="16" s="1"/>
  <c r="E169" i="16"/>
  <c r="H169" i="16" s="1"/>
  <c r="I169" i="16" s="1"/>
  <c r="E168" i="16"/>
  <c r="H168" i="16" s="1"/>
  <c r="I168" i="16" s="1"/>
  <c r="E167" i="16"/>
  <c r="H167" i="16" s="1"/>
  <c r="I167" i="16" s="1"/>
  <c r="E166" i="16"/>
  <c r="H166" i="16" s="1"/>
  <c r="I166" i="16" s="1"/>
  <c r="E165" i="16"/>
  <c r="H165" i="16" s="1"/>
  <c r="I165" i="16" s="1"/>
  <c r="E164" i="16"/>
  <c r="H164" i="16" s="1"/>
  <c r="I164" i="16" s="1"/>
  <c r="E163" i="16"/>
  <c r="H163" i="16" s="1"/>
  <c r="I163" i="16" s="1"/>
  <c r="E162" i="16"/>
  <c r="H162" i="16" s="1"/>
  <c r="I162" i="16" s="1"/>
  <c r="E161" i="16"/>
  <c r="H161" i="16" s="1"/>
  <c r="I161" i="16" s="1"/>
  <c r="E160" i="16"/>
  <c r="H160" i="16" s="1"/>
  <c r="I160" i="16" s="1"/>
  <c r="E159" i="16"/>
  <c r="H159" i="16" s="1"/>
  <c r="I159" i="16" s="1"/>
  <c r="E158" i="16"/>
  <c r="H158" i="16" s="1"/>
  <c r="I158" i="16" s="1"/>
  <c r="E157" i="16"/>
  <c r="H157" i="16" s="1"/>
  <c r="E156" i="16"/>
  <c r="H156" i="16" s="1"/>
  <c r="I156" i="16" s="1"/>
  <c r="E155" i="16"/>
  <c r="H155" i="16" s="1"/>
  <c r="I155" i="16" s="1"/>
  <c r="E154" i="16"/>
  <c r="H154" i="16" s="1"/>
  <c r="I154" i="16" s="1"/>
  <c r="E153" i="16"/>
  <c r="H153" i="16" s="1"/>
  <c r="I153" i="16" s="1"/>
  <c r="E152" i="16"/>
  <c r="H152" i="16" s="1"/>
  <c r="I152" i="16" s="1"/>
  <c r="E151" i="16"/>
  <c r="H151" i="16" s="1"/>
  <c r="I151" i="16" s="1"/>
  <c r="E150" i="16"/>
  <c r="H150" i="16" s="1"/>
  <c r="I150" i="16" s="1"/>
  <c r="E149" i="16"/>
  <c r="H149" i="16" s="1"/>
  <c r="I149" i="16" s="1"/>
  <c r="E148" i="16"/>
  <c r="H148" i="16" s="1"/>
  <c r="I148" i="16" s="1"/>
  <c r="E147" i="16"/>
  <c r="H147" i="16" s="1"/>
  <c r="I147" i="16" s="1"/>
  <c r="E146" i="16"/>
  <c r="H146" i="16" s="1"/>
  <c r="I146" i="16" s="1"/>
  <c r="E145" i="16"/>
  <c r="H145" i="16" s="1"/>
  <c r="I145" i="16" s="1"/>
  <c r="E144" i="16"/>
  <c r="H144" i="16" s="1"/>
  <c r="I144" i="16" s="1"/>
  <c r="E143" i="16"/>
  <c r="H143" i="16" s="1"/>
  <c r="I143" i="16" s="1"/>
  <c r="E142" i="16"/>
  <c r="H142" i="16" s="1"/>
  <c r="I142" i="16" s="1"/>
  <c r="E141" i="16"/>
  <c r="H141" i="16" s="1"/>
  <c r="E140" i="16"/>
  <c r="H140" i="16" s="1"/>
  <c r="I140" i="16" s="1"/>
  <c r="E139" i="16"/>
  <c r="H139" i="16" s="1"/>
  <c r="I139" i="16" s="1"/>
  <c r="E138" i="16"/>
  <c r="H138" i="16" s="1"/>
  <c r="I138" i="16" s="1"/>
  <c r="E137" i="16"/>
  <c r="H137" i="16" s="1"/>
  <c r="I137" i="16" s="1"/>
  <c r="E136" i="16"/>
  <c r="H136" i="16" s="1"/>
  <c r="I136" i="16" s="1"/>
  <c r="E135" i="16"/>
  <c r="H135" i="16" s="1"/>
  <c r="I135" i="16" s="1"/>
  <c r="E134" i="16"/>
  <c r="H134" i="16" s="1"/>
  <c r="I134" i="16" s="1"/>
  <c r="E133" i="16"/>
  <c r="H133" i="16" s="1"/>
  <c r="I133" i="16" s="1"/>
  <c r="E132" i="16"/>
  <c r="H132" i="16" s="1"/>
  <c r="I132" i="16" s="1"/>
  <c r="E131" i="16"/>
  <c r="H131" i="16" s="1"/>
  <c r="I131" i="16" s="1"/>
  <c r="E130" i="16"/>
  <c r="H130" i="16" s="1"/>
  <c r="I130" i="16" s="1"/>
  <c r="E129" i="16"/>
  <c r="H129" i="16" s="1"/>
  <c r="I129" i="16" s="1"/>
  <c r="E128" i="16"/>
  <c r="H128" i="16" s="1"/>
  <c r="I128" i="16" s="1"/>
  <c r="E127" i="16"/>
  <c r="H127" i="16" s="1"/>
  <c r="I127" i="16" s="1"/>
  <c r="E126" i="16"/>
  <c r="H126" i="16" s="1"/>
  <c r="I126" i="16" s="1"/>
  <c r="E125" i="16"/>
  <c r="H125" i="16" s="1"/>
  <c r="I125" i="16" s="1"/>
  <c r="E124" i="16"/>
  <c r="H124" i="16" s="1"/>
  <c r="I124" i="16" s="1"/>
  <c r="E123" i="16"/>
  <c r="H123" i="16" s="1"/>
  <c r="I123" i="16" s="1"/>
  <c r="E122" i="16"/>
  <c r="H122" i="16" s="1"/>
  <c r="I122" i="16" s="1"/>
  <c r="E121" i="16"/>
  <c r="H121" i="16" s="1"/>
  <c r="I121" i="16" s="1"/>
  <c r="E120" i="16"/>
  <c r="H120" i="16" s="1"/>
  <c r="I120" i="16" s="1"/>
  <c r="E119" i="16"/>
  <c r="H119" i="16" s="1"/>
  <c r="I119" i="16" s="1"/>
  <c r="E118" i="16"/>
  <c r="H118" i="16" s="1"/>
  <c r="I118" i="16" s="1"/>
  <c r="E117" i="16"/>
  <c r="H117" i="16" s="1"/>
  <c r="I117" i="16" s="1"/>
  <c r="E116" i="16"/>
  <c r="H116" i="16" s="1"/>
  <c r="I116" i="16" s="1"/>
  <c r="E115" i="16"/>
  <c r="H115" i="16" s="1"/>
  <c r="I115" i="16" s="1"/>
  <c r="E114" i="16"/>
  <c r="H114" i="16" s="1"/>
  <c r="I114" i="16" s="1"/>
  <c r="E113" i="16"/>
  <c r="H113" i="16" s="1"/>
  <c r="I113" i="16" s="1"/>
  <c r="E112" i="16"/>
  <c r="H112" i="16" s="1"/>
  <c r="I112" i="16" s="1"/>
  <c r="E111" i="16"/>
  <c r="H111" i="16" s="1"/>
  <c r="I111" i="16" s="1"/>
  <c r="E110" i="16"/>
  <c r="H110" i="16" s="1"/>
  <c r="I110" i="16" s="1"/>
  <c r="E109" i="16"/>
  <c r="H109" i="16" s="1"/>
  <c r="I109" i="16" s="1"/>
  <c r="E108" i="16"/>
  <c r="H108" i="16" s="1"/>
  <c r="I108" i="16" s="1"/>
  <c r="E107" i="16"/>
  <c r="H107" i="16" s="1"/>
  <c r="I107" i="16" s="1"/>
  <c r="E106" i="16"/>
  <c r="H106" i="16" s="1"/>
  <c r="E105" i="16"/>
  <c r="H105" i="16" s="1"/>
  <c r="I105" i="16" s="1"/>
  <c r="E104" i="16"/>
  <c r="H104" i="16" s="1"/>
  <c r="I104" i="16" s="1"/>
  <c r="E103" i="16"/>
  <c r="H103" i="16" s="1"/>
  <c r="I103" i="16" s="1"/>
  <c r="E102" i="16"/>
  <c r="H102" i="16" s="1"/>
  <c r="I102" i="16" s="1"/>
  <c r="E101" i="16"/>
  <c r="H101" i="16" s="1"/>
  <c r="I101" i="16" s="1"/>
  <c r="E100" i="16"/>
  <c r="H100" i="16" s="1"/>
  <c r="I100" i="16" s="1"/>
  <c r="E99" i="16"/>
  <c r="H99" i="16" s="1"/>
  <c r="I99" i="16" s="1"/>
  <c r="E98" i="16"/>
  <c r="H98" i="16" s="1"/>
  <c r="I98" i="16" s="1"/>
  <c r="E97" i="16"/>
  <c r="H97" i="16" s="1"/>
  <c r="I97" i="16" s="1"/>
  <c r="E96" i="16"/>
  <c r="H96" i="16" s="1"/>
  <c r="I96" i="16" s="1"/>
  <c r="E95" i="16"/>
  <c r="H95" i="16" s="1"/>
  <c r="I95" i="16" s="1"/>
  <c r="E94" i="16"/>
  <c r="H94" i="16" s="1"/>
  <c r="I94" i="16" s="1"/>
  <c r="E93" i="16"/>
  <c r="H93" i="16" s="1"/>
  <c r="I93" i="16" s="1"/>
  <c r="E92" i="16"/>
  <c r="H92" i="16" s="1"/>
  <c r="I92" i="16" s="1"/>
  <c r="E91" i="16"/>
  <c r="H91" i="16" s="1"/>
  <c r="I91" i="16" s="1"/>
  <c r="E90" i="16"/>
  <c r="H90" i="16" s="1"/>
  <c r="I90" i="16" s="1"/>
  <c r="E89" i="16"/>
  <c r="H89" i="16" s="1"/>
  <c r="I89" i="16" s="1"/>
  <c r="E88" i="16"/>
  <c r="H88" i="16" s="1"/>
  <c r="I88" i="16" s="1"/>
  <c r="E87" i="16"/>
  <c r="H87" i="16" s="1"/>
  <c r="I87" i="16" s="1"/>
  <c r="E86" i="16"/>
  <c r="H86" i="16" s="1"/>
  <c r="I86" i="16" s="1"/>
  <c r="E85" i="16"/>
  <c r="H85" i="16" s="1"/>
  <c r="I85" i="16" s="1"/>
  <c r="E84" i="16"/>
  <c r="H84" i="16" s="1"/>
  <c r="I84" i="16" s="1"/>
  <c r="E83" i="16"/>
  <c r="H83" i="16" s="1"/>
  <c r="I83" i="16" s="1"/>
  <c r="E82" i="16"/>
  <c r="H82" i="16" s="1"/>
  <c r="I82" i="16" s="1"/>
  <c r="E81" i="16"/>
  <c r="H81" i="16" s="1"/>
  <c r="I81" i="16" s="1"/>
  <c r="E80" i="16"/>
  <c r="H80" i="16" s="1"/>
  <c r="I80" i="16" s="1"/>
  <c r="E79" i="16"/>
  <c r="H79" i="16" s="1"/>
  <c r="I79" i="16" s="1"/>
  <c r="E78" i="16"/>
  <c r="H78" i="16" s="1"/>
  <c r="I78" i="16" s="1"/>
  <c r="E77" i="16"/>
  <c r="H77" i="16" s="1"/>
  <c r="I77" i="16" s="1"/>
  <c r="E76" i="16"/>
  <c r="H76" i="16" s="1"/>
  <c r="I76" i="16" s="1"/>
  <c r="E75" i="16"/>
  <c r="H75" i="16" s="1"/>
  <c r="I75" i="16" s="1"/>
  <c r="E74" i="16"/>
  <c r="H74" i="16" s="1"/>
  <c r="I74" i="16" s="1"/>
  <c r="E73" i="16"/>
  <c r="H73" i="16" s="1"/>
  <c r="I73" i="16" s="1"/>
  <c r="E72" i="16"/>
  <c r="H72" i="16" s="1"/>
  <c r="I72" i="16" s="1"/>
  <c r="E71" i="16"/>
  <c r="H71" i="16" s="1"/>
  <c r="I71" i="16" s="1"/>
  <c r="E70" i="16"/>
  <c r="H70" i="16" s="1"/>
  <c r="I70" i="16" s="1"/>
  <c r="E69" i="16"/>
  <c r="H69" i="16" s="1"/>
  <c r="I69" i="16" s="1"/>
  <c r="E68" i="16"/>
  <c r="H68" i="16" s="1"/>
  <c r="I68" i="16" s="1"/>
  <c r="E67" i="16"/>
  <c r="H67" i="16" s="1"/>
  <c r="I67" i="16" s="1"/>
  <c r="E66" i="16"/>
  <c r="H66" i="16" s="1"/>
  <c r="I66" i="16" s="1"/>
  <c r="E65" i="16"/>
  <c r="H65" i="16" s="1"/>
  <c r="I65" i="16" s="1"/>
  <c r="E64" i="16"/>
  <c r="H64" i="16" s="1"/>
  <c r="I64" i="16" s="1"/>
  <c r="E63" i="16"/>
  <c r="H63" i="16" s="1"/>
  <c r="I63" i="16" s="1"/>
  <c r="E62" i="16"/>
  <c r="H62" i="16" s="1"/>
  <c r="I62" i="16" s="1"/>
  <c r="E61" i="16"/>
  <c r="H61" i="16" s="1"/>
  <c r="I61" i="16" s="1"/>
  <c r="E60" i="16"/>
  <c r="H60" i="16" s="1"/>
  <c r="I60" i="16" s="1"/>
  <c r="E59" i="16"/>
  <c r="H59" i="16" s="1"/>
  <c r="I59" i="16" s="1"/>
  <c r="E58" i="16"/>
  <c r="H58" i="16" s="1"/>
  <c r="I58" i="16" s="1"/>
  <c r="E57" i="16"/>
  <c r="H57" i="16" s="1"/>
  <c r="I57" i="16" s="1"/>
  <c r="E56" i="16"/>
  <c r="H56" i="16" s="1"/>
  <c r="I56" i="16" s="1"/>
  <c r="E55" i="16"/>
  <c r="H55" i="16" s="1"/>
  <c r="I55" i="16" s="1"/>
  <c r="E54" i="16"/>
  <c r="H54" i="16" s="1"/>
  <c r="I54" i="16" s="1"/>
  <c r="E53" i="16"/>
  <c r="H53" i="16" s="1"/>
  <c r="I53" i="16" s="1"/>
  <c r="E52" i="16"/>
  <c r="H52" i="16" s="1"/>
  <c r="I52" i="16" s="1"/>
  <c r="E51" i="16"/>
  <c r="H51" i="16" s="1"/>
  <c r="I51" i="16" s="1"/>
  <c r="E50" i="16"/>
  <c r="H50" i="16" s="1"/>
  <c r="I50" i="16" s="1"/>
  <c r="E49" i="16"/>
  <c r="H49" i="16" s="1"/>
  <c r="I49" i="16" s="1"/>
  <c r="E48" i="16"/>
  <c r="H48" i="16" s="1"/>
  <c r="I48" i="16" s="1"/>
  <c r="E47" i="16"/>
  <c r="H47" i="16" s="1"/>
  <c r="I47" i="16" s="1"/>
  <c r="E46" i="16"/>
  <c r="H46" i="16" s="1"/>
  <c r="I46" i="16" s="1"/>
  <c r="E45" i="16"/>
  <c r="H45" i="16" s="1"/>
  <c r="I45" i="16" s="1"/>
  <c r="E44" i="16"/>
  <c r="H44" i="16" s="1"/>
  <c r="I44" i="16" s="1"/>
  <c r="E43" i="16"/>
  <c r="H43" i="16" s="1"/>
  <c r="I43" i="16" s="1"/>
  <c r="E42" i="16"/>
  <c r="H42" i="16" s="1"/>
  <c r="I42" i="16" s="1"/>
  <c r="E41" i="16"/>
  <c r="H41" i="16" s="1"/>
  <c r="I41" i="16" s="1"/>
  <c r="E40" i="16"/>
  <c r="H40" i="16" s="1"/>
  <c r="I40" i="16" s="1"/>
  <c r="E39" i="16"/>
  <c r="H39" i="16" s="1"/>
  <c r="I39" i="16" s="1"/>
  <c r="E38" i="16"/>
  <c r="H38" i="16" s="1"/>
  <c r="I38" i="16" s="1"/>
  <c r="E37" i="16"/>
  <c r="H37" i="16" s="1"/>
  <c r="I37" i="16" s="1"/>
  <c r="E36" i="16"/>
  <c r="H36" i="16" s="1"/>
  <c r="I36" i="16" s="1"/>
  <c r="E35" i="16"/>
  <c r="H35" i="16" s="1"/>
  <c r="I35" i="16" s="1"/>
  <c r="E34" i="16"/>
  <c r="H34" i="16" s="1"/>
  <c r="I34" i="16" s="1"/>
  <c r="E33" i="16"/>
  <c r="H33" i="16" s="1"/>
  <c r="I33" i="16" s="1"/>
  <c r="E32" i="16"/>
  <c r="H32" i="16" s="1"/>
  <c r="I32" i="16" s="1"/>
  <c r="E31" i="16"/>
  <c r="H31" i="16" s="1"/>
  <c r="I31" i="16" s="1"/>
  <c r="E30" i="16"/>
  <c r="H30" i="16" s="1"/>
  <c r="I30" i="16" s="1"/>
  <c r="E29" i="16"/>
  <c r="H29" i="16" s="1"/>
  <c r="I29" i="16" s="1"/>
  <c r="E28" i="16"/>
  <c r="H28" i="16" s="1"/>
  <c r="I28" i="16" s="1"/>
  <c r="E27" i="16"/>
  <c r="H27" i="16" s="1"/>
  <c r="I27" i="16" s="1"/>
  <c r="E26" i="16"/>
  <c r="H26" i="16" s="1"/>
  <c r="I26" i="16" s="1"/>
  <c r="E25" i="16"/>
  <c r="H25" i="16" s="1"/>
  <c r="I25" i="16" s="1"/>
  <c r="E24" i="16"/>
  <c r="H24" i="16" s="1"/>
  <c r="I24" i="16" s="1"/>
  <c r="E23" i="16"/>
  <c r="H23" i="16" s="1"/>
  <c r="I23" i="16" s="1"/>
  <c r="E22" i="16"/>
  <c r="H22" i="16" s="1"/>
  <c r="I22" i="16" s="1"/>
  <c r="E21" i="16"/>
  <c r="H21" i="16" s="1"/>
  <c r="I21" i="16" s="1"/>
  <c r="E20" i="16"/>
  <c r="H20" i="16" s="1"/>
  <c r="I20" i="16" s="1"/>
  <c r="E19" i="16"/>
  <c r="H19" i="16" s="1"/>
  <c r="I19" i="16" s="1"/>
  <c r="E18" i="16"/>
  <c r="H18" i="16" s="1"/>
  <c r="I18" i="16" s="1"/>
  <c r="E17" i="16"/>
  <c r="H17" i="16" s="1"/>
  <c r="I17" i="16" s="1"/>
  <c r="E16" i="16"/>
  <c r="H16" i="16" s="1"/>
  <c r="I16" i="16" s="1"/>
  <c r="E15" i="16"/>
  <c r="H15" i="16" s="1"/>
  <c r="I15" i="16" s="1"/>
  <c r="E14" i="16"/>
  <c r="H14" i="16" s="1"/>
  <c r="I14" i="16" s="1"/>
  <c r="E13" i="16"/>
  <c r="H13" i="16" s="1"/>
  <c r="I13" i="16" s="1"/>
  <c r="E12" i="16"/>
  <c r="H12" i="16" s="1"/>
  <c r="I12" i="16" s="1"/>
  <c r="E11" i="16"/>
  <c r="H11" i="16" s="1"/>
  <c r="I11" i="16" s="1"/>
  <c r="E10" i="16"/>
  <c r="H10" i="16" s="1"/>
  <c r="I10" i="16" s="1"/>
  <c r="E9" i="16"/>
  <c r="H9" i="16" s="1"/>
  <c r="I9" i="16" s="1"/>
  <c r="E8" i="16"/>
  <c r="H8" i="16" s="1"/>
  <c r="I8" i="16" s="1"/>
  <c r="E375" i="16" l="1"/>
  <c r="N16" i="16" s="1"/>
  <c r="H49" i="18" l="1"/>
  <c r="N57" i="12" l="1"/>
  <c r="J54" i="12"/>
  <c r="H81" i="18" l="1"/>
  <c r="R70" i="11" l="1"/>
  <c r="S72" i="11" s="1"/>
  <c r="O59" i="12" l="1"/>
  <c r="P70" i="11" l="1"/>
  <c r="Q72" i="11" s="1"/>
  <c r="S247" i="14" l="1"/>
  <c r="T246" i="14" s="1"/>
  <c r="T242" i="14" l="1"/>
  <c r="T243" i="14"/>
  <c r="T244" i="14"/>
  <c r="T241" i="14"/>
  <c r="T245" i="14"/>
  <c r="I63" i="10" l="1"/>
  <c r="P88" i="10" l="1"/>
  <c r="P89" i="10" s="1"/>
  <c r="E69" i="4" l="1"/>
  <c r="A72" i="6" l="1"/>
  <c r="A54" i="7" s="1"/>
  <c r="F48" i="18" l="1"/>
  <c r="J159" i="12"/>
  <c r="N218" i="12"/>
  <c r="O220" i="12"/>
  <c r="J86" i="14"/>
  <c r="H98" i="13" l="1"/>
  <c r="F136" i="14"/>
  <c r="H48" i="18"/>
  <c r="I28" i="10" l="1"/>
  <c r="B28" i="10"/>
  <c r="G89" i="13" l="1"/>
  <c r="E31" i="18" l="1"/>
  <c r="H47" i="13"/>
  <c r="J82" i="14"/>
  <c r="J129" i="12"/>
  <c r="J128" i="12"/>
  <c r="J87" i="12"/>
  <c r="J85" i="12"/>
  <c r="J84" i="12"/>
  <c r="J17" i="11"/>
  <c r="I17" i="11"/>
  <c r="S229" i="12" l="1"/>
  <c r="M232" i="12"/>
  <c r="H31" i="18"/>
  <c r="L31" i="18"/>
  <c r="P31" i="18" s="1"/>
  <c r="F46" i="18"/>
  <c r="H96" i="13" s="1"/>
  <c r="J89" i="12"/>
  <c r="F50" i="18"/>
  <c r="F137" i="14" s="1"/>
  <c r="F47" i="18"/>
  <c r="H47" i="18" s="1"/>
  <c r="M171" i="12"/>
  <c r="M218" i="12"/>
  <c r="N220" i="12"/>
  <c r="P220" i="12" s="1"/>
  <c r="J68" i="12"/>
  <c r="J71" i="12"/>
  <c r="J67" i="12"/>
  <c r="J66" i="12"/>
  <c r="J60" i="12"/>
  <c r="J59" i="12"/>
  <c r="I13" i="3"/>
  <c r="F40" i="18" l="1"/>
  <c r="H92" i="13" s="1"/>
  <c r="H50" i="18"/>
  <c r="H99" i="13"/>
  <c r="F134" i="14"/>
  <c r="F51" i="18"/>
  <c r="F135" i="14"/>
  <c r="H97" i="13"/>
  <c r="H46" i="18"/>
  <c r="E51" i="18"/>
  <c r="H45" i="13"/>
  <c r="J61" i="12"/>
  <c r="F39" i="18" s="1"/>
  <c r="B307" i="14"/>
  <c r="B308" i="14" s="1"/>
  <c r="Q294" i="14"/>
  <c r="R294" i="14" s="1"/>
  <c r="T292" i="14"/>
  <c r="U292" i="14" s="1"/>
  <c r="Q292" i="14"/>
  <c r="Q291" i="14"/>
  <c r="Q290" i="14"/>
  <c r="Q289" i="14"/>
  <c r="T279" i="14"/>
  <c r="N159" i="14"/>
  <c r="L159" i="14"/>
  <c r="J159" i="14"/>
  <c r="H159" i="14"/>
  <c r="N152" i="14"/>
  <c r="L152" i="14"/>
  <c r="J152" i="14"/>
  <c r="H152" i="14"/>
  <c r="P149" i="14"/>
  <c r="P148" i="14"/>
  <c r="N138" i="14"/>
  <c r="L138" i="14"/>
  <c r="J138" i="14"/>
  <c r="H138" i="14"/>
  <c r="J131" i="14"/>
  <c r="P87" i="14"/>
  <c r="N87" i="14"/>
  <c r="S86" i="14"/>
  <c r="S85" i="14"/>
  <c r="B85" i="14"/>
  <c r="S84" i="14"/>
  <c r="Q83" i="14"/>
  <c r="R78" i="14"/>
  <c r="N59" i="14"/>
  <c r="U59" i="14" s="1"/>
  <c r="S36" i="14"/>
  <c r="G132" i="13"/>
  <c r="F132" i="13"/>
  <c r="E132" i="13"/>
  <c r="J129" i="13"/>
  <c r="G125" i="13"/>
  <c r="F125" i="13"/>
  <c r="J122" i="13"/>
  <c r="J120" i="13"/>
  <c r="G100" i="13"/>
  <c r="F100" i="13"/>
  <c r="E100" i="13"/>
  <c r="A9" i="14"/>
  <c r="A381" i="12"/>
  <c r="R263" i="12"/>
  <c r="A263" i="12"/>
  <c r="A183" i="12"/>
  <c r="J131" i="13"/>
  <c r="V178" i="12"/>
  <c r="A161" i="12"/>
  <c r="H159" i="12" s="1"/>
  <c r="A132" i="12"/>
  <c r="A91" i="12"/>
  <c r="A95" i="12" s="1"/>
  <c r="O20" i="11"/>
  <c r="B20" i="11"/>
  <c r="B18" i="11"/>
  <c r="I18" i="11"/>
  <c r="J16" i="12" s="1"/>
  <c r="H17" i="11"/>
  <c r="Q114" i="10"/>
  <c r="I114" i="10"/>
  <c r="L114" i="10"/>
  <c r="Q110" i="10"/>
  <c r="L110" i="10"/>
  <c r="Q106" i="10"/>
  <c r="L106" i="10"/>
  <c r="Q69" i="10"/>
  <c r="J81" i="14"/>
  <c r="B30" i="10"/>
  <c r="B73" i="10" s="1"/>
  <c r="B119" i="10" s="1"/>
  <c r="V83" i="14"/>
  <c r="Q1" i="10"/>
  <c r="P1" i="10"/>
  <c r="J9" i="12"/>
  <c r="B1" i="9"/>
  <c r="A1" i="9"/>
  <c r="A3" i="8"/>
  <c r="A1" i="8"/>
  <c r="J46" i="7"/>
  <c r="K46" i="7" s="1"/>
  <c r="M36" i="7"/>
  <c r="L28" i="7"/>
  <c r="A10" i="7"/>
  <c r="A1" i="7"/>
  <c r="A60" i="6"/>
  <c r="J37" i="4"/>
  <c r="N27" i="4"/>
  <c r="A72" i="4"/>
  <c r="A20" i="5" s="1"/>
  <c r="O21" i="11"/>
  <c r="M87" i="12"/>
  <c r="O87" i="12" s="1"/>
  <c r="T85" i="14"/>
  <c r="V86" i="14"/>
  <c r="F128" i="8" l="1"/>
  <c r="A3" i="9"/>
  <c r="J8" i="12"/>
  <c r="H51" i="18"/>
  <c r="F130" i="14"/>
  <c r="A8" i="11"/>
  <c r="A22" i="11" s="1"/>
  <c r="H52" i="13"/>
  <c r="F128" i="14"/>
  <c r="H91" i="13"/>
  <c r="H73" i="18"/>
  <c r="E74" i="18"/>
  <c r="H78" i="18"/>
  <c r="H82" i="18" s="1"/>
  <c r="E82" i="18"/>
  <c r="H39" i="18"/>
  <c r="G134" i="13"/>
  <c r="G136" i="13" s="1"/>
  <c r="F134" i="13"/>
  <c r="F136" i="13" s="1"/>
  <c r="I28" i="3"/>
  <c r="J161" i="14"/>
  <c r="A98" i="14"/>
  <c r="A149" i="12"/>
  <c r="H161" i="14"/>
  <c r="N161" i="14"/>
  <c r="S37" i="14"/>
  <c r="J140" i="14"/>
  <c r="J59" i="14"/>
  <c r="N173" i="12"/>
  <c r="H84" i="12"/>
  <c r="A44" i="10"/>
  <c r="A2" i="11"/>
  <c r="O22" i="11"/>
  <c r="I69" i="10"/>
  <c r="P156" i="14"/>
  <c r="P81" i="12"/>
  <c r="T84" i="14"/>
  <c r="J74" i="12"/>
  <c r="H87" i="13"/>
  <c r="J84" i="14"/>
  <c r="Q86" i="14"/>
  <c r="V85" i="14"/>
  <c r="Q84" i="14"/>
  <c r="T86" i="14"/>
  <c r="J83" i="14"/>
  <c r="J25" i="3"/>
  <c r="I25" i="3"/>
  <c r="J98" i="13"/>
  <c r="I26" i="3"/>
  <c r="J26" i="3"/>
  <c r="Q87" i="14"/>
  <c r="H85" i="12"/>
  <c r="A97" i="12"/>
  <c r="A108" i="12" s="1"/>
  <c r="L27" i="4"/>
  <c r="M55" i="4"/>
  <c r="N33" i="3"/>
  <c r="O33" i="3" s="1"/>
  <c r="E56" i="4"/>
  <c r="M60" i="10"/>
  <c r="Q79" i="14"/>
  <c r="J79" i="14"/>
  <c r="H128" i="12"/>
  <c r="J130" i="12"/>
  <c r="I110" i="10"/>
  <c r="A228" i="12"/>
  <c r="H171" i="12"/>
  <c r="Q80" i="14"/>
  <c r="J80" i="14"/>
  <c r="I106" i="10"/>
  <c r="A115" i="8"/>
  <c r="P157" i="14"/>
  <c r="J130" i="13"/>
  <c r="P158" i="14"/>
  <c r="N131" i="14"/>
  <c r="N140" i="14" s="1"/>
  <c r="Q81" i="14"/>
  <c r="V81" i="14"/>
  <c r="R2" i="9"/>
  <c r="J124" i="13"/>
  <c r="P151" i="14" s="1"/>
  <c r="N74" i="12"/>
  <c r="O74" i="12" s="1"/>
  <c r="O486" i="12"/>
  <c r="E125" i="13"/>
  <c r="E134" i="13" s="1"/>
  <c r="E136" i="13" s="1"/>
  <c r="E138" i="13" s="1"/>
  <c r="J118" i="13"/>
  <c r="L161" i="14"/>
  <c r="A2" i="14"/>
  <c r="R26" i="14" l="1"/>
  <c r="R118" i="14"/>
  <c r="H40" i="18"/>
  <c r="L54" i="14"/>
  <c r="L58" i="14"/>
  <c r="A5" i="12"/>
  <c r="J88" i="9" s="1"/>
  <c r="G52" i="13"/>
  <c r="I71" i="10"/>
  <c r="H54" i="13"/>
  <c r="L56" i="13" s="1"/>
  <c r="M56" i="13"/>
  <c r="G53" i="13"/>
  <c r="N55" i="7"/>
  <c r="O55" i="7" s="1"/>
  <c r="L52" i="14"/>
  <c r="L55" i="14"/>
  <c r="L57" i="14"/>
  <c r="L53" i="14"/>
  <c r="L56" i="14"/>
  <c r="E28" i="18"/>
  <c r="H70" i="18"/>
  <c r="J123" i="13"/>
  <c r="H72" i="18"/>
  <c r="F74" i="18"/>
  <c r="H74" i="18" s="1"/>
  <c r="F138" i="13"/>
  <c r="G138" i="13" s="1"/>
  <c r="V80" i="14"/>
  <c r="H46" i="13"/>
  <c r="H48" i="13" s="1"/>
  <c r="P136" i="14"/>
  <c r="N183" i="14"/>
  <c r="P183" i="14" s="1"/>
  <c r="A2" i="10"/>
  <c r="H173" i="12"/>
  <c r="A251" i="12"/>
  <c r="P59" i="14"/>
  <c r="A87" i="10"/>
  <c r="A76" i="10"/>
  <c r="P45" i="11"/>
  <c r="P44" i="11" s="1"/>
  <c r="A42" i="10"/>
  <c r="A4" i="11"/>
  <c r="E35" i="4"/>
  <c r="S39" i="14"/>
  <c r="H132" i="13"/>
  <c r="J128" i="13"/>
  <c r="J132" i="13" s="1"/>
  <c r="H129" i="12"/>
  <c r="H87" i="12"/>
  <c r="J99" i="13"/>
  <c r="N181" i="12"/>
  <c r="M175" i="12"/>
  <c r="J40" i="14"/>
  <c r="N177" i="14" s="1"/>
  <c r="P177" i="14" s="1"/>
  <c r="I17" i="3"/>
  <c r="K17" i="11"/>
  <c r="K18" i="11" s="1"/>
  <c r="J18" i="11"/>
  <c r="Q293" i="14"/>
  <c r="R293" i="14" s="1"/>
  <c r="P41" i="14"/>
  <c r="U279" i="14"/>
  <c r="Q280" i="14"/>
  <c r="N41" i="14"/>
  <c r="J97" i="13"/>
  <c r="V84" i="14"/>
  <c r="A124" i="10"/>
  <c r="A119" i="8"/>
  <c r="F112" i="8" s="1"/>
  <c r="F111" i="8"/>
  <c r="T87" i="14"/>
  <c r="M33" i="9" l="1"/>
  <c r="M18" i="9"/>
  <c r="M22" i="9"/>
  <c r="M24" i="9"/>
  <c r="M28" i="9"/>
  <c r="M25" i="9"/>
  <c r="M27" i="9"/>
  <c r="M19" i="9"/>
  <c r="M20" i="9"/>
  <c r="M34" i="9"/>
  <c r="M53" i="9"/>
  <c r="P129" i="8"/>
  <c r="N10" i="12"/>
  <c r="J15" i="12"/>
  <c r="J17" i="12" s="1"/>
  <c r="J20" i="12" s="1"/>
  <c r="P128" i="8"/>
  <c r="A12" i="12"/>
  <c r="J10" i="12"/>
  <c r="R25" i="14"/>
  <c r="E29" i="18"/>
  <c r="E34" i="18" s="1"/>
  <c r="L59" i="13"/>
  <c r="L48" i="13"/>
  <c r="L28" i="18"/>
  <c r="H28" i="18"/>
  <c r="H125" i="13"/>
  <c r="H134" i="13" s="1"/>
  <c r="H136" i="13" s="1"/>
  <c r="P150" i="14"/>
  <c r="J125" i="13"/>
  <c r="J134" i="13" s="1"/>
  <c r="J136" i="13" s="1"/>
  <c r="P135" i="14"/>
  <c r="N182" i="14"/>
  <c r="P182" i="14" s="1"/>
  <c r="P137" i="14"/>
  <c r="N184" i="14"/>
  <c r="P184" i="14" s="1"/>
  <c r="J85" i="9"/>
  <c r="H100" i="13"/>
  <c r="L59" i="14"/>
  <c r="S41" i="14"/>
  <c r="S40" i="14"/>
  <c r="L23" i="4"/>
  <c r="N486" i="12"/>
  <c r="J28" i="3"/>
  <c r="Q180" i="12"/>
  <c r="R180" i="12" s="1"/>
  <c r="J96" i="13"/>
  <c r="J100" i="13" s="1"/>
  <c r="L39" i="14"/>
  <c r="J85" i="14"/>
  <c r="J38" i="14"/>
  <c r="L38" i="14" s="1"/>
  <c r="J24" i="3"/>
  <c r="I24" i="3"/>
  <c r="J23" i="3"/>
  <c r="I23" i="3"/>
  <c r="P155" i="14"/>
  <c r="P159" i="14" s="1"/>
  <c r="F159" i="14"/>
  <c r="T293" i="14"/>
  <c r="U293" i="14" s="1"/>
  <c r="P147" i="14"/>
  <c r="F152" i="14"/>
  <c r="L40" i="14"/>
  <c r="R40" i="14" s="1"/>
  <c r="E87" i="13"/>
  <c r="I32" i="22" l="1"/>
  <c r="O32" i="22" s="1"/>
  <c r="I34" i="22"/>
  <c r="O34" i="22" s="1"/>
  <c r="M32" i="9"/>
  <c r="M31" i="9"/>
  <c r="M21" i="9"/>
  <c r="M23" i="9"/>
  <c r="M26" i="9"/>
  <c r="M29" i="9"/>
  <c r="M30" i="9"/>
  <c r="L72" i="21"/>
  <c r="L64" i="21"/>
  <c r="L56" i="21"/>
  <c r="L48" i="21"/>
  <c r="L40" i="21"/>
  <c r="L34" i="21"/>
  <c r="L26" i="21"/>
  <c r="L22" i="21"/>
  <c r="L13" i="21"/>
  <c r="L75" i="21"/>
  <c r="L65" i="21"/>
  <c r="L57" i="21"/>
  <c r="L49" i="21"/>
  <c r="L43" i="21"/>
  <c r="L35" i="21"/>
  <c r="L29" i="21"/>
  <c r="L23" i="21"/>
  <c r="L69" i="21"/>
  <c r="L55" i="21"/>
  <c r="L45" i="21"/>
  <c r="L39" i="21"/>
  <c r="L33" i="21"/>
  <c r="L25" i="21"/>
  <c r="L19" i="21"/>
  <c r="L68" i="21"/>
  <c r="L60" i="21"/>
  <c r="L52" i="21"/>
  <c r="L44" i="21"/>
  <c r="L36" i="21"/>
  <c r="L30" i="21"/>
  <c r="L24" i="21"/>
  <c r="L16" i="21"/>
  <c r="L61" i="21"/>
  <c r="AH3" i="6"/>
  <c r="AI3" i="6" s="1"/>
  <c r="AH5" i="6"/>
  <c r="AI5" i="6" s="1"/>
  <c r="N12" i="16"/>
  <c r="P12" i="16" s="1"/>
  <c r="K33" i="4"/>
  <c r="N13" i="16" s="1"/>
  <c r="P13" i="16" s="1"/>
  <c r="P23" i="16" s="1"/>
  <c r="R119" i="14"/>
  <c r="R123" i="14" s="1"/>
  <c r="R27" i="14"/>
  <c r="P28" i="18"/>
  <c r="L29" i="18"/>
  <c r="P29" i="18" s="1"/>
  <c r="H29" i="18"/>
  <c r="H34" i="18" s="1"/>
  <c r="P152" i="14"/>
  <c r="P161" i="14" s="1"/>
  <c r="Q127" i="14"/>
  <c r="G93" i="13"/>
  <c r="G102" i="13" s="1"/>
  <c r="G104" i="13" s="1"/>
  <c r="I52" i="7"/>
  <c r="F38" i="18"/>
  <c r="H38" i="18" s="1"/>
  <c r="E41" i="18"/>
  <c r="I16" i="3"/>
  <c r="F161" i="14"/>
  <c r="E90" i="13"/>
  <c r="K37" i="4"/>
  <c r="J87" i="13"/>
  <c r="R292" i="14"/>
  <c r="S292" i="14" s="1"/>
  <c r="R289" i="14"/>
  <c r="S289" i="14" s="1"/>
  <c r="R290" i="14"/>
  <c r="S290" i="14" s="1"/>
  <c r="R291" i="14"/>
  <c r="S291" i="14" s="1"/>
  <c r="N181" i="14"/>
  <c r="J48" i="7"/>
  <c r="P130" i="14"/>
  <c r="J92" i="13"/>
  <c r="Q97" i="14"/>
  <c r="L131" i="14"/>
  <c r="L140" i="14" s="1"/>
  <c r="H93" i="13"/>
  <c r="H102" i="13" s="1"/>
  <c r="J39" i="14"/>
  <c r="R39" i="14" s="1"/>
  <c r="AJ5" i="6" l="1"/>
  <c r="AI6" i="6"/>
  <c r="AJ3" i="6"/>
  <c r="AJ4" i="6" s="1"/>
  <c r="AI4" i="6"/>
  <c r="R28" i="18"/>
  <c r="L34" i="18"/>
  <c r="P34" i="18"/>
  <c r="F126" i="14"/>
  <c r="N174" i="14" s="1"/>
  <c r="F41" i="18"/>
  <c r="H41" i="18" s="1"/>
  <c r="P181" i="14"/>
  <c r="P185" i="14" s="1"/>
  <c r="N185" i="14"/>
  <c r="J37" i="7"/>
  <c r="P14" i="16"/>
  <c r="J90" i="13"/>
  <c r="E93" i="13"/>
  <c r="E102" i="13" s="1"/>
  <c r="L29" i="7"/>
  <c r="M37" i="7"/>
  <c r="P134" i="14"/>
  <c r="P138" i="14" s="1"/>
  <c r="F138" i="14"/>
  <c r="J91" i="13"/>
  <c r="H104" i="13"/>
  <c r="P127" i="14"/>
  <c r="H131" i="14"/>
  <c r="H140" i="14" s="1"/>
  <c r="Q78" i="14"/>
  <c r="Q98" i="14" s="1"/>
  <c r="J78" i="14"/>
  <c r="J36" i="14"/>
  <c r="V79" i="14"/>
  <c r="V77" i="14"/>
  <c r="I11" i="3"/>
  <c r="S59" i="14"/>
  <c r="G243" i="8"/>
  <c r="I12" i="3" l="1"/>
  <c r="M51" i="9"/>
  <c r="M52" i="9"/>
  <c r="AJ6" i="6"/>
  <c r="M50" i="9"/>
  <c r="K62" i="10"/>
  <c r="L89" i="13"/>
  <c r="K69" i="10"/>
  <c r="K63" i="10"/>
  <c r="M16" i="9"/>
  <c r="M15" i="9"/>
  <c r="M17" i="9"/>
  <c r="K114" i="10"/>
  <c r="K110" i="10"/>
  <c r="K106" i="10"/>
  <c r="J33" i="7"/>
  <c r="R31" i="18"/>
  <c r="R39" i="18" s="1"/>
  <c r="P128" i="14"/>
  <c r="N176" i="14"/>
  <c r="P176" i="14" s="1"/>
  <c r="P174" i="14"/>
  <c r="R127" i="14"/>
  <c r="J175" i="14"/>
  <c r="F93" i="13"/>
  <c r="F102" i="13" s="1"/>
  <c r="F104" i="13" s="1"/>
  <c r="J87" i="14"/>
  <c r="G244" i="8"/>
  <c r="O40" i="11"/>
  <c r="L37" i="14"/>
  <c r="R9" i="9"/>
  <c r="P126" i="14"/>
  <c r="F131" i="14"/>
  <c r="F140" i="14" s="1"/>
  <c r="L36" i="14"/>
  <c r="R36" i="14" s="1"/>
  <c r="P131" i="14" l="1"/>
  <c r="P140" i="14" s="1"/>
  <c r="N178" i="14"/>
  <c r="J178" i="14"/>
  <c r="P175" i="14"/>
  <c r="P178" i="14" s="1"/>
  <c r="L82" i="14"/>
  <c r="L86" i="14"/>
  <c r="L81" i="14"/>
  <c r="L79" i="14"/>
  <c r="L84" i="14"/>
  <c r="L83" i="14"/>
  <c r="L80" i="14"/>
  <c r="L85" i="14"/>
  <c r="L78" i="14"/>
  <c r="L41" i="14"/>
  <c r="J37" i="14"/>
  <c r="R37" i="14" s="1"/>
  <c r="N17" i="11"/>
  <c r="N18" i="11" s="1"/>
  <c r="R7" i="9" s="1"/>
  <c r="R8" i="9" s="1"/>
  <c r="R11" i="9" s="1"/>
  <c r="I19" i="3" l="1"/>
  <c r="N18" i="3"/>
  <c r="J18" i="3"/>
  <c r="J2" i="3"/>
  <c r="J34" i="7"/>
  <c r="J38" i="7" s="1"/>
  <c r="L87" i="14"/>
  <c r="L23" i="7"/>
  <c r="M33" i="7"/>
  <c r="M34" i="7"/>
  <c r="L24" i="7"/>
  <c r="J89" i="13"/>
  <c r="J93" i="13" s="1"/>
  <c r="J102" i="13" s="1"/>
  <c r="E104" i="13"/>
  <c r="E106" i="13" s="1"/>
  <c r="F106" i="13" s="1"/>
  <c r="G106" i="13" s="1"/>
  <c r="Q99" i="14"/>
  <c r="J41" i="14"/>
  <c r="R41" i="14" s="1"/>
  <c r="M173" i="12" l="1"/>
  <c r="O173" i="12" s="1"/>
  <c r="M230" i="12"/>
  <c r="N230" i="12" s="1"/>
  <c r="K50" i="9"/>
  <c r="K26" i="9"/>
  <c r="K30" i="9"/>
  <c r="K34" i="9"/>
  <c r="K19" i="9"/>
  <c r="K21" i="9"/>
  <c r="K23" i="9"/>
  <c r="K25" i="9"/>
  <c r="K29" i="9"/>
  <c r="K33" i="9"/>
  <c r="K28" i="9"/>
  <c r="K32" i="9"/>
  <c r="K18" i="9"/>
  <c r="K20" i="9"/>
  <c r="K22" i="9"/>
  <c r="K24" i="9"/>
  <c r="K53" i="9"/>
  <c r="K27" i="9"/>
  <c r="K31" i="9"/>
  <c r="K52" i="9"/>
  <c r="K51" i="9"/>
  <c r="K69" i="21"/>
  <c r="K61" i="21"/>
  <c r="K55" i="21"/>
  <c r="K45" i="21"/>
  <c r="K39" i="21"/>
  <c r="K33" i="21"/>
  <c r="K25" i="21"/>
  <c r="K19" i="21"/>
  <c r="K60" i="21"/>
  <c r="K30" i="21"/>
  <c r="K72" i="21"/>
  <c r="K64" i="21"/>
  <c r="K56" i="21"/>
  <c r="K48" i="21"/>
  <c r="K40" i="21"/>
  <c r="K34" i="21"/>
  <c r="K26" i="21"/>
  <c r="K22" i="21"/>
  <c r="K75" i="21"/>
  <c r="K65" i="21"/>
  <c r="K57" i="21"/>
  <c r="K49" i="21"/>
  <c r="K43" i="21"/>
  <c r="K35" i="21"/>
  <c r="K29" i="21"/>
  <c r="K23" i="21"/>
  <c r="K13" i="21"/>
  <c r="K68" i="21"/>
  <c r="K52" i="21"/>
  <c r="K44" i="21"/>
  <c r="K36" i="21"/>
  <c r="K24" i="21"/>
  <c r="K16" i="21"/>
  <c r="Q128" i="8"/>
  <c r="Q129" i="8"/>
  <c r="J62" i="10"/>
  <c r="R216" i="12"/>
  <c r="T216" i="12" s="1"/>
  <c r="U216" i="12" s="1"/>
  <c r="J69" i="10"/>
  <c r="J63" i="10"/>
  <c r="K17" i="9"/>
  <c r="K16" i="9"/>
  <c r="K15" i="9"/>
  <c r="J106" i="10"/>
  <c r="J114" i="10"/>
  <c r="J110" i="10"/>
  <c r="J104" i="13"/>
  <c r="M89" i="13"/>
  <c r="R229" i="12"/>
  <c r="T229" i="12" s="1"/>
  <c r="U229" i="12" s="1"/>
  <c r="Q9" i="9"/>
  <c r="L17" i="11"/>
  <c r="L18" i="11" s="1"/>
  <c r="Q7" i="9" s="1"/>
  <c r="Q8" i="9" s="1"/>
  <c r="Q13" i="9"/>
  <c r="L30" i="7"/>
  <c r="O17" i="22" l="1"/>
  <c r="M24" i="22" s="1"/>
  <c r="O230" i="12"/>
  <c r="Q11" i="9"/>
  <c r="O385" i="1"/>
  <c r="N223" i="1"/>
  <c r="O357" i="1"/>
  <c r="O51" i="1"/>
  <c r="N283" i="1"/>
  <c r="O111" i="1"/>
  <c r="N290" i="1"/>
  <c r="N87" i="1"/>
  <c r="N3" i="1"/>
  <c r="O335" i="1"/>
  <c r="N5" i="1"/>
  <c r="O339" i="1"/>
  <c r="O92" i="1"/>
  <c r="O390" i="1"/>
  <c r="O384" i="1"/>
  <c r="N316" i="1"/>
  <c r="O8" i="1"/>
  <c r="N356" i="1"/>
  <c r="O196" i="1"/>
  <c r="N278" i="1"/>
  <c r="O356" i="1"/>
  <c r="O392" i="1"/>
  <c r="O46" i="1"/>
  <c r="O31" i="1"/>
  <c r="O256" i="1"/>
  <c r="N275" i="1"/>
  <c r="N195" i="1"/>
  <c r="O135" i="1"/>
  <c r="O107" i="1"/>
  <c r="N161" i="1"/>
  <c r="N35" i="1"/>
  <c r="N121" i="1"/>
  <c r="O378" i="1"/>
  <c r="N321" i="1"/>
  <c r="N357" i="1"/>
  <c r="N101" i="1"/>
  <c r="O137" i="1"/>
  <c r="O380" i="1"/>
  <c r="O144" i="1"/>
  <c r="N361" i="1"/>
  <c r="O259" i="1"/>
  <c r="O156" i="1"/>
  <c r="N379" i="1"/>
  <c r="O370" i="1"/>
  <c r="O290" i="1"/>
  <c r="N147" i="1"/>
  <c r="O295" i="1"/>
  <c r="O112" i="1"/>
  <c r="O269" i="1"/>
  <c r="O90" i="1"/>
  <c r="O278" i="1"/>
  <c r="O243" i="1"/>
  <c r="N397" i="1"/>
  <c r="N93" i="1"/>
  <c r="O239" i="1"/>
  <c r="O332" i="1"/>
  <c r="N158" i="1"/>
  <c r="N89" i="1"/>
  <c r="O141" i="1"/>
  <c r="N343" i="1"/>
  <c r="N134" i="1"/>
  <c r="N85" i="1"/>
  <c r="N182" i="1"/>
  <c r="O11" i="1"/>
  <c r="N254" i="1"/>
  <c r="O128" i="1"/>
  <c r="O35" i="1"/>
  <c r="O15" i="1"/>
  <c r="N204" i="1"/>
  <c r="O237" i="1"/>
  <c r="O359" i="1"/>
  <c r="O369" i="1"/>
  <c r="O219" i="1"/>
  <c r="N163" i="1"/>
  <c r="O362" i="1"/>
  <c r="N236" i="1"/>
  <c r="N181" i="1"/>
  <c r="N40" i="1"/>
  <c r="O315" i="1"/>
  <c r="O318" i="1"/>
  <c r="O167" i="1"/>
  <c r="N232" i="1"/>
  <c r="O87" i="1"/>
  <c r="O222" i="1"/>
  <c r="N400" i="1"/>
  <c r="N6" i="1"/>
  <c r="N29" i="1"/>
  <c r="O292" i="1"/>
  <c r="N339" i="1"/>
  <c r="O296" i="1"/>
  <c r="O181" i="1"/>
  <c r="O354" i="1"/>
  <c r="O341" i="1"/>
  <c r="O12" i="1"/>
  <c r="N259" i="1"/>
  <c r="O56" i="1"/>
  <c r="N222" i="1"/>
  <c r="O138" i="1"/>
  <c r="O375" i="1"/>
  <c r="O72" i="1"/>
  <c r="O189" i="1"/>
  <c r="O311" i="1"/>
  <c r="O9" i="1"/>
  <c r="N42" i="1"/>
  <c r="O86" i="1"/>
  <c r="O351" i="1"/>
  <c r="O253" i="1"/>
  <c r="N17" i="1"/>
  <c r="N233" i="1"/>
  <c r="O93" i="1"/>
  <c r="N7" i="1"/>
  <c r="O48" i="1"/>
  <c r="O371" i="1"/>
  <c r="O288" i="1"/>
  <c r="N221" i="1"/>
  <c r="O16" i="1"/>
  <c r="O22" i="1"/>
  <c r="O132" i="1"/>
  <c r="O231" i="1"/>
  <c r="O14" i="1"/>
  <c r="N128" i="1"/>
  <c r="O279" i="1"/>
  <c r="N380" i="1"/>
  <c r="N172" i="1"/>
  <c r="O286" i="1"/>
  <c r="O251" i="1"/>
  <c r="N15" i="1"/>
  <c r="O131" i="1"/>
  <c r="O302" i="1"/>
  <c r="N43" i="1"/>
  <c r="O17" i="1"/>
  <c r="O312" i="1"/>
  <c r="O159" i="1"/>
  <c r="O379" i="1"/>
  <c r="N392" i="1"/>
  <c r="O211" i="1"/>
  <c r="O154" i="1"/>
  <c r="N21" i="1"/>
  <c r="O186" i="1"/>
  <c r="N53" i="1"/>
  <c r="O277" i="1"/>
  <c r="O166" i="1"/>
  <c r="N170" i="1"/>
  <c r="O320" i="1"/>
  <c r="O187" i="1"/>
  <c r="N34" i="1"/>
  <c r="O400" i="1"/>
  <c r="O249" i="1"/>
  <c r="N99" i="1"/>
  <c r="O281" i="1"/>
  <c r="O180" i="1"/>
  <c r="N385" i="1"/>
  <c r="O99" i="1"/>
  <c r="O147" i="1"/>
  <c r="O252" i="1"/>
  <c r="N287" i="1"/>
  <c r="N381" i="1"/>
  <c r="O153" i="1"/>
  <c r="N371" i="1"/>
  <c r="O119" i="1"/>
  <c r="N159" i="1"/>
  <c r="O116" i="1"/>
  <c r="O3" i="1"/>
  <c r="O248" i="1"/>
  <c r="N295" i="1"/>
  <c r="N255" i="1"/>
  <c r="O263" i="1"/>
  <c r="O40" i="1"/>
  <c r="O364" i="1"/>
  <c r="O301" i="1"/>
  <c r="O388" i="1"/>
  <c r="O133" i="1"/>
  <c r="O88" i="1"/>
  <c r="O204" i="1"/>
  <c r="N139" i="1"/>
  <c r="N173" i="1"/>
  <c r="O191" i="1"/>
  <c r="O310" i="1"/>
  <c r="O33" i="1"/>
  <c r="O224" i="1"/>
  <c r="N197" i="1"/>
  <c r="O254" i="1"/>
  <c r="O94" i="1"/>
  <c r="O233" i="1"/>
  <c r="N160" i="1"/>
  <c r="N84" i="1"/>
  <c r="O60" i="1"/>
  <c r="N20" i="1"/>
  <c r="N22" i="1"/>
  <c r="O152" i="1"/>
  <c r="N328" i="1"/>
  <c r="O176" i="1"/>
  <c r="O234" i="1"/>
  <c r="N292" i="1"/>
  <c r="N189" i="1"/>
  <c r="O18" i="1"/>
  <c r="O246" i="1"/>
  <c r="O13" i="1"/>
  <c r="O54" i="1"/>
  <c r="O62" i="1"/>
  <c r="N8" i="1"/>
  <c r="O395" i="1"/>
  <c r="N154" i="1"/>
  <c r="N369" i="1"/>
  <c r="O376" i="1"/>
  <c r="N318" i="1"/>
  <c r="N234" i="1"/>
  <c r="N279" i="1"/>
  <c r="O199" i="1"/>
  <c r="O280" i="1"/>
  <c r="O85" i="1"/>
  <c r="O149" i="1"/>
  <c r="O163" i="1"/>
  <c r="N187" i="1"/>
  <c r="O306" i="1"/>
  <c r="O274" i="1"/>
  <c r="O383" i="1"/>
  <c r="O10" i="1"/>
  <c r="O282" i="1"/>
  <c r="N256" i="1"/>
  <c r="O283" i="1"/>
  <c r="N271" i="1"/>
  <c r="O105" i="1"/>
  <c r="N362" i="1"/>
  <c r="O23" i="1"/>
  <c r="N19" i="1"/>
  <c r="O95" i="1"/>
  <c r="O124" i="1"/>
  <c r="O81" i="1"/>
  <c r="N132" i="1"/>
  <c r="O223" i="1"/>
  <c r="N226" i="1"/>
  <c r="N291" i="1"/>
  <c r="N387" i="1"/>
  <c r="N257" i="1"/>
  <c r="O122" i="1"/>
  <c r="O142" i="1"/>
  <c r="N281" i="1"/>
  <c r="N367" i="1"/>
  <c r="O352" i="1"/>
  <c r="O79" i="1"/>
  <c r="O342" i="1"/>
  <c r="N323" i="1"/>
  <c r="O52" i="1"/>
  <c r="N218" i="1"/>
  <c r="N146" i="1"/>
  <c r="O291" i="1"/>
  <c r="N249" i="1"/>
  <c r="N296" i="1"/>
  <c r="O260" i="1"/>
  <c r="N391" i="1"/>
  <c r="N274" i="1"/>
  <c r="O89" i="1"/>
  <c r="N338" i="1"/>
  <c r="O217" i="1"/>
  <c r="O68" i="1"/>
  <c r="O82" i="1"/>
  <c r="O161" i="1"/>
  <c r="N354" i="1"/>
  <c r="O21" i="1"/>
  <c r="N219" i="1"/>
  <c r="N185" i="1"/>
  <c r="O229" i="1"/>
  <c r="O275" i="1"/>
  <c r="N320" i="1"/>
  <c r="N165" i="1"/>
  <c r="O25" i="1"/>
  <c r="O285" i="1"/>
  <c r="N102" i="1"/>
  <c r="O327" i="1"/>
  <c r="O146" i="1"/>
  <c r="N186" i="1"/>
  <c r="O57" i="1"/>
  <c r="O34" i="1"/>
  <c r="O405" i="1"/>
  <c r="N88" i="1"/>
  <c r="O258" i="1"/>
  <c r="O44" i="1"/>
  <c r="O178" i="1"/>
  <c r="O195" i="1"/>
  <c r="N388" i="1"/>
  <c r="O106" i="1"/>
  <c r="O309" i="1"/>
  <c r="O7" i="1"/>
  <c r="O334" i="1"/>
  <c r="N376" i="1"/>
  <c r="N109" i="1"/>
  <c r="O185" i="1"/>
  <c r="O182" i="1"/>
  <c r="O360" i="1"/>
  <c r="O330" i="1"/>
  <c r="O121" i="1"/>
  <c r="N312" i="1"/>
  <c r="N4" i="1"/>
  <c r="N351" i="1"/>
  <c r="O324" i="1"/>
  <c r="O401" i="1"/>
  <c r="O202" i="1"/>
  <c r="O69" i="1"/>
  <c r="N327" i="1"/>
  <c r="O5" i="1"/>
  <c r="N25" i="1"/>
  <c r="O150" i="1"/>
  <c r="N205" i="1"/>
  <c r="N133" i="1"/>
  <c r="O109" i="1"/>
  <c r="N280" i="1"/>
  <c r="O403" i="1"/>
  <c r="O284" i="1"/>
  <c r="O303" i="1"/>
  <c r="N127" i="1"/>
  <c r="O227" i="1"/>
  <c r="N166" i="1"/>
  <c r="O272" i="1"/>
  <c r="O58" i="1"/>
  <c r="O212" i="1"/>
  <c r="O73" i="1"/>
  <c r="N23" i="1"/>
  <c r="O232" i="1"/>
  <c r="O183" i="1"/>
  <c r="N364" i="1"/>
  <c r="O294" i="1"/>
  <c r="O377" i="1"/>
  <c r="O158" i="1"/>
  <c r="N141" i="1"/>
  <c r="O373" i="1"/>
  <c r="O298" i="1"/>
  <c r="N334" i="1"/>
  <c r="O261" i="1"/>
  <c r="O361" i="1"/>
  <c r="N247" i="1"/>
  <c r="N227" i="1"/>
  <c r="O340" i="1"/>
  <c r="O173" i="1"/>
  <c r="N346" i="1"/>
  <c r="O313" i="1"/>
  <c r="O326" i="1"/>
  <c r="O241" i="1"/>
  <c r="O366" i="1"/>
  <c r="N352" i="1"/>
  <c r="N169" i="1"/>
  <c r="O404" i="1"/>
  <c r="N95" i="1"/>
  <c r="O41" i="1"/>
  <c r="N137" i="1"/>
  <c r="N24" i="1"/>
  <c r="O162" i="1"/>
  <c r="O255" i="1"/>
  <c r="O4" i="1"/>
  <c r="O78" i="1"/>
  <c r="O101" i="1"/>
  <c r="N191" i="1"/>
  <c r="O84" i="1"/>
  <c r="O194" i="1"/>
  <c r="O102" i="1"/>
  <c r="N123" i="1"/>
  <c r="O397" i="1"/>
  <c r="N18" i="1"/>
  <c r="N129" i="1"/>
  <c r="N12" i="1"/>
  <c r="O97" i="1"/>
  <c r="N41" i="1"/>
  <c r="O209" i="1"/>
  <c r="O170" i="1"/>
  <c r="N304" i="1"/>
  <c r="O59" i="1"/>
  <c r="O323" i="1"/>
  <c r="N324" i="1"/>
  <c r="O49" i="1"/>
  <c r="O134" i="1"/>
  <c r="O336" i="1"/>
  <c r="O215" i="1"/>
  <c r="O160" i="1"/>
  <c r="O321" i="1"/>
  <c r="N167" i="1"/>
  <c r="O27" i="1"/>
  <c r="N289" i="1"/>
  <c r="O221" i="1"/>
  <c r="O6" i="1"/>
  <c r="N194" i="1"/>
  <c r="O63" i="1"/>
  <c r="O98" i="1"/>
  <c r="N220" i="1"/>
  <c r="N272" i="1"/>
  <c r="O266" i="1"/>
  <c r="O75" i="1"/>
  <c r="N13" i="1"/>
  <c r="O38" i="1"/>
  <c r="O304" i="1"/>
  <c r="N335" i="1"/>
  <c r="O129" i="1"/>
  <c r="N142" i="1"/>
  <c r="O28" i="1"/>
  <c r="N237" i="1"/>
  <c r="O316" i="1"/>
  <c r="O289" i="1"/>
  <c r="O67" i="1"/>
  <c r="N299" i="1"/>
  <c r="O76" i="1"/>
  <c r="O338" i="1"/>
  <c r="O19" i="1"/>
  <c r="O118" i="1"/>
  <c r="O169" i="1"/>
  <c r="O43" i="1"/>
  <c r="N152" i="1"/>
  <c r="O365" i="1"/>
  <c r="O349" i="1"/>
  <c r="N277" i="1"/>
  <c r="O193" i="1"/>
  <c r="O353" i="1"/>
  <c r="O26" i="1"/>
  <c r="O32" i="1"/>
  <c r="O42" i="1"/>
  <c r="O271" i="1"/>
  <c r="O218" i="1"/>
  <c r="O235" i="1"/>
  <c r="O265" i="1"/>
  <c r="O245" i="1"/>
  <c r="O55" i="1"/>
  <c r="O214" i="1"/>
  <c r="O20" i="1"/>
  <c r="N370" i="1"/>
  <c r="N390" i="1"/>
  <c r="O220" i="1"/>
  <c r="O343" i="1"/>
  <c r="O398" i="1"/>
  <c r="O317" i="1"/>
  <c r="O346" i="1"/>
  <c r="N349" i="1"/>
  <c r="N251" i="1"/>
  <c r="O64" i="1"/>
  <c r="O192" i="1"/>
  <c r="O165" i="1"/>
  <c r="N313" i="1"/>
  <c r="N359" i="1"/>
  <c r="O242" i="1"/>
  <c r="N224" i="1"/>
  <c r="O96" i="1"/>
  <c r="O108" i="1"/>
  <c r="N16" i="1"/>
  <c r="O123" i="1"/>
  <c r="O127" i="1"/>
  <c r="N215" i="1"/>
  <c r="N401" i="1"/>
  <c r="O307" i="1"/>
  <c r="N245" i="1"/>
  <c r="O175" i="1"/>
  <c r="O197" i="1"/>
  <c r="O139" i="1"/>
  <c r="N261" i="1"/>
  <c r="N217" i="1"/>
  <c r="O337" i="1"/>
  <c r="O348" i="1"/>
  <c r="O37" i="1"/>
  <c r="N383" i="1"/>
  <c r="O226" i="1"/>
  <c r="N105" i="1"/>
  <c r="N131" i="1"/>
  <c r="O24" i="1"/>
  <c r="O91" i="1"/>
  <c r="O125" i="1"/>
  <c r="O287" i="1"/>
  <c r="O207" i="1"/>
  <c r="O115" i="1"/>
  <c r="N282" i="1"/>
  <c r="O29" i="1"/>
  <c r="O328" i="1"/>
  <c r="O53" i="1"/>
  <c r="O367" i="1"/>
  <c r="N10" i="1"/>
  <c r="N345" i="1"/>
  <c r="N258" i="1"/>
  <c r="N126" i="1"/>
  <c r="N51" i="1"/>
  <c r="O381" i="1"/>
  <c r="N14" i="1"/>
  <c r="O387" i="1"/>
  <c r="O188" i="1"/>
  <c r="O268" i="1"/>
  <c r="N135" i="1"/>
  <c r="O200" i="1"/>
  <c r="O350" i="1"/>
  <c r="N44" i="1"/>
  <c r="O205" i="1"/>
  <c r="O71" i="1"/>
  <c r="O236" i="1"/>
  <c r="O257" i="1"/>
  <c r="O126" i="1"/>
  <c r="O345" i="1"/>
  <c r="N315" i="1"/>
  <c r="O247" i="1"/>
  <c r="O113" i="1"/>
  <c r="O391" i="1"/>
  <c r="O299" i="1"/>
  <c r="O190" i="1"/>
  <c r="N398" i="1"/>
  <c r="O65" i="1"/>
  <c r="N214" i="1"/>
  <c r="N11" i="1"/>
  <c r="N9" i="1"/>
  <c r="O394" i="1"/>
  <c r="O172" i="1"/>
  <c r="N188" i="1"/>
  <c r="M32" i="22" l="1"/>
  <c r="M26" i="22"/>
  <c r="M30" i="22"/>
  <c r="M34" i="22"/>
  <c r="M28" i="22"/>
  <c r="M22" i="22"/>
  <c r="M60" i="4"/>
  <c r="L55" i="4"/>
  <c r="R280" i="14"/>
  <c r="K66" i="4" l="1"/>
  <c r="I54" i="4"/>
  <c r="J54" i="4" s="1"/>
  <c r="AD20" i="6" l="1"/>
  <c r="I33" i="3" l="1"/>
  <c r="T186" i="12"/>
  <c r="T187" i="12" s="1"/>
  <c r="U187" i="12" s="1"/>
  <c r="L48" i="7"/>
  <c r="I53" i="7"/>
  <c r="I47" i="7"/>
  <c r="K55" i="7"/>
  <c r="L55" i="7" s="1"/>
  <c r="V216" i="12"/>
  <c r="W216" i="12" s="1"/>
  <c r="O17" i="19"/>
  <c r="Q277" i="14"/>
  <c r="Q278" i="14"/>
  <c r="Q279" i="14"/>
  <c r="Q276" i="14"/>
  <c r="V229" i="12"/>
  <c r="W229" i="12" s="1"/>
  <c r="K33" i="3"/>
  <c r="L33" i="3" s="1"/>
  <c r="T280" i="14"/>
  <c r="U280" i="14" s="1"/>
  <c r="M30" i="19" l="1"/>
  <c r="M24" i="19"/>
  <c r="M22" i="19"/>
  <c r="M26" i="19"/>
  <c r="M28" i="19"/>
</calcChain>
</file>

<file path=xl/comments1.xml><?xml version="1.0" encoding="utf-8"?>
<comments xmlns="http://schemas.openxmlformats.org/spreadsheetml/2006/main">
  <authors>
    <author>S.M Moghirah Farooqui</author>
  </authors>
  <commentList>
    <comment ref="C56" authorId="0" shapeId="0">
      <text>
        <r>
          <rPr>
            <b/>
            <sz val="9"/>
            <color indexed="81"/>
            <rFont val="Tahoma"/>
            <family val="2"/>
          </rPr>
          <t>S.M Moghirah Farooqui:</t>
        </r>
        <r>
          <rPr>
            <sz val="9"/>
            <color indexed="81"/>
            <rFont val="Tahoma"/>
            <family val="2"/>
          </rPr>
          <t xml:space="preserve">
Please Check </t>
        </r>
      </text>
    </comment>
  </commentList>
</comments>
</file>

<file path=xl/sharedStrings.xml><?xml version="1.0" encoding="utf-8"?>
<sst xmlns="http://schemas.openxmlformats.org/spreadsheetml/2006/main" count="4342" uniqueCount="2163">
  <si>
    <t>% Diff &gt;</t>
  </si>
  <si>
    <t>Difference</t>
  </si>
  <si>
    <t>Company</t>
  </si>
  <si>
    <t>Target Grouping</t>
  </si>
  <si>
    <t>#</t>
  </si>
  <si>
    <t>Name</t>
  </si>
  <si>
    <t>Preliminary</t>
  </si>
  <si>
    <t>t/m</t>
  </si>
  <si>
    <t>AJE</t>
  </si>
  <si>
    <t>Adjusted</t>
  </si>
  <si>
    <t>RJE</t>
  </si>
  <si>
    <t>DALACCT.3113849309400000020DELIM3113849309400000258</t>
  </si>
  <si>
    <t>5110.1</t>
  </si>
  <si>
    <t>BANK BALANCES - ALLIED BANK LIMITED - FOREIGN EXCHANGE BRANCH</t>
  </si>
  <si>
    <t>DALACCT.3113849309400000021DELIM3113849309400000258</t>
  </si>
  <si>
    <t>BANK BALANCES - BANK AL FALAH LIMITED  - KSE BRANCH</t>
  </si>
  <si>
    <t>DALACCT.3113849309400000022DELIM3113849309400000258</t>
  </si>
  <si>
    <t>BANK BALANCES - FAYSAL BANK LIMITED - GULSHAN E IQBAL BRANCH</t>
  </si>
  <si>
    <t>DALACCT.3113849309400000023DELIM3113849309400000258</t>
  </si>
  <si>
    <t>BANK BALANCES - HABIB METROPOLITAN BANK LIMITED - KARACHI STOCK EXCHANGE BRANCH</t>
  </si>
  <si>
    <t>DALACCT.3113849309400000024DELIM3113849309400000258</t>
  </si>
  <si>
    <t>BANK BALANCES - HABIB METRO BANK - MAIN BRANCH</t>
  </si>
  <si>
    <t>DALACCT.3113849309400000025DELIM3113849309400000258</t>
  </si>
  <si>
    <t>BANK BALANCES - MCB BANK LIMITED - UNI TOWER BRANCH</t>
  </si>
  <si>
    <t>DALACCT.3113849309400000026DELIM3113849309400000258</t>
  </si>
  <si>
    <t>BANK BALANCES - MCB BANK LIMITED - GLOBAL TRANSACTION - SHAHEEN COMPLEX BRANCH</t>
  </si>
  <si>
    <t>DALACCT.3113849309400000028DELIM3113849309400000258</t>
  </si>
  <si>
    <t>BANK BALANCES - UNITED BANK LIMITED - CORPORATE BRANCH</t>
  </si>
  <si>
    <t>DALACCT.3113849309400000029DELIM3113849309400000258</t>
  </si>
  <si>
    <t>Bank Balances - Mcb Bank Limited - Shaheen Complex Branch</t>
  </si>
  <si>
    <t>DALACCT.3113849309400000030DELIM3113849309400000258</t>
  </si>
  <si>
    <t>Bank Balances - Bank Al Habib Limited - Main Branch</t>
  </si>
  <si>
    <t>DALACCT.3113849309400000031DELIM3113849309400000258</t>
  </si>
  <si>
    <t>Bank Balances - Zarai Taraqiati Bank Limited - Shafi Court Branch</t>
  </si>
  <si>
    <t>DALACCT.3113849309400000032DELIM3113849309400000258</t>
  </si>
  <si>
    <t>Bank Balances - Js Bank Limited - Ocean Tower, Clifton Branch</t>
  </si>
  <si>
    <t>DALACCT.3113849309400000033DELIM3113849309400000258</t>
  </si>
  <si>
    <t>Bank Balances - NRSP Microfinance Bank Limited</t>
  </si>
  <si>
    <t>DALACCT.3113849309400000034DELIM3113849309400000258</t>
  </si>
  <si>
    <t>Bank Balances - Mobilink Microfinance Bank Limited</t>
  </si>
  <si>
    <t>DALACCT.3113849309400000035DELIM3113849309400000258</t>
  </si>
  <si>
    <t>Bank Balances - U Microfinance Bank Limited</t>
  </si>
  <si>
    <t>DALACCT.3113849309400000036DELIM3113849309400000258</t>
  </si>
  <si>
    <t>Bank Balances - Khushali Microfinance Bank Limited</t>
  </si>
  <si>
    <t>DALACCT.3113849309400000037DELIM3113849309400000258</t>
  </si>
  <si>
    <t>Bank Balances - Tameer Microfinance Bank</t>
  </si>
  <si>
    <t>DALACCT.3113849309400000038DELIM3113849309400000258</t>
  </si>
  <si>
    <t>Bank Balances - Finca Micro Finance Bank (Liaquatabad Branch)</t>
  </si>
  <si>
    <t>DALACCT.3113849309400000039DELIM3113849309400000258</t>
  </si>
  <si>
    <t>Bank Balances - Habib Bank Limited - Kse Branch</t>
  </si>
  <si>
    <t>DALACCT.3113849309400000040DELIM3113849309400000258</t>
  </si>
  <si>
    <t>Bank Balances - First Micro Finance Bank- Clifton Branch</t>
  </si>
  <si>
    <t>DALACCT.3113849309400000041DELIM3113849309400000258</t>
  </si>
  <si>
    <t>Bank Balances - National Bank Of Pakistan - Main Branch</t>
  </si>
  <si>
    <t>DALACCT.3113849309400000042DELIM3113849309400000258</t>
  </si>
  <si>
    <t>Bank Balances - Silk Bank Limited - Main Branch</t>
  </si>
  <si>
    <t>DALACCT.3122547631500000672DELIM3113849309400000258</t>
  </si>
  <si>
    <t>Bank Balances -Allied Bank Limited-Kse Branch</t>
  </si>
  <si>
    <t>DALACCT.3122547631500000669DELIM3113849309400000258</t>
  </si>
  <si>
    <t>DALGROUP.3113849309400000258</t>
  </si>
  <si>
    <t>TB Total - Bank Balances</t>
  </si>
  <si>
    <t>DALBLANK.3113849309400000258</t>
  </si>
  <si>
    <t>DALACCT.3113849309400000065DELIM3113849309400000259</t>
  </si>
  <si>
    <t>5120.1</t>
  </si>
  <si>
    <t>RECEIVABLE AGAINST SALE  OF EQUITY SECURITIES</t>
  </si>
  <si>
    <t>DALACCT.3113849309400000066DELIM3113849309400000259</t>
  </si>
  <si>
    <t>RECEIVABLE AGAINST SALE OF MONEY MARKET INVESTMENTS</t>
  </si>
  <si>
    <t>DALACCT.3113849309400000067DELIM3113849309400000259</t>
  </si>
  <si>
    <t>RECEIVABLE AGAINST SALE OF INVESTMENTS</t>
  </si>
  <si>
    <t>DALACCT.3113849309400000068DELIM3113849309400000259</t>
  </si>
  <si>
    <t>RECEIVABLE AGAINST REDEMPTION OF DEBT SECURITIES  PRINCIPAL.</t>
  </si>
  <si>
    <t>DALGROUP.3113849309400000259</t>
  </si>
  <si>
    <t>TB Total - Receivable against sale of investment</t>
  </si>
  <si>
    <t>DALBLANK.3113849309400000259</t>
  </si>
  <si>
    <t>DALACCT.3113849309400000043DELIM3113849309400000260</t>
  </si>
  <si>
    <t>5120.1A</t>
  </si>
  <si>
    <t>RECEIVABLE AGAINST MARGIN TRADING SYSTEM TRANSACTIONS</t>
  </si>
  <si>
    <t>DALGROUP.3113849309400000260</t>
  </si>
  <si>
    <t>TB Total - Receivable against Margin Trading System Transactions</t>
  </si>
  <si>
    <t>DALBLANK.3113849309400000260</t>
  </si>
  <si>
    <t>DALACCT.3113849309400000053DELIM3113849309400000261</t>
  </si>
  <si>
    <t>5130.1</t>
  </si>
  <si>
    <t>INVESTMENTS IN TFC FACE VALUE HFT</t>
  </si>
  <si>
    <t>DALACCT.3113849309400000054DELIM3113849309400000261</t>
  </si>
  <si>
    <t>APPRECIATION / DIMINUTION - TFC - HFT</t>
  </si>
  <si>
    <t>DALACCT.3113849309400000055DELIM3113849309400000261</t>
  </si>
  <si>
    <t>PREMIUM / DISCOUNT ON TFC - HFT</t>
  </si>
  <si>
    <t>DALACCT.3113849309400000056DELIM3113849309400000261</t>
  </si>
  <si>
    <t>Provision Against Non Performing Security  Pace Pakistan Limited Tfc  Hft</t>
  </si>
  <si>
    <t>DALGROUP.3113849309400000261</t>
  </si>
  <si>
    <t>DALBLANK.3113849309400000261</t>
  </si>
  <si>
    <t>DALGROUP.3113849309400000262</t>
  </si>
  <si>
    <t>5130.1A</t>
  </si>
  <si>
    <t>TB Total - Term Finance Certificates - AFS</t>
  </si>
  <si>
    <t>DALBLANK.3113849309400000262</t>
  </si>
  <si>
    <t>DALACCT.3113849309400000012DELIM3113849309400000263</t>
  </si>
  <si>
    <t>5130.2</t>
  </si>
  <si>
    <t>Placement Of Certificate Of Musharika</t>
  </si>
  <si>
    <t>DALGROUP.3113849309400000263</t>
  </si>
  <si>
    <t>TB Total - Certificate of Musharika</t>
  </si>
  <si>
    <t>DALBLANK.3113849309400000263</t>
  </si>
  <si>
    <t>DALACCT.3113849309400000046DELIM3113849309400000264</t>
  </si>
  <si>
    <t>5130.3</t>
  </si>
  <si>
    <t>INVESTMENT IN TREASURY BILLS  FACE VALUE  HFT</t>
  </si>
  <si>
    <t>DALACCT.3113849309400000047DELIM3113849309400000264</t>
  </si>
  <si>
    <t>TREASURY BILLS  APPRECIATION / DIMINUTION  HFT</t>
  </si>
  <si>
    <t>DALACCT.3113849309400000048DELIM3113849309400000264</t>
  </si>
  <si>
    <t>TREASURY BILLS  DISCOUNT / AMORTISATION  HFT</t>
  </si>
  <si>
    <t>DALACCT.3113849309400000049DELIM3113849309400000264</t>
  </si>
  <si>
    <t>INVESTMENT IN PIB  FACE VALUE  HFT</t>
  </si>
  <si>
    <t>DALACCT.3113849309400000050DELIM3113849309400000264</t>
  </si>
  <si>
    <t>PAKISTAN INVESTMENT BONDS  APPRECIATION / DIMINUTION  HFT</t>
  </si>
  <si>
    <t>DALACCT.3113849309400000051DELIM3113849309400000264</t>
  </si>
  <si>
    <t>PAKISTAN INVESTMENT BONDS  DISCOUNT / AMORTISATION  HFT</t>
  </si>
  <si>
    <t>DALACCT.3113849309400000062DELIM3113849309400000264</t>
  </si>
  <si>
    <t>APPRECIAION/DIMUNITION ON PIB FRB -HFT</t>
  </si>
  <si>
    <t>DALACCT.3113849309400000063DELIM3113849309400000264</t>
  </si>
  <si>
    <t>INVESTMENT IN PIB HFT - FRB</t>
  </si>
  <si>
    <t>DALACCT.3113849309400000064DELIM3113849309400000264</t>
  </si>
  <si>
    <t>DISCOUNT/AMORTIZATION ON PIB FRB- HFT</t>
  </si>
  <si>
    <t>DALGROUP.3113849309400000264</t>
  </si>
  <si>
    <t>TB Total - Government securities - HFT</t>
  </si>
  <si>
    <t>DALBLANK.3113849309400000264</t>
  </si>
  <si>
    <t>DALACCT.3113849309400000057DELIM3113849309400000265</t>
  </si>
  <si>
    <t>5130.3A</t>
  </si>
  <si>
    <t>INVESTMENT IN PAKISTAN INVESTMENT BONDS  FACE VALUE  AFS</t>
  </si>
  <si>
    <t>DALACCT.3113849309400000058DELIM3113849309400000265</t>
  </si>
  <si>
    <t>PAKISTAN INVESTMENT BONDS  APPRECIATION / DIMINUTION  AFS</t>
  </si>
  <si>
    <t>DALACCT.3113849309400000059DELIM3113849309400000265</t>
  </si>
  <si>
    <t>PAKISTAN INVESTMENT BONDS  DISCOUNT / AMORTISATION  AFS</t>
  </si>
  <si>
    <t>DALGROUP.3113849309400000265</t>
  </si>
  <si>
    <t>DALBLANK.3113849309400000265</t>
  </si>
  <si>
    <t>DALACCT.3113849309400000044DELIM3113849309400000266</t>
  </si>
  <si>
    <t>5130.4</t>
  </si>
  <si>
    <t>INVESTMENT IN EQUITY TRANSACTION  HFT</t>
  </si>
  <si>
    <t>DALACCT.3113849309400000045DELIM3113849309400000266</t>
  </si>
  <si>
    <t>EQUITY TRANSACTION  APPRECIATION / DIMINUTION  HFT</t>
  </si>
  <si>
    <t>DALGROUP.3113849309400000266</t>
  </si>
  <si>
    <t>TB Total - Investment in Equity Securities - HFT</t>
  </si>
  <si>
    <t>DALBLANK.3113849309400000266</t>
  </si>
  <si>
    <t>DALACCT.3113849309400000052DELIM3113849309400000267</t>
  </si>
  <si>
    <t>5130.5</t>
  </si>
  <si>
    <t>INVESTMENT IN COMMERCIAL PAPER  FACE VALUE  HFT</t>
  </si>
  <si>
    <t>DALGROUP.3113849309400000267</t>
  </si>
  <si>
    <t>TB Total - Commercial Papers - HFT</t>
  </si>
  <si>
    <t>DALBLANK.3113849309400000267</t>
  </si>
  <si>
    <t>DALACCT.3113849309400000060DELIM3113849309400000268</t>
  </si>
  <si>
    <t>5140.1</t>
  </si>
  <si>
    <t>INVESTMENT IN TERM DEPOSIT RECEIPTS</t>
  </si>
  <si>
    <t>DALGROUP.3113849309400000268</t>
  </si>
  <si>
    <t>TB Total - Investment in TDR - AFS</t>
  </si>
  <si>
    <t>DALBLANK.3113849309400000268</t>
  </si>
  <si>
    <t>DALACCT.3113849309400000061DELIM3113849309400000269</t>
  </si>
  <si>
    <t>5150.1</t>
  </si>
  <si>
    <t>FAIR VALUE OF DERIVATIVE OF FUTURE TRANSACTION</t>
  </si>
  <si>
    <t>DALGROUP.3113849309400000269</t>
  </si>
  <si>
    <t>TB Total - Investment in Futures</t>
  </si>
  <si>
    <t>DALBLANK.3113849309400000269</t>
  </si>
  <si>
    <t>DALACCT.3113849309400000098DELIM3113849309400000270</t>
  </si>
  <si>
    <t>5160.1</t>
  </si>
  <si>
    <t>DIVIDEND RECEIVABLES  EQUITY INVESTMENTS</t>
  </si>
  <si>
    <t>DALGROUP.3113849309400000270</t>
  </si>
  <si>
    <t>TB Total - Dividend receivable on equity securities</t>
  </si>
  <si>
    <t>DALBLANK.3113849309400000270</t>
  </si>
  <si>
    <t>DALACCT.3113849309400000077DELIM3113849309400000271</t>
  </si>
  <si>
    <t>5160.2</t>
  </si>
  <si>
    <t>PROFIT RECEIVABLE - ALLIED BANK LIMITED - FOREIGN EXCHANGE BRANCH</t>
  </si>
  <si>
    <t>DALACCT.3113849309400000078DELIM3113849309400000271</t>
  </si>
  <si>
    <t>PROFIT RECEIVABLE - BANK AL FALAH LIMITED  - KSE BRANCH</t>
  </si>
  <si>
    <t>DALACCT.3113849309400000079DELIM3113849309400000271</t>
  </si>
  <si>
    <t>PROFIT RECEIVABLE - FAYSAL BANK LIMITED - GULSHAN E IQBAL BRANCH</t>
  </si>
  <si>
    <t>DALACCT.3113849309400000080DELIM3113849309400000271</t>
  </si>
  <si>
    <t>PROFIT RECEIVABLE - HABIB METROPOLITAN BANK LIMITED - KARACHI STOCK EXCHANGE BRANCH</t>
  </si>
  <si>
    <t>DALACCT.3113849309400000081DELIM3113849309400000271</t>
  </si>
  <si>
    <t>PROFIT RECEIVABLE - HABIB METROPOLITAN BANK LIMITED - MAIN BRANCH</t>
  </si>
  <si>
    <t>DALACCT.3113849309400000082DELIM3113849309400000271</t>
  </si>
  <si>
    <t>PROFIT RECEIVABLE - MCB BANK LIMITED - UNI TOWER BRANCH</t>
  </si>
  <si>
    <t>DALACCT.3113849309400000083DELIM3113849309400000271</t>
  </si>
  <si>
    <t>DALACCT.3113849309400000084DELIM3113849309400000271</t>
  </si>
  <si>
    <t>DALACCT.3113849309400000085DELIM3113849309400000271</t>
  </si>
  <si>
    <t>Profit Receivable - Zarai Taraqiati Bank Limited - Shafi Court Branch</t>
  </si>
  <si>
    <t>DALACCT.3113849309400000086DELIM3113849309400000271</t>
  </si>
  <si>
    <t>Profit Receivable - Js Bank Limited - Ocean Tower, Clifton Branch</t>
  </si>
  <si>
    <t>DALACCT.3113849309400000087DELIM3113849309400000271</t>
  </si>
  <si>
    <t>Profit Receivable - Nrsp Microfinance Bank Limited</t>
  </si>
  <si>
    <t>DALACCT.3113849309400000088DELIM3113849309400000271</t>
  </si>
  <si>
    <t>Profit Receivable - U Microfinance Bank Limited</t>
  </si>
  <si>
    <t>DALACCT.3113849309400000089DELIM3113849309400000271</t>
  </si>
  <si>
    <t>Profit Receivable - Khushali Microfinance Bank Limited</t>
  </si>
  <si>
    <t>DALACCT.3113849309400000090DELIM3113849309400000271</t>
  </si>
  <si>
    <t>Profit Receivable - Tameer Microfinance Bank</t>
  </si>
  <si>
    <t>Profit Receivable - First Micro Finance Bank - Clifton Branch</t>
  </si>
  <si>
    <t>Profit Receivable - Silk Bank Limited - Main Branch</t>
  </si>
  <si>
    <t>ACCRUED PROFIT ON TERM FINANCE CERTIFICATES  PRE IPO</t>
  </si>
  <si>
    <t>ACCRUED PROFIT ON SUKKUK  PRE IPO</t>
  </si>
  <si>
    <t>DALGROUP.3113849309400000271</t>
  </si>
  <si>
    <t>TB Total - Profit receivable on bank deposits</t>
  </si>
  <si>
    <t>DALBLANK.3113849309400000271</t>
  </si>
  <si>
    <t>DALACCT.3113849309400000069DELIM3113849309400000272</t>
  </si>
  <si>
    <t>5160.3</t>
  </si>
  <si>
    <t>RECEIVABLE AGAINST REDEMPTION OF DEBT SECURITIES  MARKUP</t>
  </si>
  <si>
    <t>DALACCT.3113849309400000075DELIM3113849309400000272</t>
  </si>
  <si>
    <t>PROVISION AGAINST REDEMPTION OF DEBT SECURITIES  MARKUP</t>
  </si>
  <si>
    <t>DALACCT.3113849309400000093DELIM3113849309400000272</t>
  </si>
  <si>
    <t>ACCRUED PROFIT ON TFC</t>
  </si>
  <si>
    <t>DALACCT.3113849309400000094DELIM3113849309400000272</t>
  </si>
  <si>
    <t>DALGROUP.3113849309400000272</t>
  </si>
  <si>
    <t>TB Total - Profit receivable on debt securities</t>
  </si>
  <si>
    <t>DALBLANK.3113849309400000272</t>
  </si>
  <si>
    <t>DALACCT.3113849309400000097DELIM3113849309400000273</t>
  </si>
  <si>
    <t>5160.4</t>
  </si>
  <si>
    <t>ACCRUED PROFIT ON GOVT SECTY  PIB</t>
  </si>
  <si>
    <t>DALACCT.3113849309400000102DELIM3113849309400000273</t>
  </si>
  <si>
    <t>ACCRUED PROFIT ON PIB - FRB</t>
  </si>
  <si>
    <t>DALGROUP.3113849309400000273</t>
  </si>
  <si>
    <t>TB Total - Profit receivable on government securities</t>
  </si>
  <si>
    <t>DALBLANK.3113849309400000273</t>
  </si>
  <si>
    <t>DALACCT.3113849309400000076DELIM3113849309400000274</t>
  </si>
  <si>
    <t>5160.5</t>
  </si>
  <si>
    <t>PROFIT ON TERM DEPOSITS RECEIPT</t>
  </si>
  <si>
    <t>DALGROUP.3113849309400000274</t>
  </si>
  <si>
    <t>TB Total - Profit receivable on term deposit receipts</t>
  </si>
  <si>
    <t>DALBLANK.3113849309400000274</t>
  </si>
  <si>
    <t>DALACCT.3113849309400000015DELIM3113849309400000275</t>
  </si>
  <si>
    <t>5160.6</t>
  </si>
  <si>
    <t>Recievable Of Income Against Mts</t>
  </si>
  <si>
    <t>DALGROUP.3113849309400000275</t>
  </si>
  <si>
    <t>TB Total - Profit receivable against MTS</t>
  </si>
  <si>
    <t>DALBLANK.3113849309400000275</t>
  </si>
  <si>
    <t>DALACCT.3113849309400000101DELIM3113849309400000276</t>
  </si>
  <si>
    <t>5170.1</t>
  </si>
  <si>
    <t>RECEIVABLE FROM MANAGEMENT COMPANY</t>
  </si>
  <si>
    <t>DALACCT.3113849309400000103DELIM3113849309400000276</t>
  </si>
  <si>
    <t>ADVANCES AGAINST IPO SUBSCRIPTION DEBT SECURITY</t>
  </si>
  <si>
    <t>DALACCT.3113849309400000111DELIM3113849309400000276</t>
  </si>
  <si>
    <t>PREPAYMENT OF PACRA AGAINST ANNUAL PACRA RATING FEE</t>
  </si>
  <si>
    <t>DALACCT.3113849309400000112DELIM3113849309400000276</t>
  </si>
  <si>
    <t>Prepayment Of KSE Against Annual Listing Fee</t>
  </si>
  <si>
    <t>DALACCT.3113849309400000113DELIM3113849309400000276</t>
  </si>
  <si>
    <t>Prepayment Of Ise Against Annual Listing Fee</t>
  </si>
  <si>
    <t>DALACCT.3113849309400000114DELIM3113849309400000276</t>
  </si>
  <si>
    <t>Prepayment Of Legal Charges</t>
  </si>
  <si>
    <t>DALACCT.3113849309400000117DELIM3113849309400000276</t>
  </si>
  <si>
    <t>Other Receivable Against Collection Account -Mcb</t>
  </si>
  <si>
    <t>DALACCT.3113849309400000118DELIM3113849309400000276</t>
  </si>
  <si>
    <t>Other Receivable Against Collection Account- Faysal Bank</t>
  </si>
  <si>
    <t>DALGROUP.3113849309400000276</t>
  </si>
  <si>
    <t>TB Total - Deposits, prepayments and other receivables</t>
  </si>
  <si>
    <t>DALBLANK.3113849309400000276</t>
  </si>
  <si>
    <t>DALACCT.3113849309400000104DELIM3113849309400000277</t>
  </si>
  <si>
    <t>5170.2</t>
  </si>
  <si>
    <t>ADVANCES AGAINST TAX DEDUCTED AGAINST BANK PROFIT</t>
  </si>
  <si>
    <t>DALACCT.3113849309400000105DELIM3113849309400000277</t>
  </si>
  <si>
    <t>Advances Against Tax Deducted Against Debt Security</t>
  </si>
  <si>
    <t>DALACCT.3113849309400000116DELIM3113849309400000277</t>
  </si>
  <si>
    <t>Advances Against Tax Deducted Against Cot</t>
  </si>
  <si>
    <t>DALACCT.3113849309400000014DELIM3113849309400000277</t>
  </si>
  <si>
    <t>Advance Tax Deducted On Mts Income</t>
  </si>
  <si>
    <t>DALGROUP.3113849309400000277</t>
  </si>
  <si>
    <t>TB Total - Advance Tax</t>
  </si>
  <si>
    <t>DALBLANK.3113849309400000277</t>
  </si>
  <si>
    <t>DALACCT.3113849309400000106DELIM3113849309400000278</t>
  </si>
  <si>
    <t>5170.3</t>
  </si>
  <si>
    <t>SECURITY DEPOSITS NCCPL AGAINST KATS</t>
  </si>
  <si>
    <t>DALACCT.3113849309400000107DELIM3113849309400000278</t>
  </si>
  <si>
    <t>SECURITY DEPOSITS NCCPL AGAINST MTS</t>
  </si>
  <si>
    <t>DALGROUP.3113849309400000278</t>
  </si>
  <si>
    <t>TB Total - Deposits with NCCPL</t>
  </si>
  <si>
    <t>DALBLANK.3113849309400000278</t>
  </si>
  <si>
    <t>DALACCT.3113849309400000108DELIM3113849309400000279</t>
  </si>
  <si>
    <t>5170.4</t>
  </si>
  <si>
    <t>SECURITY DEPOSITS  CDC</t>
  </si>
  <si>
    <t>DALGROUP.3113849309400000279</t>
  </si>
  <si>
    <t>TB Total - Deposits with CDC</t>
  </si>
  <si>
    <t>DALBLANK.3113849309400000279</t>
  </si>
  <si>
    <t>DALGROUP.3113849309400000280</t>
  </si>
  <si>
    <t>5170.5</t>
  </si>
  <si>
    <t>TB Total - Margin against TFC</t>
  </si>
  <si>
    <t>DALBLANK.3113849309400000280</t>
  </si>
  <si>
    <t>DALACCT.3113849309400000109DELIM3113849309400000281</t>
  </si>
  <si>
    <t>5170.5A</t>
  </si>
  <si>
    <t>PREPAYMENT OF NCCPL AGAINST MARGIN TRADING SYSTEM</t>
  </si>
  <si>
    <t>DALGROUP.3113849309400000281</t>
  </si>
  <si>
    <t>TB Total - PREPAYMENT OF NCCPL AGAINST MARGIN TRADING SYSTEM</t>
  </si>
  <si>
    <t>DALBLANK.3113849309400000281</t>
  </si>
  <si>
    <t>DALACCT.3113849309400000115DELIM3113849309400000282</t>
  </si>
  <si>
    <t>5170.6</t>
  </si>
  <si>
    <t>Prepayment Of Psx Against Annual Listing Fee</t>
  </si>
  <si>
    <t>DALGROUP.3113849309400000282</t>
  </si>
  <si>
    <t>TB Total - Prepayments</t>
  </si>
  <si>
    <t>DALBLANK.3113849309400000282</t>
  </si>
  <si>
    <t>DALACCT.3113849309400000099DELIM3113849309400000283</t>
  </si>
  <si>
    <t>5170.7</t>
  </si>
  <si>
    <t>RECEIVABLE FROM NCCPL AMOUNT DEPOSITED AGAINST EXPOSURE MARGIN</t>
  </si>
  <si>
    <t>DALACCT.3113849309400000100DELIM3113849309400000283</t>
  </si>
  <si>
    <t>Receivable From Nccpl Amount Deposited Against Exposure Margin ON Mts</t>
  </si>
  <si>
    <t>DALGROUP.3113849309400000283</t>
  </si>
  <si>
    <t>TB Total - Receivable from National Clearing Compnay of Pakistan</t>
  </si>
  <si>
    <t>DALBLANK.3113849309400000283</t>
  </si>
  <si>
    <t>DALGROUP.3113849309400000284</t>
  </si>
  <si>
    <t>5180-1</t>
  </si>
  <si>
    <t>TB Total - Preliminary expenses and floatation costs, and Other Advances</t>
  </si>
  <si>
    <t>DALBLANK.3113849309400000284</t>
  </si>
  <si>
    <t>DALACCT.3113849309400000129DELIM3113849309400000285</t>
  </si>
  <si>
    <t>6110.1</t>
  </si>
  <si>
    <t>MANAGEMENT FEE PAYABLE</t>
  </si>
  <si>
    <t>DALACCT.3113849309400000130DELIM3113849309400000285</t>
  </si>
  <si>
    <t>SALE LOAD PAYABLE</t>
  </si>
  <si>
    <t>DALACCT.3113849309400000131DELIM3113849309400000285</t>
  </si>
  <si>
    <t>SALES TAX PAYABLE AGAINST MANAGEMENT FEE</t>
  </si>
  <si>
    <t>DALACCT.3113849309400000152DELIM3113849309400000285</t>
  </si>
  <si>
    <t>Back Office Operation Payable</t>
  </si>
  <si>
    <t>DALGROUP.3113849309400000285</t>
  </si>
  <si>
    <t>TB Total - Payable to Management Company</t>
  </si>
  <si>
    <t>DALBLANK.3113849309400000285</t>
  </si>
  <si>
    <t>DALACCT.3113849309400000133DELIM3113849309400000286</t>
  </si>
  <si>
    <t>6120.1</t>
  </si>
  <si>
    <t>Sales Tax Payable On Trustee Fee</t>
  </si>
  <si>
    <t>DALACCT.3113849309400000135DELIM3113849309400000286</t>
  </si>
  <si>
    <t>TRUSTEE REMUNERATION PAYABLE</t>
  </si>
  <si>
    <t>DALGROUP.3113849309400000286</t>
  </si>
  <si>
    <t>TB Total - Payable to Central Depository Company of Pakistan Limited - Trustee</t>
  </si>
  <si>
    <t>DALBLANK.3113849309400000286</t>
  </si>
  <si>
    <t>DALACCT.3113849309400000136DELIM3113849309400000287</t>
  </si>
  <si>
    <t>6130.1</t>
  </si>
  <si>
    <t>PAYABLE TO SECP  ANNUAL FEE</t>
  </si>
  <si>
    <t>DALGROUP.3113849309400000287</t>
  </si>
  <si>
    <t>TB Total - Payable to Securities and Exchange Commission</t>
  </si>
  <si>
    <t>DALBLANK.3113849309400000287</t>
  </si>
  <si>
    <t>DALACCT.3113849309400000138DELIM3113849309400000288</t>
  </si>
  <si>
    <t>6140.1</t>
  </si>
  <si>
    <t>PAYABLE AGAINST REDEMPTION OF UNITS</t>
  </si>
  <si>
    <t>DALGROUP.3113849309400000288</t>
  </si>
  <si>
    <t>TB Total - Payable against redemption of units</t>
  </si>
  <si>
    <t>DALBLANK.3113849309400000288</t>
  </si>
  <si>
    <t>DALACCT.3113849309400000137DELIM3113849309400000289</t>
  </si>
  <si>
    <t>6140.1A</t>
  </si>
  <si>
    <t>PAYABLE AGAINST PURCHASE OF EQUITY SECURITIES</t>
  </si>
  <si>
    <t>DALGROUP.3113849309400000289</t>
  </si>
  <si>
    <t>TB Total - PAYABLE AGAINST PURCHASE OF EQUITY SECURITIES</t>
  </si>
  <si>
    <t>DALBLANK.3113849309400000289</t>
  </si>
  <si>
    <t>DALGROUP.3113849309400000290</t>
  </si>
  <si>
    <t>6150.1</t>
  </si>
  <si>
    <t>TB Total - Unclaimed dividend</t>
  </si>
  <si>
    <t>DALBLANK.3113849309400000290</t>
  </si>
  <si>
    <t>DALACCT.3113849309400000110DELIM3113849309400000291</t>
  </si>
  <si>
    <t>6160.1</t>
  </si>
  <si>
    <t>PREPAYMENT OF LSE AGAINST ANNUAL LISTING FEE</t>
  </si>
  <si>
    <t>DALACCT.3113849309400000132DELIM3113849309400000291</t>
  </si>
  <si>
    <t>FED TAX PAYABLE AGAINST MANAGEMENT FEE</t>
  </si>
  <si>
    <t>DALACCT.3113849309400000134DELIM3113849309400000291</t>
  </si>
  <si>
    <t>Fed Tax Payable Against Sales Load</t>
  </si>
  <si>
    <t>DIVIDEND PAYABLE</t>
  </si>
  <si>
    <t>DALACCT.3113849309400000140DELIM3113849309400000291</t>
  </si>
  <si>
    <t>BROKERAGE PAYABLE  EQUITY INVESTMENT</t>
  </si>
  <si>
    <t>DALACCT.3113849309400000141DELIM3113849309400000291</t>
  </si>
  <si>
    <t>BROKERAGE PAYABLE MONEY MARKET</t>
  </si>
  <si>
    <t>DALACCT.3113849309400000142DELIM3113849309400000291</t>
  </si>
  <si>
    <t>BROKERAGE PAYABLE  MONEY MARKET</t>
  </si>
  <si>
    <t>DALACCT.3113849309400000143DELIM3113849309400000291</t>
  </si>
  <si>
    <t>WORKER'S WELFARE FUND PAYABLE</t>
  </si>
  <si>
    <t>DALACCT.3113849309400000144DELIM3113849309400000291</t>
  </si>
  <si>
    <t>AUDIT FEE PAYABLE</t>
  </si>
  <si>
    <t>DALACCT.3113849309400000145DELIM3113849309400000291</t>
  </si>
  <si>
    <t>WITHHOLDING TAX PAYABLE  CGT U/S 37A</t>
  </si>
  <si>
    <t>DALACCT.3113849309400000146DELIM3113849309400000291</t>
  </si>
  <si>
    <t>W.H. TAX PAYABLE  DIVIDEND U/S 150</t>
  </si>
  <si>
    <t>DALACCT.3113849309400000147DELIM3113849309400000291</t>
  </si>
  <si>
    <t>PAYABLE TO LEGAL ADVISOR</t>
  </si>
  <si>
    <t>DALACCT.3113849309400000148DELIM3113849309400000291</t>
  </si>
  <si>
    <t>ZAKAT PAYABLE</t>
  </si>
  <si>
    <t>DALACCT.3113849309400000149DELIM3113849309400000291</t>
  </si>
  <si>
    <t>SETTLEMENT CHARGES PAYABLE TO NCCPL</t>
  </si>
  <si>
    <t>DALACCT.3113849309400000150DELIM3113849309400000291</t>
  </si>
  <si>
    <t>PRINTING CHARGES PAYABLE</t>
  </si>
  <si>
    <t>DALACCT.3113849309400000151DELIM3113849309400000291</t>
  </si>
  <si>
    <t>OTHER PAYABLE</t>
  </si>
  <si>
    <t>DALACCT.3122547631500000670DELIM3113849309400000291</t>
  </si>
  <si>
    <t>SST payable on back office operation expenses</t>
  </si>
  <si>
    <t>DALGROUP.3113849309400000291</t>
  </si>
  <si>
    <t>TB Total - Accrued expenses and other liabilities</t>
  </si>
  <si>
    <t>DALBLANK.3113849309400000291</t>
  </si>
  <si>
    <t>DALACCT.3113849309400000016DELIM3113849309400000292</t>
  </si>
  <si>
    <t>6160.1A</t>
  </si>
  <si>
    <t>Payable Against Exposure In Magin Trading System</t>
  </si>
  <si>
    <t>DALGROUP.3113849309400000292</t>
  </si>
  <si>
    <t>TB Total - Payable Against Exposure In Magin Trading System</t>
  </si>
  <si>
    <t>DALBLANK.3113849309400000292</t>
  </si>
  <si>
    <t>DALGROUP.3113849309400000293</t>
  </si>
  <si>
    <t>6170.1</t>
  </si>
  <si>
    <t>DALBLANK.3113849309400000293</t>
  </si>
  <si>
    <t>DALGROUP.3113849309400000294</t>
  </si>
  <si>
    <t>6180</t>
  </si>
  <si>
    <t>TB Total - Tax Payable</t>
  </si>
  <si>
    <t>DALBLANK.3113849309400000294</t>
  </si>
  <si>
    <t>DALGROUP.3113849309400000295</t>
  </si>
  <si>
    <t>7110.1</t>
  </si>
  <si>
    <t>TB Total - Issued, subscribed and paid-up capital</t>
  </si>
  <si>
    <t>DALBLANK.3113849309400000295</t>
  </si>
  <si>
    <t>DALACCT.3113849309400000127DELIM3113849309400000296</t>
  </si>
  <si>
    <t>7210.1</t>
  </si>
  <si>
    <t>Unrealized Gain / (Loss) Pib- Afs</t>
  </si>
  <si>
    <t>DALGROUP.3113849309400000296</t>
  </si>
  <si>
    <t>TB Total - Unrealized appreciation in value of investments-AFS</t>
  </si>
  <si>
    <t>DALBLANK.3113849309400000296</t>
  </si>
  <si>
    <t>DALACCT.3113849309400000126DELIM3113849309400000297</t>
  </si>
  <si>
    <t>7220.2</t>
  </si>
  <si>
    <t>UNAPPROPRIATED INCOME</t>
  </si>
  <si>
    <t>DALGROUP.3113849309400000297</t>
  </si>
  <si>
    <t>TB Total - Accumulated loss</t>
  </si>
  <si>
    <t>DALBLANK.3113849309400000297</t>
  </si>
  <si>
    <t>DALACCT.3113849309400000119DELIM3113849309400000298</t>
  </si>
  <si>
    <t>7230</t>
  </si>
  <si>
    <t>ISSUED OF UNITS AGAINST SALE OF UNITS</t>
  </si>
  <si>
    <t>DALACCT.3113849309400000120DELIM3113849309400000298</t>
  </si>
  <si>
    <t>ISSUED OF ADDITIONAL UNITS</t>
  </si>
  <si>
    <t>DALACCT.3113849309400000121DELIM3113849309400000298</t>
  </si>
  <si>
    <t>REDEMPTION OF UNITS  NORMAL</t>
  </si>
  <si>
    <t>DALACCT.3113849309400000122DELIM3113849309400000298</t>
  </si>
  <si>
    <t>CONVERSION IN UNITS</t>
  </si>
  <si>
    <t>DALACCT.3113849309400000123DELIM3113849309400000298</t>
  </si>
  <si>
    <t>CONVERSION OUT UNITS</t>
  </si>
  <si>
    <t>DALACCT.3113849309400000125DELIM3113849309400000298</t>
  </si>
  <si>
    <t>ELEMENT OF INCOME  UNREALIZED</t>
  </si>
  <si>
    <t>DALACCT.3113849309400000128DELIM3113849309400000298</t>
  </si>
  <si>
    <t>BALANCE ACCOUNT</t>
  </si>
  <si>
    <t>DALGROUP.3113849309400000298</t>
  </si>
  <si>
    <t>TB Total - Unit holders Fund</t>
  </si>
  <si>
    <t>DALBLANK.3113849309400000298</t>
  </si>
  <si>
    <t>DALACCT.3113849309400000124DELIM3113849309400000299</t>
  </si>
  <si>
    <t>7230.1</t>
  </si>
  <si>
    <t>ELEMENT OF INCOME  REALIZED</t>
  </si>
  <si>
    <t>DALGROUP.3113849309400000299</t>
  </si>
  <si>
    <t>TB Total - Realized Element of income</t>
  </si>
  <si>
    <t>DALBLANK.3113849309400000299</t>
  </si>
  <si>
    <t>DALGROUP.3113849309400000300</t>
  </si>
  <si>
    <t>7230.2</t>
  </si>
  <si>
    <t>TB Total - Unrealized Element of income</t>
  </si>
  <si>
    <t>DALBLANK.3113849309400000300</t>
  </si>
  <si>
    <t>DALACCT.3113849309400000153DELIM3113849309400000301</t>
  </si>
  <si>
    <t>8110.1</t>
  </si>
  <si>
    <t>CAPITAL GAIN / (LOSS) ON SALE OF EQUITY SECURITIES</t>
  </si>
  <si>
    <t>DALACCT.3113849309400000154DELIM3113849309400000301</t>
  </si>
  <si>
    <t>CAPITAL GAIN / (LOSS) ON SALE OF DEBT SECURITIES</t>
  </si>
  <si>
    <t>DALACCT.3113849309400000155DELIM3113849309400000301</t>
  </si>
  <si>
    <t>CAPITAL GAIN / (LOSS) ON SALE OF PIBS</t>
  </si>
  <si>
    <t>DALACCT.3113849309400000156DELIM3113849309400000301</t>
  </si>
  <si>
    <t>CAPITAL GAIN / (LOSS) ON SALE OF T-BILLS</t>
  </si>
  <si>
    <t>DALACCT.3113849309400000164DELIM3113849309400000301</t>
  </si>
  <si>
    <t>CAPITAL GAIN / (LOSS) ON SALE OF PIB FRB -HFT</t>
  </si>
  <si>
    <t>DALGROUP.3113849309400000301</t>
  </si>
  <si>
    <t>TB Total - Capital gain / (loss) on sale of investments - net</t>
  </si>
  <si>
    <t>DALBLANK.3113849309400000301</t>
  </si>
  <si>
    <t>DALGROUP.3113849309400000302</t>
  </si>
  <si>
    <t>8110.1A</t>
  </si>
  <si>
    <t>TB Total - Income from CFS Transactions</t>
  </si>
  <si>
    <t>DALBLANK.3113849309400000302</t>
  </si>
  <si>
    <t>DALACCT.3113849309400000159DELIM3113849309400000303</t>
  </si>
  <si>
    <t>8110.1B</t>
  </si>
  <si>
    <t>URG / LOSS FUTURE EQUITIES TRANSACTIONS</t>
  </si>
  <si>
    <t>DALACCT.3113849309400000200DELIM3113849309400000303</t>
  </si>
  <si>
    <t>Income On Spread Transactions</t>
  </si>
  <si>
    <t>DALGROUP.3113849309400000303</t>
  </si>
  <si>
    <t>TB Total - Income from investment in Derivative</t>
  </si>
  <si>
    <t>DALBLANK.3113849309400000303</t>
  </si>
  <si>
    <t>DALACCT.3113849309400000191DELIM3113849309400000304</t>
  </si>
  <si>
    <t>8110.2A</t>
  </si>
  <si>
    <t>INCOME ON TFC</t>
  </si>
  <si>
    <t>DALACCT.3113849309400000192DELIM3113849309400000304</t>
  </si>
  <si>
    <t>DALACCT.3113849309400000195DELIM3113849309400000304</t>
  </si>
  <si>
    <t>AMORTIZATION / DISCOUNT ON DEBT SECURITIES - TFC</t>
  </si>
  <si>
    <t>DALACCT.3113849309400000011DELIM3113849309400000304</t>
  </si>
  <si>
    <t>Provision Against Debt Securities  Accrued Markup</t>
  </si>
  <si>
    <t>PROVISION AGAINST DEBT SECURITIES  ACCRUED MARKUP</t>
  </si>
  <si>
    <t>DALGROUP.3113849309400000304</t>
  </si>
  <si>
    <t>TB Total - Income from Term Finance Certificates</t>
  </si>
  <si>
    <t>DALBLANK.3113849309400000304</t>
  </si>
  <si>
    <t>DALACCT.3113849309400000193DELIM3113849309400000305</t>
  </si>
  <si>
    <t>8110.3A</t>
  </si>
  <si>
    <t>INCOME ON GOVT SECTY PIBS</t>
  </si>
  <si>
    <t>DALACCT.3113849309400000194DELIM3113849309400000305</t>
  </si>
  <si>
    <t>INCOME ON COMMERCIAL PAPERS</t>
  </si>
  <si>
    <t>DALACCT.3113849309400000196DELIM3113849309400000305</t>
  </si>
  <si>
    <t>AMORTIZATION / DISCOUNT ON GOVT SECTY PIBS</t>
  </si>
  <si>
    <t>DALACCT.3113849309400000197DELIM3113849309400000305</t>
  </si>
  <si>
    <t>Discount Income On Govt Security Pibs</t>
  </si>
  <si>
    <t>DALACCT.3113849309400000198DELIM3113849309400000305</t>
  </si>
  <si>
    <t>AMORTIZATION / DISCOUNT ON GOVT SEC BILLSS</t>
  </si>
  <si>
    <t>DALACCT.3122547631500000673DELIM3113849309400000305</t>
  </si>
  <si>
    <t>AMORTIZATION / DISCOUNT ON GOVERNMENT SECURITIES NSB</t>
  </si>
  <si>
    <t>DALACCT.3113849309400000201DELIM3113849309400000305</t>
  </si>
  <si>
    <t>INCOME ON GOVT SECTY PIBS FRB</t>
  </si>
  <si>
    <t>DALACCT.3113849309400000202DELIM3113849309400000305</t>
  </si>
  <si>
    <t>AMORTIZATION / DISCOUNT ON GOVT SEC PIBS FRB</t>
  </si>
  <si>
    <t>DALACCT.3113849309400000019DELIM3113849309400000305</t>
  </si>
  <si>
    <t>Premium Amortization Of Pibs</t>
  </si>
  <si>
    <t>DALGROUP.3113849309400000305</t>
  </si>
  <si>
    <t>TB Total - Income from Government Securities</t>
  </si>
  <si>
    <t>DALBLANK.3113849309400000305</t>
  </si>
  <si>
    <t>DALGROUP.3113849309400000306</t>
  </si>
  <si>
    <t>8110.4A</t>
  </si>
  <si>
    <t>TB Total - Income from placements with financial institutions</t>
  </si>
  <si>
    <t>DALBLANK.3113849309400000306</t>
  </si>
  <si>
    <t>DALACCT.3113849309400000199DELIM3113849309400000307</t>
  </si>
  <si>
    <t>8110.4B</t>
  </si>
  <si>
    <t>AMORTIZATION / DISCOUNT ON COMMERCIAL PAPERS</t>
  </si>
  <si>
    <t>DALGROUP.3113849309400000307</t>
  </si>
  <si>
    <t>TB Total - Income on CP</t>
  </si>
  <si>
    <t>DALBLANK.3113849309400000307</t>
  </si>
  <si>
    <t>DALACCT.3113849309400000190DELIM3113849309400000308</t>
  </si>
  <si>
    <t>8110.5A</t>
  </si>
  <si>
    <t>RETURN ON TERM DEPOSIT ACCOUNTS</t>
  </si>
  <si>
    <t>DALGROUP.3113849309400000308</t>
  </si>
  <si>
    <t>TB Total - Income from TDR</t>
  </si>
  <si>
    <t>DALBLANK.3113849309400000308</t>
  </si>
  <si>
    <t>DALACCT.3113849309400000203DELIM3113849309400000309</t>
  </si>
  <si>
    <t>8110.6A</t>
  </si>
  <si>
    <t>INCOME ON NCCPL DEPOSIT AGAINST EXPOSURE MARGIN</t>
  </si>
  <si>
    <t>DALGROUP.3113849309400000309</t>
  </si>
  <si>
    <t>TB Total - Income on NCCPL margin</t>
  </si>
  <si>
    <t>DALBLANK.3113849309400000309</t>
  </si>
  <si>
    <t>8110.6B</t>
  </si>
  <si>
    <t>OTHER INCOME</t>
  </si>
  <si>
    <t>DALACCT.3113849309400000017DELIM3113849309400000310</t>
  </si>
  <si>
    <t>Markup Income On Mts</t>
  </si>
  <si>
    <t>DALGROUP.3113849309400000310</t>
  </si>
  <si>
    <t>TB Total - Markup Income on MTS</t>
  </si>
  <si>
    <t>DALBLANK.3113849309400000310</t>
  </si>
  <si>
    <t>DALACCT.3113849309400000165DELIM3113849309400000311</t>
  </si>
  <si>
    <t>8110.7A</t>
  </si>
  <si>
    <t>PROFIT ON - ALLIED BANK LIMITED - FOREIGN EXCHANGE BRANCH</t>
  </si>
  <si>
    <t>DALACCT.3113849309400000166DELIM3113849309400000311</t>
  </si>
  <si>
    <t>PROFIT ON - BANK AL FALAH LIMITED  - KSE BRANCH</t>
  </si>
  <si>
    <t>DALACCT.3113849309400000167DELIM3113849309400000311</t>
  </si>
  <si>
    <t>DALACCT.3113849309400000168DELIM3113849309400000311</t>
  </si>
  <si>
    <t>Profit On - Habib Metropolitan Bank Limited - Karachi Stock Exchange Branch</t>
  </si>
  <si>
    <t>DALACCT.3113849309400000169DELIM3113849309400000311</t>
  </si>
  <si>
    <t>Profit On - Habib Metropolitan Bank Limited - Main Branch</t>
  </si>
  <si>
    <t>DALACCT.3113849309400000170DELIM3113849309400000311</t>
  </si>
  <si>
    <t>Profit On - Mcb Bank Limited - Uni Tower Branch</t>
  </si>
  <si>
    <t>DALACCT.3113849309400000171DELIM3113849309400000311</t>
  </si>
  <si>
    <t>Profit On - Mcb Bank Limited - Shaheen Complex Branch</t>
  </si>
  <si>
    <t>DALACCT.3113849309400000172DELIM3113849309400000311</t>
  </si>
  <si>
    <t>DALACCT.3113849309400000173DELIM3113849309400000311</t>
  </si>
  <si>
    <t>DALACCT.3113849309400000174DELIM3113849309400000311</t>
  </si>
  <si>
    <t>DALACCT.3113849309400000175DELIM3113849309400000311</t>
  </si>
  <si>
    <t>DALACCT.3113849309400000176DELIM3113849309400000311</t>
  </si>
  <si>
    <t>DALACCT.3113849309400000177DELIM3113849309400000311</t>
  </si>
  <si>
    <t>Profit On - Bank Al Habib Limited - Main Branch</t>
  </si>
  <si>
    <t>DALACCT.3113849309400000178DELIM3113849309400000311</t>
  </si>
  <si>
    <t>Profit On - Zarai Taraqiati Bank Limited - Shafi Court Branch</t>
  </si>
  <si>
    <t>DALACCT.3113849309400000179DELIM3113849309400000311</t>
  </si>
  <si>
    <t>Profit On - Js Bank Limited - Ocean Tower, Clifton Branch</t>
  </si>
  <si>
    <t>DALACCT.3113849309400000180DELIM3113849309400000311</t>
  </si>
  <si>
    <t>Profit On - Nrsp Microfinance Bank Limited</t>
  </si>
  <si>
    <t>DALACCT.3113849309400000181DELIM3113849309400000311</t>
  </si>
  <si>
    <t>Profit On - Mobilink Microfinance Bank Limited</t>
  </si>
  <si>
    <t>DALACCT.3113849309400000182DELIM3113849309400000311</t>
  </si>
  <si>
    <t>Profit On - U Microfinance Bank Limited</t>
  </si>
  <si>
    <t>Profit On - Khushali Microfinance Bank Limited</t>
  </si>
  <si>
    <t>Profit On - Tameer Microfinance Bank</t>
  </si>
  <si>
    <t>Profit On - Habib Bank Limited Kse Branch</t>
  </si>
  <si>
    <t>Profit On - First Micro Finance Bank Ltd - Clifton Branch</t>
  </si>
  <si>
    <t>Profit On - Silk Bank Limited - Main Branch</t>
  </si>
  <si>
    <t>DALGROUP.3113849309400000311</t>
  </si>
  <si>
    <t>TB Total - Profit on bank deposits</t>
  </si>
  <si>
    <t>DALBLANK.3113849309400000311</t>
  </si>
  <si>
    <t>DALACCT.3113849309400000158DELIM3113849309400000312</t>
  </si>
  <si>
    <t>8110.8A</t>
  </si>
  <si>
    <t>URG / LOSS HFT EQUITY INVESTMENTS</t>
  </si>
  <si>
    <t>DALACCT.3113849309400000160DELIM3113849309400000312</t>
  </si>
  <si>
    <t>URG / LOSS INVESTMENT IN DEBT SECURITIES</t>
  </si>
  <si>
    <t>DALACCT.3113849309400000161DELIM3113849309400000312</t>
  </si>
  <si>
    <t>URG/LOSS INVESTMENTS IN PIBS</t>
  </si>
  <si>
    <t>DALACCT.3113849309400000162DELIM3113849309400000312</t>
  </si>
  <si>
    <t>URG/LOSS INVESTMENTS IN TBILLS</t>
  </si>
  <si>
    <t>DALACCT.3113849309400000163DELIM3113849309400000312</t>
  </si>
  <si>
    <t>URG / LOSS INVESTMENT IN PIB FRB -HFT</t>
  </si>
  <si>
    <t>DALGROUP.3113849309400000312</t>
  </si>
  <si>
    <t>TB Total - Unrealized appreciation / (diminuition) in value of investments at fair value through profit or loss</t>
  </si>
  <si>
    <t>DALBLANK.3113849309400000312</t>
  </si>
  <si>
    <t>DALACCT.3113849309400000157DELIM3113849309400000313</t>
  </si>
  <si>
    <t>8110.9A</t>
  </si>
  <si>
    <t>DIVIDEND INCOME ON EQUITY SECURITIES</t>
  </si>
  <si>
    <t>DALGROUP.3113849309400000313</t>
  </si>
  <si>
    <t>TB Total - Dividend Income</t>
  </si>
  <si>
    <t>DALBLANK.3113849309400000313</t>
  </si>
  <si>
    <t>DALACCT.3113849309400000829DELIM3113849309400000314</t>
  </si>
  <si>
    <t>8111</t>
  </si>
  <si>
    <t>Provision Against Debt Securities  Principal Amount</t>
  </si>
  <si>
    <t>DALACCT.3113849309400000220DELIM3113849309400000314</t>
  </si>
  <si>
    <t>PROVISION AGAINST DEBT SECURITIES  PRINCIPAL AMOUNT</t>
  </si>
  <si>
    <t>DALGROUP.3113849309400000314</t>
  </si>
  <si>
    <t>DALBLANK.3113849309400000314</t>
  </si>
  <si>
    <t>DALACCT.3113849309400000207DELIM3113849309400000315</t>
  </si>
  <si>
    <t>8120.1</t>
  </si>
  <si>
    <t>MANAGEMENT COMPANY REMUNERATION</t>
  </si>
  <si>
    <t>DALACCT.3113849309400000208DELIM3113849309400000315</t>
  </si>
  <si>
    <t>SALES TAX ON MANAGEMENT COMPANY REMUNERATION</t>
  </si>
  <si>
    <t>DALACCT.3113849309400000209DELIM3113849309400000315</t>
  </si>
  <si>
    <t>FED EXPENSE ON MGM FEE</t>
  </si>
  <si>
    <t>DALGROUP.3113849309400000315</t>
  </si>
  <si>
    <t>TB Total - Remuneration of management company</t>
  </si>
  <si>
    <t>DALBLANK.3113849309400000315</t>
  </si>
  <si>
    <t>DALACCT.3113849309400000210DELIM3113849309400000316</t>
  </si>
  <si>
    <t>8120.1A</t>
  </si>
  <si>
    <t>TRUSTEE REMUNERATION</t>
  </si>
  <si>
    <t>DALGROUP.3113849309400000316</t>
  </si>
  <si>
    <t>TB Total - Remuneration of CDC - Trustee</t>
  </si>
  <si>
    <t>DALBLANK.3113849309400000316</t>
  </si>
  <si>
    <t>DALACCT.3113849309400000212DELIM3113849309400000317</t>
  </si>
  <si>
    <t>8120.2A</t>
  </si>
  <si>
    <t>SECP ANNUAL FEE</t>
  </si>
  <si>
    <t>DALGROUP.3113849309400000317</t>
  </si>
  <si>
    <t>TB Total - Annual fee - SECP</t>
  </si>
  <si>
    <t>DALBLANK.3113849309400000317</t>
  </si>
  <si>
    <t>DALACCT.3113849309400000215DELIM3113849309400000318</t>
  </si>
  <si>
    <t>8130.1</t>
  </si>
  <si>
    <t>BROKERAGE EXPENSE ON EQUITY INVESTMENT</t>
  </si>
  <si>
    <t>DALACCT.3113849309400000216DELIM3113849309400000318</t>
  </si>
  <si>
    <t>BROKERAGE EXPENSE  MONEY MARKET TRANSACTIONS</t>
  </si>
  <si>
    <t>SETT CHG  TRUSTEE</t>
  </si>
  <si>
    <t>SETT CHG  NCCPL  EQUITY TRANSACTIONS</t>
  </si>
  <si>
    <t>SETT CHG  NCCPL  DEBT SECURITY TRANSACTIONS</t>
  </si>
  <si>
    <t>DALGROUP.3113849309400000318</t>
  </si>
  <si>
    <t>TB Total - Securities transactin cost</t>
  </si>
  <si>
    <t>DALBLANK.3113849309400000318</t>
  </si>
  <si>
    <t>DALGROUP.3113849309400000319</t>
  </si>
  <si>
    <t>8130.2</t>
  </si>
  <si>
    <t>TB Total - Conversion cost</t>
  </si>
  <si>
    <t>DALBLANK.3113849309400000319</t>
  </si>
  <si>
    <t>DALGROUP.3113849309400000320</t>
  </si>
  <si>
    <t>8130.3</t>
  </si>
  <si>
    <t>TB Total - Financial Charges</t>
  </si>
  <si>
    <t>DALBLANK.3113849309400000320</t>
  </si>
  <si>
    <t>DALACCT.3113849309400000237DELIM3113849309400000321</t>
  </si>
  <si>
    <t>8130.4</t>
  </si>
  <si>
    <t>BANK CHARGES - ALLIED BANK LIMITED</t>
  </si>
  <si>
    <t>DALACCT.3113849309400000238DELIM3113849309400000321</t>
  </si>
  <si>
    <t>DALACCT.3113849309400000239DELIM3113849309400000321</t>
  </si>
  <si>
    <t>BANK CHARGES - FAYSAL BANK LIMITED</t>
  </si>
  <si>
    <t>DALACCT.3113849309400000240DELIM3113849309400000321</t>
  </si>
  <si>
    <t>BANK CHARGES - HABIB BANK LIMITED</t>
  </si>
  <si>
    <t>DALACCT.3113849309400000241DELIM3113849309400000321</t>
  </si>
  <si>
    <t>BANK CHARGES - HABIB METROPOLITAN BANK LIMITED</t>
  </si>
  <si>
    <t>DALACCT.3113849309400000242DELIM3113849309400000321</t>
  </si>
  <si>
    <t>BANK CHARGES - MCB BANK LIMITED</t>
  </si>
  <si>
    <t>DALACCT.3113849309400000243DELIM3113849309400000321</t>
  </si>
  <si>
    <t>DALACCT.3113849309400000244DELIM3113849309400000321</t>
  </si>
  <si>
    <t>DALACCT.3113849309400000245DELIM3113849309400000321</t>
  </si>
  <si>
    <t>Bank Charges - Mobilink Microfinance Bank Limited</t>
  </si>
  <si>
    <t>Bank Charges - Khushali Microfinance Bank Limited</t>
  </si>
  <si>
    <t>Bank Charges - Finca Microfinance Bank</t>
  </si>
  <si>
    <t>Bank Charges - Silk Bank Limited</t>
  </si>
  <si>
    <t>DALGROUP.3113849309400000321</t>
  </si>
  <si>
    <t>TB Total - Bank Charges</t>
  </si>
  <si>
    <t>DALBLANK.3113849309400000321</t>
  </si>
  <si>
    <t>DALGROUP.3113849309400000322</t>
  </si>
  <si>
    <t>8133</t>
  </si>
  <si>
    <t>DALBLANK.3113849309400000322</t>
  </si>
  <si>
    <t>8140.1</t>
  </si>
  <si>
    <t>LEGAL AND PROFESSIONAL CHARGES</t>
  </si>
  <si>
    <t>DALACCT.3113849309400000227DELIM3113849309400000323</t>
  </si>
  <si>
    <t>FEE &amp; SUBSCRIP ANNUAL LISTING FEE LSE</t>
  </si>
  <si>
    <t>DALACCT.3113849309400000229DELIM3113849309400000323</t>
  </si>
  <si>
    <t>FEE &amp; SUBSCRIPANNUAL PACRA FEE</t>
  </si>
  <si>
    <t>DALACCT.3113849309400000230DELIM3113849309400000323</t>
  </si>
  <si>
    <t>Fee &amp; Subscripannual Listing Fee Ise</t>
  </si>
  <si>
    <t>DALACCT.3113849309400000231DELIM3113849309400000323</t>
  </si>
  <si>
    <t>Fee &amp; Subscription Annual Listing Fee Psx</t>
  </si>
  <si>
    <t>DALACCT.3113849309400000233DELIM3113849309400000323</t>
  </si>
  <si>
    <t>Fee &amp; Subscription Annual Mts Charges</t>
  </si>
  <si>
    <t>DALACCT.3113849309400000234DELIM3113849309400000323</t>
  </si>
  <si>
    <t>Sindh Sales Tax Registration Charges</t>
  </si>
  <si>
    <t>DALGROUP.3113849309400000323</t>
  </si>
  <si>
    <t>TB Total - Fees and subscription</t>
  </si>
  <si>
    <t>DALBLANK.3113849309400000323</t>
  </si>
  <si>
    <t>DALACCT.3113849309400000018DELIM3113849309400000324</t>
  </si>
  <si>
    <t>8140.2</t>
  </si>
  <si>
    <t>Laga And Levy Charges On Mts</t>
  </si>
  <si>
    <t>DALGROUP.3113849309400000324</t>
  </si>
  <si>
    <t>TB Total - Pofessional charges on MTS</t>
  </si>
  <si>
    <t>DALBLANK.3113849309400000324</t>
  </si>
  <si>
    <t>DALGROUP.3113849309400000325</t>
  </si>
  <si>
    <t>8150.1</t>
  </si>
  <si>
    <t>TB Total - Settlement Charges</t>
  </si>
  <si>
    <t>DALBLANK.3113849309400000325</t>
  </si>
  <si>
    <t>DALACCT.3113849309400000235DELIM3113849309400000326</t>
  </si>
  <si>
    <t>8150.1A</t>
  </si>
  <si>
    <t>PRINTING OF ACCOUNTS CHARGES</t>
  </si>
  <si>
    <t>DALACCT.3113849309400000236DELIM3113849309400000326</t>
  </si>
  <si>
    <t>DESPATCH AND COURIER CHARGES OF ACCOUNTS</t>
  </si>
  <si>
    <t>DALACCT.3122547631500000671DELIM3113849309400000326</t>
  </si>
  <si>
    <t>Rounding difference</t>
  </si>
  <si>
    <t>DALGROUP.3113849309400000326</t>
  </si>
  <si>
    <t>TB Total - Printing and related cost</t>
  </si>
  <si>
    <t>DALBLANK.3113849309400000326</t>
  </si>
  <si>
    <t>DALACCT.3113849309400000224DELIM3113849309400000327</t>
  </si>
  <si>
    <t>8150.2A</t>
  </si>
  <si>
    <t>AUDIT FEE EXPENSE</t>
  </si>
  <si>
    <t>DALACCT.3113849309400000225DELIM3113849309400000327</t>
  </si>
  <si>
    <t>OUT OF POCKET EXPENSES</t>
  </si>
  <si>
    <t>DALGROUP.3113849309400000327</t>
  </si>
  <si>
    <t>TB Total - Auditor's remuneration</t>
  </si>
  <si>
    <t>DALBLANK.3113849309400000327</t>
  </si>
  <si>
    <t>DALGROUP.3113849309400000328</t>
  </si>
  <si>
    <t>8150.3A</t>
  </si>
  <si>
    <t>TB Total - Amortization of preliminary expenses and flotation costs</t>
  </si>
  <si>
    <t>DALBLANK.3113849309400000328</t>
  </si>
  <si>
    <t>DALACCT.3113849309400000070DELIM3113849309400000329</t>
  </si>
  <si>
    <t>8160.1</t>
  </si>
  <si>
    <t>Provision Against Red Of Debt Sec - Principal (Pace Tfc)</t>
  </si>
  <si>
    <t>DALACCT.3113849309400000071DELIM3113849309400000329</t>
  </si>
  <si>
    <t>Provision Against Red Of Debt Sec - Principal (Eden Sukuk)</t>
  </si>
  <si>
    <t>DALACCT.3113849309400000072DELIM3113849309400000329</t>
  </si>
  <si>
    <t>Provision Against Red Of Debt Sec - Principal (Pel Sukuk)</t>
  </si>
  <si>
    <t>DALACCT.3113849309400000073DELIM3113849309400000329</t>
  </si>
  <si>
    <t>Provision Against Red Of Debt Sec - Principal (Telecard Tfc)</t>
  </si>
  <si>
    <t>DALACCT.3113849309400000074DELIM3113849309400000329</t>
  </si>
  <si>
    <t>Provision Against Red Of Debt Sec - Principal (Trust Inv Tfc)</t>
  </si>
  <si>
    <t>DALGROUP.3113849309400000329</t>
  </si>
  <si>
    <t>TB Total - Provision Against Impairment Loss-EXP</t>
  </si>
  <si>
    <t>DALBLANK.3113849309400000329</t>
  </si>
  <si>
    <t>DALACCT.3113849309400000222DELIM3113849309400000330</t>
  </si>
  <si>
    <t>8160.2</t>
  </si>
  <si>
    <t>TAXATIONWORKERS WELFARE FUND (WWF)</t>
  </si>
  <si>
    <t>DALACCT.3113849309400000223DELIM3113849309400000330</t>
  </si>
  <si>
    <t>Taxationworkers Welfare Fund (Wwf) - Reversal</t>
  </si>
  <si>
    <t>DALGROUP.3113849309400000330</t>
  </si>
  <si>
    <t>TB Total - WWF-EXP</t>
  </si>
  <si>
    <t>DALBLANK.3113849309400000330</t>
  </si>
  <si>
    <t>DALACCT.3113849309400000211DELIM3113849309400000331</t>
  </si>
  <si>
    <t>8170.1</t>
  </si>
  <si>
    <t>Sales Tax On Trustee Fee</t>
  </si>
  <si>
    <t>DALGROUP.3113849309400000331</t>
  </si>
  <si>
    <t>TB Total - Sales Tax on Trustee Fees</t>
  </si>
  <si>
    <t>DALBLANK.3113849309400000331</t>
  </si>
  <si>
    <t>DALACCT.3113849309400000213DELIM3113849309400000332</t>
  </si>
  <si>
    <t>8180.1</t>
  </si>
  <si>
    <t>Back Office Operation Expenses</t>
  </si>
  <si>
    <t>DALACCT.3113849309400000214DELIM3113849309400000332</t>
  </si>
  <si>
    <t>SST on Back Office Operation Expenses</t>
  </si>
  <si>
    <t>DALGROUP.3113849309400000332</t>
  </si>
  <si>
    <t>TB Total - Back office expense</t>
  </si>
  <si>
    <t>DALBLANK.3113849309400000332</t>
  </si>
  <si>
    <t>DALACCT.3113849309400000205DELIM3113849309400000333</t>
  </si>
  <si>
    <t>9110.1</t>
  </si>
  <si>
    <t>ELEMENT OF INCOME - REALIZED</t>
  </si>
  <si>
    <t>DALGROUP.3113849309400000333</t>
  </si>
  <si>
    <t>TB Total - Realized Element &amp; CG</t>
  </si>
  <si>
    <t>DALBLANK.3113849309400000333</t>
  </si>
  <si>
    <t>DALACCT.3113849309400000206DELIM3113849309400000334</t>
  </si>
  <si>
    <t>9110.2</t>
  </si>
  <si>
    <t>ELEMENT OF INCOME - UNREALIZED</t>
  </si>
  <si>
    <t>DALGROUP.3113849309400000334</t>
  </si>
  <si>
    <t>TB Total - Unrealized Element &amp; Capital Gain</t>
  </si>
  <si>
    <t>DALBLANK.3113849309400000334</t>
  </si>
  <si>
    <t>DALACCT.3113849309400000255DELIM3113849309400000335</t>
  </si>
  <si>
    <t>9110.3</t>
  </si>
  <si>
    <t>Related parties disclosure</t>
  </si>
  <si>
    <t>DALGROUP.3113849309400000335</t>
  </si>
  <si>
    <t>TB Total - Related parties disclosure</t>
  </si>
  <si>
    <t>DALS_GrandTotal</t>
  </si>
  <si>
    <t>Grand Total</t>
  </si>
  <si>
    <t/>
  </si>
  <si>
    <t xml:space="preserve"> </t>
  </si>
  <si>
    <t>AA+</t>
  </si>
  <si>
    <t>AA</t>
  </si>
  <si>
    <t>A</t>
  </si>
  <si>
    <t>A+</t>
  </si>
  <si>
    <t>A-</t>
  </si>
  <si>
    <t>AAA</t>
  </si>
  <si>
    <t>010300300001</t>
  </si>
  <si>
    <t>010300300002</t>
  </si>
  <si>
    <t>010300300003</t>
  </si>
  <si>
    <t>010300900001</t>
  </si>
  <si>
    <t>010300900002</t>
  </si>
  <si>
    <t>010300900003</t>
  </si>
  <si>
    <t>010300900009</t>
  </si>
  <si>
    <t>010301300001</t>
  </si>
  <si>
    <t>010301300002</t>
  </si>
  <si>
    <t>010301300003</t>
  </si>
  <si>
    <t>010200100001</t>
  </si>
  <si>
    <t>Total</t>
  </si>
  <si>
    <t>010602200001</t>
  </si>
  <si>
    <t>010500100001</t>
  </si>
  <si>
    <t>010500200001</t>
  </si>
  <si>
    <t>010600200001</t>
  </si>
  <si>
    <t>010600400001</t>
  </si>
  <si>
    <t>010602300001</t>
  </si>
  <si>
    <t>010601100001</t>
  </si>
  <si>
    <t>010601100005</t>
  </si>
  <si>
    <t>010601100014</t>
  </si>
  <si>
    <t>010601100015</t>
  </si>
  <si>
    <t>010601100017</t>
  </si>
  <si>
    <t>010601100034</t>
  </si>
  <si>
    <t>010601100072</t>
  </si>
  <si>
    <t>010601100075</t>
  </si>
  <si>
    <t>010601100077</t>
  </si>
  <si>
    <t>010601100079</t>
  </si>
  <si>
    <t>010601100080</t>
  </si>
  <si>
    <t>010601100082</t>
  </si>
  <si>
    <t>010601200001</t>
  </si>
  <si>
    <t>010601300001</t>
  </si>
  <si>
    <t>010601500001</t>
  </si>
  <si>
    <t>010601600001</t>
  </si>
  <si>
    <t>01110090009</t>
  </si>
  <si>
    <t>010600100001</t>
  </si>
  <si>
    <t>010600300006</t>
  </si>
  <si>
    <t>010600300009</t>
  </si>
  <si>
    <t>010600300010</t>
  </si>
  <si>
    <t>010700200001</t>
  </si>
  <si>
    <t>010700300001</t>
  </si>
  <si>
    <t>010700400002</t>
  </si>
  <si>
    <t>010700500001</t>
  </si>
  <si>
    <t>010700500003</t>
  </si>
  <si>
    <t>010700600001</t>
  </si>
  <si>
    <t>010700700001</t>
  </si>
  <si>
    <t>010700700005</t>
  </si>
  <si>
    <t>010700700006</t>
  </si>
  <si>
    <t>010700700008</t>
  </si>
  <si>
    <t>010700700009</t>
  </si>
  <si>
    <t>010700800001</t>
  </si>
  <si>
    <t>01070110009</t>
  </si>
  <si>
    <t>030100100001</t>
  </si>
  <si>
    <t>030100600001</t>
  </si>
  <si>
    <t>030100200001</t>
  </si>
  <si>
    <t>030100900001</t>
  </si>
  <si>
    <t>031200100001</t>
  </si>
  <si>
    <t>030100800001</t>
  </si>
  <si>
    <t>030200100001</t>
  </si>
  <si>
    <t>030400100001</t>
  </si>
  <si>
    <t>030700100001</t>
  </si>
  <si>
    <t>030100700001</t>
  </si>
  <si>
    <t>030500100001</t>
  </si>
  <si>
    <t>030900100001</t>
  </si>
  <si>
    <t>031000400002</t>
  </si>
  <si>
    <t>031000500001</t>
  </si>
  <si>
    <t>031000500003</t>
  </si>
  <si>
    <t>031000600001</t>
  </si>
  <si>
    <t>031000700001</t>
  </si>
  <si>
    <t>031000800001</t>
  </si>
  <si>
    <t>031000900002</t>
  </si>
  <si>
    <t>031001200001</t>
  </si>
  <si>
    <t>031001600001</t>
  </si>
  <si>
    <t>031001700001</t>
  </si>
  <si>
    <t>031001900001</t>
  </si>
  <si>
    <t>040100100001</t>
  </si>
  <si>
    <t>040100200001</t>
  </si>
  <si>
    <t>040100300001</t>
  </si>
  <si>
    <t>040100400001</t>
  </si>
  <si>
    <t>040101000001</t>
  </si>
  <si>
    <t>040101400001</t>
  </si>
  <si>
    <t>040101600001</t>
  </si>
  <si>
    <t>040200100001</t>
  </si>
  <si>
    <t>040200100005</t>
  </si>
  <si>
    <t>040200100014</t>
  </si>
  <si>
    <t>040200100015</t>
  </si>
  <si>
    <t>040200100017</t>
  </si>
  <si>
    <t>040200100069</t>
  </si>
  <si>
    <t>040200100072</t>
  </si>
  <si>
    <t>040200100075</t>
  </si>
  <si>
    <t>040200100077</t>
  </si>
  <si>
    <t>040200100078</t>
  </si>
  <si>
    <t>040200100079</t>
  </si>
  <si>
    <t>040200200001</t>
  </si>
  <si>
    <t>040200300001</t>
  </si>
  <si>
    <t>040200300002</t>
  </si>
  <si>
    <t>040200400001</t>
  </si>
  <si>
    <t>040201400001</t>
  </si>
  <si>
    <t>040201500002</t>
  </si>
  <si>
    <t>040201600001</t>
  </si>
  <si>
    <t>040202100001</t>
  </si>
  <si>
    <t>040300100001</t>
  </si>
  <si>
    <t>04080090009</t>
  </si>
  <si>
    <t>050400200001</t>
  </si>
  <si>
    <t>040300300001</t>
  </si>
  <si>
    <t>050100100001</t>
  </si>
  <si>
    <t>050100100002</t>
  </si>
  <si>
    <t>050100100003</t>
  </si>
  <si>
    <t>050100200001</t>
  </si>
  <si>
    <t>050100200002</t>
  </si>
  <si>
    <t>050100300001</t>
  </si>
  <si>
    <t>050100500001</t>
  </si>
  <si>
    <t>050100500002</t>
  </si>
  <si>
    <t>050200100001</t>
  </si>
  <si>
    <t>050200100002</t>
  </si>
  <si>
    <t>050200300001</t>
  </si>
  <si>
    <t>050200300003</t>
  </si>
  <si>
    <t>05020050001</t>
  </si>
  <si>
    <t>050500100001</t>
  </si>
  <si>
    <t>050600100001</t>
  </si>
  <si>
    <t>050600100002</t>
  </si>
  <si>
    <t>050600200001</t>
  </si>
  <si>
    <t>050600300006</t>
  </si>
  <si>
    <t>050600300009</t>
  </si>
  <si>
    <t>050600300010</t>
  </si>
  <si>
    <t>050700100001</t>
  </si>
  <si>
    <t>040400100001</t>
  </si>
  <si>
    <t>040400200001</t>
  </si>
  <si>
    <t>020100100001</t>
  </si>
  <si>
    <t>020100200001</t>
  </si>
  <si>
    <t>020100300001</t>
  </si>
  <si>
    <t>020100400001</t>
  </si>
  <si>
    <t>020200100001</t>
  </si>
  <si>
    <t>020200200001</t>
  </si>
  <si>
    <t>020400400001</t>
  </si>
  <si>
    <t>020500100001</t>
  </si>
  <si>
    <t>PAKISTAN INCOME FUND</t>
  </si>
  <si>
    <t>2019</t>
  </si>
  <si>
    <t>Note</t>
  </si>
  <si>
    <t>ASSETS</t>
  </si>
  <si>
    <t>Cash and Bank</t>
  </si>
  <si>
    <t>Bank balances</t>
  </si>
  <si>
    <t>Bank recons</t>
  </si>
  <si>
    <t xml:space="preserve">Investments </t>
  </si>
  <si>
    <t>Receivable against margin trading system</t>
  </si>
  <si>
    <t>Profit receivable</t>
  </si>
  <si>
    <t>Profit rates for footnote</t>
  </si>
  <si>
    <t>Advances, deposits, prepayments and other receivables</t>
  </si>
  <si>
    <t>Total Assets</t>
  </si>
  <si>
    <t>Investment</t>
  </si>
  <si>
    <t>MTM done</t>
  </si>
  <si>
    <t>LIABILITIES</t>
  </si>
  <si>
    <t>WAC is done</t>
  </si>
  <si>
    <t>CDC Recon</t>
  </si>
  <si>
    <t>Impairment movement</t>
  </si>
  <si>
    <t>TOCs</t>
  </si>
  <si>
    <t>Payable to the Securities and Exchange Commission of Pakistan</t>
  </si>
  <si>
    <t>Payable against redemption of units</t>
  </si>
  <si>
    <t>Accrued expenses and other liabilities</t>
  </si>
  <si>
    <t>Total liabilities</t>
  </si>
  <si>
    <t>NET ASSETS</t>
  </si>
  <si>
    <t>UNIT HOLDERS' FUND (AS PER STATEMENT ATTACHED)</t>
  </si>
  <si>
    <t>CONTINGENCIES AND COMMITMENTS</t>
  </si>
  <si>
    <t xml:space="preserve">NUMBER OF UNITS IN ISSUE </t>
  </si>
  <si>
    <t>(Rupees)</t>
  </si>
  <si>
    <t>FACE VALUE PER UNIT</t>
  </si>
  <si>
    <t>INCOME</t>
  </si>
  <si>
    <t>at fair value through profit or loss - net</t>
  </si>
  <si>
    <t>Dividend income</t>
  </si>
  <si>
    <t>Reversal of provision against Workers' Welfare Fund</t>
  </si>
  <si>
    <t>Other income</t>
  </si>
  <si>
    <t>Total income</t>
  </si>
  <si>
    <t>Sindh sales tax on remuneration of the Management Company</t>
  </si>
  <si>
    <t>Sindh sales tax on remuneration of the Trustee</t>
  </si>
  <si>
    <t>Brokerage expense</t>
  </si>
  <si>
    <t>Legal, professional and other charges</t>
  </si>
  <si>
    <t>Settlement and bank charges</t>
  </si>
  <si>
    <t>Fees and subscription</t>
  </si>
  <si>
    <t xml:space="preserve">Auditors' remuneration </t>
  </si>
  <si>
    <t>Provision against Sindh Workers' Welfare Fund</t>
  </si>
  <si>
    <t>Provision against non-performing investments - net</t>
  </si>
  <si>
    <t>Printing and related costs</t>
  </si>
  <si>
    <t>Total operating expenses</t>
  </si>
  <si>
    <t>Net income for the year before Element of (loss) / income and capital (losses) /</t>
  </si>
  <si>
    <t>gains included in the prices of units issued less those in units redeemed</t>
  </si>
  <si>
    <t>Element of loss and capital losses included in prices of units issued</t>
  </si>
  <si>
    <t xml:space="preserve">less those in units redeemed - net </t>
  </si>
  <si>
    <t>- arising from realised / unrealised gains / (losses)</t>
  </si>
  <si>
    <t>- arising from other income</t>
  </si>
  <si>
    <t>Taxation</t>
  </si>
  <si>
    <t>Earnings per unit</t>
  </si>
  <si>
    <t>Income already paid on units redeemed</t>
  </si>
  <si>
    <t>Accounting income available for distribution</t>
  </si>
  <si>
    <t>- Relating to capital gains</t>
  </si>
  <si>
    <t>- Excluding capital gains</t>
  </si>
  <si>
    <t xml:space="preserve">Items that are or may be reclassified subsequently to the income statement </t>
  </si>
  <si>
    <t>June 30</t>
  </si>
  <si>
    <t>2006</t>
  </si>
  <si>
    <t>Issue of 2,778,529 units (2016: 5,016,273 units) representing:</t>
  </si>
  <si>
    <t>Particulars</t>
  </si>
  <si>
    <t>Capital Value</t>
  </si>
  <si>
    <t>Undistributed income</t>
  </si>
  <si>
    <t>Opening</t>
  </si>
  <si>
    <t>Closing</t>
  </si>
  <si>
    <t>Actual proceeds on redemption</t>
  </si>
  <si>
    <t>- Element of income</t>
  </si>
  <si>
    <t>Element as perus</t>
  </si>
  <si>
    <t xml:space="preserve">Element of income / (loss) and capital gains  / (losses) included in prices </t>
  </si>
  <si>
    <t>of units issued less those in units redeemed - net</t>
  </si>
  <si>
    <t>Distributions during the year</t>
  </si>
  <si>
    <t xml:space="preserve"> - Realised </t>
  </si>
  <si>
    <t xml:space="preserve"> - Unrealised </t>
  </si>
  <si>
    <t>The income of the Fund is exempt from income tax under clause 99 of Part I to the Second Schedule of the Income Tax Ordinance, 2001 subject to the condition that not less than 90 percent of its accounting income for the period, as reduced by capital gains, whether realised or unrealised, is distributed amongst the unitholders. Accordingly, the Fund has not recorded a tax liability in respect of  income relating to the current period as the Fund intends to avail this exemption.</t>
  </si>
  <si>
    <t>CASH FLOWS FROM OPERATING ACTIVITIES</t>
  </si>
  <si>
    <t>Adjustments for:</t>
  </si>
  <si>
    <t>Unrealised appreciation on re-measurement of investments</t>
  </si>
  <si>
    <t>Increase / (decrease) in liabilities</t>
  </si>
  <si>
    <t>=-SAL!I9+IS!F10-IS!F36+OCI!F14</t>
  </si>
  <si>
    <t>CASH FLOWS FROM FINANCING ACTIVITIES</t>
  </si>
  <si>
    <t>Amount received against issuance of units</t>
  </si>
  <si>
    <t>Amount paid against redemption of units</t>
  </si>
  <si>
    <t>Distributions made during the year</t>
  </si>
  <si>
    <t>NOTES TO AND FORMING PART OF THE FINANCIAL STATEMENTS</t>
  </si>
  <si>
    <t>1.</t>
  </si>
  <si>
    <t>LEGAL STATUS AND NATURE OF BUSINESS</t>
  </si>
  <si>
    <t>Pakistan Income Fund (the Fund) was established under a Trust Deed executed between MCB - Arif Habib Savings and Investments Limited as Management Company and Central Depository Company of Pakistan Limited (CDC) as Trustee. The Trust Deed was executed on October 23, 2001 and was approved by the Securities and Exchange Commission of Pakistan (SECP) on February 28, 2002 in accordance with the Asset Management Companies Rules, 1995 (AMC Rules) repealed by the Non-Banking Finance Companies (Establishment and Regulation) Rules, 2003 (NBFC Rules).</t>
  </si>
  <si>
    <t>The Fund primarily invests in money market and other short-term placements/instruments which include short-term corporate debt, government securities, margin trading system transactions and spread transactions. The Fund may also invest a portion of its assets under management in medium term assets in order to provide higher return to the unit holders.</t>
  </si>
  <si>
    <t>The Management Company of the Fund has been licensed to act as an Asset Management Company</t>
  </si>
  <si>
    <t>end, Management Company has shifted its registered office to 24th Floor, Centre point, Off</t>
  </si>
  <si>
    <t>City Corporate Tower, Hasrat Mohani Road, Karachi.)</t>
  </si>
  <si>
    <t>The title to the assets of the Fund is held in the name of Central Depository Company of Pakistan Limited as Trustee of the Fund.</t>
  </si>
  <si>
    <t>-</t>
  </si>
  <si>
    <t>Functional and presentation currency</t>
  </si>
  <si>
    <t>Financial assets</t>
  </si>
  <si>
    <t>Pending</t>
  </si>
  <si>
    <t>BANK BALANCES</t>
  </si>
  <si>
    <t>In current accounts</t>
  </si>
  <si>
    <t xml:space="preserve">INVESTMENTS </t>
  </si>
  <si>
    <t>Financial assets 'at fair value through profit or loss' - net</t>
  </si>
  <si>
    <t>Government securities</t>
  </si>
  <si>
    <t>3 months</t>
  </si>
  <si>
    <t>More than 1</t>
  </si>
  <si>
    <t>Term deposit receipts</t>
  </si>
  <si>
    <t>5.1.1</t>
  </si>
  <si>
    <t>Government securities - market treasury bills</t>
  </si>
  <si>
    <t>Issue Date</t>
  </si>
  <si>
    <t>Face value</t>
  </si>
  <si>
    <t>Carrying value as at June 30, 2019</t>
  </si>
  <si>
    <t>Market value as at June 30, 2019</t>
  </si>
  <si>
    <t>Market value as a percentage of net assets</t>
  </si>
  <si>
    <t>Market value as a percentage of total investments</t>
  </si>
  <si>
    <t>As at  July 1, 2018</t>
  </si>
  <si>
    <t>Purchased  during  the year</t>
  </si>
  <si>
    <t>Sold during the year</t>
  </si>
  <si>
    <t>Matured during the year</t>
  </si>
  <si>
    <t>As at June 30, 2019</t>
  </si>
  <si>
    <t>------(Rupees in '000)------</t>
  </si>
  <si>
    <t>%</t>
  </si>
  <si>
    <t>Treasury bills - 3 months</t>
  </si>
  <si>
    <t>Treasury bills - 6 months</t>
  </si>
  <si>
    <t>Issue date</t>
  </si>
  <si>
    <t>Unrealised appreciation/(diminution) as at June 30, 2019</t>
  </si>
  <si>
    <t>Pakistan Investment Bond - 10 years</t>
  </si>
  <si>
    <t>Market value as at June 30</t>
  </si>
  <si>
    <t>Less: Provision as at July 1</t>
  </si>
  <si>
    <t>- Pace Pakistan Limited</t>
  </si>
  <si>
    <t>- Telecard Limited</t>
  </si>
  <si>
    <t>- Trust Investment Bank Limited</t>
  </si>
  <si>
    <t>Less: Provision charged during the year</t>
  </si>
  <si>
    <t>- Reversal against carrying value matured</t>
  </si>
  <si>
    <t>- Charge against face value receivable</t>
  </si>
  <si>
    <t>Listed debt securities - Term finance certificates</t>
  </si>
  <si>
    <t>Certificates have a face value of Rs 5,000 each unless stated otherwise</t>
  </si>
  <si>
    <t>Name of investee company</t>
  </si>
  <si>
    <t>Number of certificates</t>
  </si>
  <si>
    <t>Investment as a percentage of total issue size</t>
  </si>
  <si>
    <t>TFC</t>
  </si>
  <si>
    <t>Miscellaneous</t>
  </si>
  <si>
    <t>Technology &amp; Communication</t>
  </si>
  <si>
    <t>Name of the Issuer</t>
  </si>
  <si>
    <t>Mark-up rate (per annum)</t>
  </si>
  <si>
    <t>Maturity date</t>
  </si>
  <si>
    <t>Rating</t>
  </si>
  <si>
    <t>6 months KIBOR + 1.25%</t>
  </si>
  <si>
    <t>Investment Banks / Investment Companies / Securities Companies</t>
  </si>
  <si>
    <t>Trust Investment Bank Limited</t>
  </si>
  <si>
    <t>6 months KIBOR + 1.85%</t>
  </si>
  <si>
    <t>04-Jul-08</t>
  </si>
  <si>
    <t>04-Jul-13</t>
  </si>
  <si>
    <t>B</t>
  </si>
  <si>
    <t>Pace Pakistan Limited</t>
  </si>
  <si>
    <t>6 months KIBOR + 2.00%</t>
  </si>
  <si>
    <t>15-Feb-08</t>
  </si>
  <si>
    <t>15-Feb-17</t>
  </si>
  <si>
    <t>Not rated</t>
  </si>
  <si>
    <t>Telecard Limited</t>
  </si>
  <si>
    <t>6 months KIBOR + 3.75%</t>
  </si>
  <si>
    <t>27-May-05</t>
  </si>
  <si>
    <t>31-Dec-20</t>
  </si>
  <si>
    <t>BBB</t>
  </si>
  <si>
    <t xml:space="preserve">Certificates have a face value of Rs 5,000 each </t>
  </si>
  <si>
    <t>Commercial Banks</t>
  </si>
  <si>
    <t>More than 5 years</t>
  </si>
  <si>
    <t>Unlisted</t>
  </si>
  <si>
    <t>Jahangir Siddiqui &amp; Company Limited</t>
  </si>
  <si>
    <t>AA-</t>
  </si>
  <si>
    <t>6 months KIBOR + 1.40%</t>
  </si>
  <si>
    <t>6-Mar-18</t>
  </si>
  <si>
    <t xml:space="preserve">Certificates have a face value of Rs 100,000 each </t>
  </si>
  <si>
    <t xml:space="preserve">SUKUK </t>
  </si>
  <si>
    <t>3 months KIBOR + 1.00%</t>
  </si>
  <si>
    <t>Unlisted debt securities - Sukuk certificates</t>
  </si>
  <si>
    <t>Chemical</t>
  </si>
  <si>
    <t>Oil and Gas</t>
  </si>
  <si>
    <t>18-1-22</t>
  </si>
  <si>
    <t>Fertilizer</t>
  </si>
  <si>
    <t>2-Feb-17</t>
  </si>
  <si>
    <t>3 months KIBOR + 1.05%</t>
  </si>
  <si>
    <t>18-Jan-17</t>
  </si>
  <si>
    <t>12 months KIBOR + 0.50%</t>
  </si>
  <si>
    <t>15-Nov-17</t>
  </si>
  <si>
    <t>United Bank Limited</t>
  </si>
  <si>
    <t>Byco Petroleum Pakistan Limited</t>
  </si>
  <si>
    <t>Nishat Mills Limited</t>
  </si>
  <si>
    <t>The cost of investments in listed equity securities as at June 30, 2019 is Nil (2018: Nil).</t>
  </si>
  <si>
    <t>The movement in equity securities represents spread transactions entered into by the Fund. The Fund purchases equity securities in ready settlement market and sells them in future settlement market earning income on spread transactions due to difference in ready and future stock prices.</t>
  </si>
  <si>
    <t>Government securities - Pakistan investment bonds- Available for Sale</t>
  </si>
  <si>
    <t>(Issue 31-05-18)</t>
  </si>
  <si>
    <t>The cost of investments as at June 30, 2019 amounts to Rs 8.127 million (2018: Rs 8.127 million). These securities are held in the IPS account of Habib Metropolitan Bank Limited maintained with the State Bank of Pakistan. These carry profit at the rate of 12% (2018: 12%) per annum and will mature on August 30, 2018 (2018: August 30, 2018).</t>
  </si>
  <si>
    <t>classified as available for sale - net</t>
  </si>
  <si>
    <t>Less: carrying value as at June 30, 2019</t>
  </si>
  <si>
    <t>Less: unrealised diminution on re-measurement of investments classified</t>
  </si>
  <si>
    <t>as available for sale as at July 1, 2018</t>
  </si>
  <si>
    <t>This carries profit at the rate of 6.75% (2016: Nil) per annum and is due to mature on September 28, 2017. At June 30, 2017, TDR represented 8.70% (2016: Nil) of the total net assets of the Fund.</t>
  </si>
  <si>
    <t>These carried mark-up at rates ranging from 6.18% to 6.75% per annum and were due to mature by September 28, 2017.</t>
  </si>
  <si>
    <t>The Securities and Exchange Commission of Pakistan (SECP), vide its circular no. 16 dated July 7, 2010 has prescribed certain disclosures for non-compliances, either with the minimum investment criteria specified for the category assigned to the collective investment schemes or with the investment requirements of their constitutive documents.</t>
  </si>
  <si>
    <t>Name of non-compliant investments</t>
  </si>
  <si>
    <t>Type of Instrument</t>
  </si>
  <si>
    <t>Value of Investment before provision</t>
  </si>
  <si>
    <t>Provision held if any</t>
  </si>
  <si>
    <t>Value of Investment after provision</t>
  </si>
  <si>
    <t>% of net assets</t>
  </si>
  <si>
    <t>% of gross assets</t>
  </si>
  <si>
    <t>6.</t>
  </si>
  <si>
    <t>PROFIT RECEIVABLE</t>
  </si>
  <si>
    <t>Profit receivable on:</t>
  </si>
  <si>
    <t>Term finance certificates</t>
  </si>
  <si>
    <t>7.</t>
  </si>
  <si>
    <t>ADVANCES, DEPOSITS, PREPAYMENTS AND OTHER RECEIVABLES</t>
  </si>
  <si>
    <t>Advance tax</t>
  </si>
  <si>
    <t>Security deposit with National Clearing Company of Pakistan Limited</t>
  </si>
  <si>
    <t>Security deposit with Central Depository Company of Pakistan Limited</t>
  </si>
  <si>
    <t>Advance against IPO subscription</t>
  </si>
  <si>
    <t>MTS report as at and during the year. Sample on During the year.</t>
  </si>
  <si>
    <t>Security Deposits Against MTS</t>
  </si>
  <si>
    <t>Prepayments</t>
  </si>
  <si>
    <t>Others</t>
  </si>
  <si>
    <t>8.</t>
  </si>
  <si>
    <t>Management remuneration payable</t>
  </si>
  <si>
    <t>Sindh sales tax payable on management remuneration</t>
  </si>
  <si>
    <t>Sales load payable</t>
  </si>
  <si>
    <t>Total allocated + ST</t>
  </si>
  <si>
    <t>Payable</t>
  </si>
  <si>
    <t>Sales Tax</t>
  </si>
  <si>
    <t>Payable against allocated expenses</t>
  </si>
  <si>
    <t>The management from May 1, 2018 charges a fee of 10% of the gross income of the fund calculated on a daily basis, not exceeding 1.5% of the average net assets of the fund (as required by the relevant regulations) nor lower than 0.25% of the same. Previously till April 30, 2018 the fee was 1.5% of the average net assets of the fund. The change was made through an ammendment in offering document which was approved by the SECP on April 25, 2018. The remuneration is paid to the Management Company on a monthly basis in arrears.</t>
  </si>
  <si>
    <t>9.</t>
  </si>
  <si>
    <t>Trustee remuneration payable</t>
  </si>
  <si>
    <t>Net Assets Value (NAV)</t>
  </si>
  <si>
    <t>Tariff per annum</t>
  </si>
  <si>
    <t>Up to Rs 1,000 million</t>
  </si>
  <si>
    <t>Rs 1.7 million plus 0.085% per annum of net assets exceeding Rs. 1,000 million.</t>
  </si>
  <si>
    <t>10.</t>
  </si>
  <si>
    <t>Annual fee payable to the SECP</t>
  </si>
  <si>
    <t>ACCRUED EXPENSES AND OTHER LIABILITIES</t>
  </si>
  <si>
    <t>Legal and professional charges</t>
  </si>
  <si>
    <t>Withholding tax on capital gains</t>
  </si>
  <si>
    <t>Auditors' remuneration</t>
  </si>
  <si>
    <t>Brokerage</t>
  </si>
  <si>
    <t>Sindh sales tax payable on allocated expenses</t>
  </si>
  <si>
    <t xml:space="preserve">Had the provision for SWWF not been recorded in the financial statements of the Fund, the net asset value of the Fund as at June 30, 2019 would have been higher by Re 0.1579 per unit (2018: Re 0.1579). </t>
  </si>
  <si>
    <t>Through the Finance Act 2015, the definition of Industrial Establishment is amended to exclude the mutual funds and collective investment schemes. The</t>
  </si>
  <si>
    <t>management is of the view that since the change is brought in the definition it would be effective from 01 July 2015. Accordingly the provision for WWF</t>
  </si>
  <si>
    <t>Commitments</t>
  </si>
  <si>
    <t>TOTAL EXPENSE RATIO</t>
  </si>
  <si>
    <t>TAXATION</t>
  </si>
  <si>
    <t>note 16 to the annual financial statements of the Fund for the year ended June 30, 2015. Since the matter is pending adjudication, the fund has retained a</t>
  </si>
  <si>
    <t>provision for WWF up to 30 June 2015 amounting to Rs. xxx millions. Had the provision not been made, the net asset value per unit of the Fund would</t>
  </si>
  <si>
    <t>TRANSACTIONS WITH CONNECTED PERSONS / RELATED PARTIES</t>
  </si>
  <si>
    <t>Related parties / connected persons of the Fund include MCB-Arif Habib Savings and Investments Limited (being the Management Company) and its related entities, the Central Depository Company of Pakistan Limited (being the Trustee of the Fund), other collective investment schemes and pension schemes managed by the Management Company, any entity in which the Management Company, its CISs or their connected persons have material interest, any person or trust beneficially owning (directly or indirectly) ten percent or more of the capital of the Management Company or the net assets of the Fund and directors and their close family members, key management personnel and officers of the Management Company.</t>
  </si>
  <si>
    <t>Transactions with related parties / connected persons are in the normal course of business, at contracted rates and terms determined in accordance with market rates.</t>
  </si>
  <si>
    <t>Remuneration of the Management Company and the Trustee is determined in accordance with the provisions of the NBFC Regulations, 2008 and the Trust Deed respectively.</t>
  </si>
  <si>
    <t>The details of transactions carried out by the Fund with connected persons / related parties and balances with them at the year end are as follows:</t>
  </si>
  <si>
    <t>Details of transactions with related parties / connected persons during the year</t>
  </si>
  <si>
    <t>MCB-Arif Habib Savings and Investments Limited - Management Company</t>
  </si>
  <si>
    <t>Central Depository Company of Pakistan Limited - Trustee</t>
  </si>
  <si>
    <t>CDS charges</t>
  </si>
  <si>
    <t>MCB Bank Limited - Parent of the Management Company</t>
  </si>
  <si>
    <t>Bank charges</t>
  </si>
  <si>
    <t>Mandate under discretionary portfolio</t>
  </si>
  <si>
    <t>Directors and Executives of the Management Company</t>
  </si>
  <si>
    <t>Details of balances with related parties / connected persons as at year end</t>
  </si>
  <si>
    <t>Sindh sales tax payable on Trustee remuneration</t>
  </si>
  <si>
    <t>Security deposit</t>
  </si>
  <si>
    <t>Bank balance</t>
  </si>
  <si>
    <t>Directors and key management personnel of the Management Company</t>
  </si>
  <si>
    <t>The amount disclosed represents the amount of brokerage expense or brokerage payable to connected persons and not the purchase or sale value of securities transacted through them as the ultimate counter parties are not connected persons.</t>
  </si>
  <si>
    <t>June 30, 2019</t>
  </si>
  <si>
    <t>Advances, deposits and other receivables</t>
  </si>
  <si>
    <t>June 30, 2018</t>
  </si>
  <si>
    <t>Market risk</t>
  </si>
  <si>
    <t xml:space="preserve">Market risk comprises of three types of risk: currency risk, interest rate risk and price risk. </t>
  </si>
  <si>
    <t>Currency risk</t>
  </si>
  <si>
    <t>Yield / Interest rate risk</t>
  </si>
  <si>
    <t>-------------Rupees-------------</t>
  </si>
  <si>
    <t>Variable rate instrument (financial asset)</t>
  </si>
  <si>
    <t>5.1.2 &amp; 5.1.3</t>
  </si>
  <si>
    <t>5.1.4 &amp; 5.1.5</t>
  </si>
  <si>
    <t>Fixed rate instruments (financial assets)</t>
  </si>
  <si>
    <t>a)</t>
  </si>
  <si>
    <t>Sensitivity analysis for variable rate instrument</t>
  </si>
  <si>
    <t>b)</t>
  </si>
  <si>
    <t>Fair value sensitivity analysis for fixed rate instruments</t>
  </si>
  <si>
    <t>As at June 30, 2019, the Fund holds market treasury bills and Pakistan investment Bonds which are classified as financial assets at fair value through profit or loss and available for sale exposing the Fund to fair value interest rate risk. In case of 100 basis points increase in interest rates announced by the Financial Markets Association of Pakistan for market treasury bills and with all other variables held constant, the net income / loss for the year and net assets of the fund would have been lower / higher by Rs 0.35 million (2018: Rs 0.35 million) and other comprehensive income / loss would have been lower / higher by Rs 0.07 million (2018: Rs 0.07 million). In case of 100 basis points decrease in those rates, the net income / loss for the year and net assets of the Fund would have been higher / lower by Rs. 2.00 million (2018: Rs. 2.00 million) and other comprehensive income / loss would have been higher / lower by Rs 0.07 million (2018: Rs 0.07 million).</t>
  </si>
  <si>
    <t xml:space="preserve">The composition of the Fund's investment portfolio, KIBOR rates and the rates announced by the Financial Markets Association of Pakistan are expected to change over time. Accordingly, the sensitivity analysis prepared as of June 30, 2019 is not necessarily indicative of the impact on the Fund's net assets of future movements in interest rates. </t>
  </si>
  <si>
    <t>Effective yield / interest rate</t>
  </si>
  <si>
    <t>Exposed to yield / interest risk</t>
  </si>
  <si>
    <t>Not exposed to yield / interest rate risk</t>
  </si>
  <si>
    <t xml:space="preserve">Total </t>
  </si>
  <si>
    <t xml:space="preserve">Upto three months </t>
  </si>
  <si>
    <t xml:space="preserve">More than three months and up to one year </t>
  </si>
  <si>
    <t xml:space="preserve">More than one year </t>
  </si>
  <si>
    <t>----------------------------------------------- (Rupees in '000) ----------------------------------------------</t>
  </si>
  <si>
    <t>On-balance sheet financial instruments</t>
  </si>
  <si>
    <t>Sub total</t>
  </si>
  <si>
    <t xml:space="preserve">Financial liabilities </t>
  </si>
  <si>
    <t>On-balance sheet gap</t>
  </si>
  <si>
    <t>Total interest rate sensitivity gap</t>
  </si>
  <si>
    <t>Cumulative interest rate sensitivity gap</t>
  </si>
  <si>
    <t>As at June 30, 2018</t>
  </si>
  <si>
    <t xml:space="preserve">More than three months and upto one year </t>
  </si>
  <si>
    <t>Sub Total</t>
  </si>
  <si>
    <t>Price risk</t>
  </si>
  <si>
    <t>Credit risk</t>
  </si>
  <si>
    <t>Balance as per statement of assets and liabilities</t>
  </si>
  <si>
    <t>Maximum exposure</t>
  </si>
  <si>
    <t>Rupees in '000</t>
  </si>
  <si>
    <t xml:space="preserve">Concentration of credit risk </t>
  </si>
  <si>
    <t>Commercial banks</t>
  </si>
  <si>
    <t xml:space="preserve">Oil &amp; gas </t>
  </si>
  <si>
    <t xml:space="preserve">Chemicals </t>
  </si>
  <si>
    <t>Unlisted TFC</t>
  </si>
  <si>
    <t>Investment Banks / Investment Companies and Securities Companies</t>
  </si>
  <si>
    <t>Inv</t>
  </si>
  <si>
    <t>JS co. Unlisted TFC</t>
  </si>
  <si>
    <t>National Clearing Company of Pakistan Limited</t>
  </si>
  <si>
    <t>Misc</t>
  </si>
  <si>
    <t>Listed TFC</t>
  </si>
  <si>
    <t>Central Depository Company of Pakistan Limited</t>
  </si>
  <si>
    <t>nccpl</t>
  </si>
  <si>
    <t>Prof rec on bank bal</t>
  </si>
  <si>
    <t>proft rec on TFC</t>
  </si>
  <si>
    <t>cdc</t>
  </si>
  <si>
    <t>BOP pre ipo</t>
  </si>
  <si>
    <t>Gov</t>
  </si>
  <si>
    <t>Liquidity risk</t>
  </si>
  <si>
    <t>Within</t>
  </si>
  <si>
    <t xml:space="preserve">More than </t>
  </si>
  <si>
    <t>1 month</t>
  </si>
  <si>
    <t>months</t>
  </si>
  <si>
    <t>years</t>
  </si>
  <si>
    <t xml:space="preserve"> 5 years</t>
  </si>
  <si>
    <t>---------------------------------------------- Rupees in '000 ------------------------------------------------</t>
  </si>
  <si>
    <t>Net assets</t>
  </si>
  <si>
    <t>Level 1</t>
  </si>
  <si>
    <t>Level 2</t>
  </si>
  <si>
    <t>Level 3</t>
  </si>
  <si>
    <t>Unit Holders' Fund risk management</t>
  </si>
  <si>
    <t>S.No.</t>
  </si>
  <si>
    <t>Designation</t>
  </si>
  <si>
    <t>Experience in years</t>
  </si>
  <si>
    <t>Qualification</t>
  </si>
  <si>
    <t>Muhammad Saqib Saleem</t>
  </si>
  <si>
    <t>Chief Executive Officer</t>
  </si>
  <si>
    <t>FCA &amp; FCCA</t>
  </si>
  <si>
    <t>MBA  &amp; CFA</t>
  </si>
  <si>
    <t xml:space="preserve">                         MBA  </t>
  </si>
  <si>
    <t xml:space="preserve">MBA  &amp; CFA </t>
  </si>
  <si>
    <t>B com, Masters &amp; Economics - I</t>
  </si>
  <si>
    <t>TRANSACTIONS WITH BROKERS / DEALERS</t>
  </si>
  <si>
    <t>List of top 10 brokers by percentage of commission charged during the year ended June 30, 2019.</t>
  </si>
  <si>
    <t>Percentage</t>
  </si>
  <si>
    <t>Following is the holding patterns of the Fund as at June 30, 2019 and June 30, 2018.</t>
  </si>
  <si>
    <t>Category</t>
  </si>
  <si>
    <t>Number of unit holders</t>
  </si>
  <si>
    <t>Number of units held</t>
  </si>
  <si>
    <t>Net assets value of the amount invested</t>
  </si>
  <si>
    <t>Percentage of total investment</t>
  </si>
  <si>
    <t>ATTENDANCE AT THE MEETINGS OF THE BOARD OF DIRECTORS OF THE MANAGEMENT COMPANY</t>
  </si>
  <si>
    <t>S. No.</t>
  </si>
  <si>
    <t>Number of meetings</t>
  </si>
  <si>
    <t>Meetings not attended</t>
  </si>
  <si>
    <t>Held</t>
  </si>
  <si>
    <t>Attended</t>
  </si>
  <si>
    <t>Leave granted</t>
  </si>
  <si>
    <t>Directors</t>
  </si>
  <si>
    <t>Mian Muhammad Mansha</t>
  </si>
  <si>
    <t>Nasim Beg</t>
  </si>
  <si>
    <t>Ahmed Jahangir</t>
  </si>
  <si>
    <t>Mirza Qamar Beg</t>
  </si>
  <si>
    <t>Haroun Rashid</t>
  </si>
  <si>
    <t>Samad A Habib</t>
  </si>
  <si>
    <t>CORRESPONDING FIGURES</t>
  </si>
  <si>
    <t>25.</t>
  </si>
  <si>
    <t>NON-ADJUSTING EVENTS AFTER REPORTING PERIOD</t>
  </si>
  <si>
    <t>The Board of Directors in its meeting held on July 04, 2019 approved a cash dividend of Rs. 2.5511 per unit for the year ended June 30, 2019. The financial statements of the Fund for the year ended June 30, 2019 do not include the effect of this distribution which will be accounted for in the financial statements of the Fund for the year ending June 30, 2020.</t>
  </si>
  <si>
    <t>GENERAL</t>
  </si>
  <si>
    <t>Figures have been rounded off to the nearest thousand rupees.</t>
  </si>
  <si>
    <t>DATE OF AUTHORISATION FOR ISSUE</t>
  </si>
  <si>
    <t xml:space="preserve">These financial statements were authorised for issue on  ___________________ by the Board of Directors of the Management Company. </t>
  </si>
  <si>
    <t>(Reserved for System Use - Do Not Delete)</t>
  </si>
  <si>
    <t>Owing to continuous default on repayment of coupon by the issuer, the Fund had classified the said investment as non-performing. The Fund has recognised full provision against outstanding principal in accordance with applicable provisioning circular issued by the Securities and Exchange Commission of Pakistan and provisioning policy of the Fund duly approved by the Board of Directors of the Management Company. The Fund has suspended further accrual of mark-up there against.</t>
  </si>
  <si>
    <t>The Bank of Punjab</t>
  </si>
  <si>
    <t>23-Apr-18</t>
  </si>
  <si>
    <t>23-Apr-28</t>
  </si>
  <si>
    <t>WWF Provision</t>
  </si>
  <si>
    <t>Net assets before provision</t>
  </si>
  <si>
    <t>Nav per unit before provision</t>
  </si>
  <si>
    <t>Nav per unit after provision</t>
  </si>
  <si>
    <t>Decrease per unit</t>
  </si>
  <si>
    <t>FED Provision</t>
  </si>
  <si>
    <t xml:space="preserve">Earnings per unit </t>
  </si>
  <si>
    <t>Number of units issued</t>
  </si>
  <si>
    <t>Amount received against issuance</t>
  </si>
  <si>
    <t>Ex NAV</t>
  </si>
  <si>
    <t>Portion of Capital</t>
  </si>
  <si>
    <t>Portion of Element</t>
  </si>
  <si>
    <t>- Amount paid out of element of income</t>
  </si>
  <si>
    <t>------ (Rupees in '000) ------</t>
  </si>
  <si>
    <t>NET ASSETS VALUE PER UNIT</t>
  </si>
  <si>
    <t>Markup on deposits with banks</t>
  </si>
  <si>
    <t>Annual fee of Securities and Exchange Commission of Pakistan</t>
  </si>
  <si>
    <t>June 30,</t>
  </si>
  <si>
    <t>Payable to the Management Company</t>
  </si>
  <si>
    <t>Payable to the Trustee</t>
  </si>
  <si>
    <t>The cost of investments as at June 30, 2019 amounts to Rs 52.714 million (2018: Rs 52.714 million). These carry profit at the rate of 12.01% (2018: 7.68%) per annum and will mature by February 20, 2021 (2018: February 20, 2021).</t>
  </si>
  <si>
    <t>The cost of investments as at June 30, 2019 is Rs. 286.233 million (2019: Rs 276.308 million). These carry profit at 11.58% to 12.30%. (2018: 6.65% to 9.22%) per annum and will mature from 6 March 2023 to 17 March 2026 (2018: 6 March 2023 to 17 March 2026).</t>
  </si>
  <si>
    <t>International Brands Limited</t>
  </si>
  <si>
    <t>Broker Name</t>
  </si>
  <si>
    <t>JS GLOBAL CAPITAL LIMITED</t>
  </si>
  <si>
    <t>INVEST ONE MARKETS PRIVATE</t>
  </si>
  <si>
    <t>CONTINENTAL EXCHANGE PVT.</t>
  </si>
  <si>
    <t>BMA CAPITAL MANAGEMENT LT</t>
  </si>
  <si>
    <t>NEXT CAPITAL LTD</t>
  </si>
  <si>
    <t>BIPL SECURITIES LIMITED</t>
  </si>
  <si>
    <t>Total Amount</t>
  </si>
  <si>
    <t>% of Brokerage</t>
  </si>
  <si>
    <t>Difference in the balance as per the statement of assets and liabilities and maximum exposure is due to the fact that investments in Government securities of Nil (2018: Rs 42.08 million) including profit receivable on such government securities of Nil (2018: Rs 0.30 million) is not exposed to credit risk.</t>
  </si>
  <si>
    <t>Bank Name</t>
  </si>
  <si>
    <t>Allied Bank Limited</t>
  </si>
  <si>
    <t>Over 1 to 3</t>
  </si>
  <si>
    <t>Over 3 to 12</t>
  </si>
  <si>
    <t>Over 1 to 5</t>
  </si>
  <si>
    <t>List of brokers by percentage of commission charged during the year ended June 30, 2019.</t>
  </si>
  <si>
    <t>Syed Salman Shah *</t>
  </si>
  <si>
    <t>* Resigned on June 10, 2019</t>
  </si>
  <si>
    <t>143rd, 145th, 146th, 147th, 149th &amp; 150th</t>
  </si>
  <si>
    <t>Corresponding figures have been re-classified, re-arranged or additionally incorporated in these financial statements, wherever necessary to facilitate comparison and to conform with changes in presentation in the current year. No significant rearrangments or reclassifications were made in these financial statements, other than those resulting from changes as disclosed in the note 3.1.</t>
  </si>
  <si>
    <t>MBA  &amp; CFA</t>
  </si>
  <si>
    <t xml:space="preserve">MBA  &amp; CFA </t>
  </si>
  <si>
    <t xml:space="preserve">MBA  </t>
  </si>
  <si>
    <t>MBA &amp; CFA</t>
  </si>
  <si>
    <t>MBA</t>
  </si>
  <si>
    <t>143rd, 145th, 149th</t>
  </si>
  <si>
    <t>145th, 150th</t>
  </si>
  <si>
    <t>The 143rd, 144th, 145th, 146th, 147th, 148th, 149th and 150th meeting of the Board of Directors were held on August 17, 2018, September 14, 2018, October 22, 2018, October 26, 2018, April 15, 2019, April 19, 2019, June 17, 2019 and June 27, 2019 respectively. Information in respect of attendance by the directors and other persons in the meetings is given below:</t>
  </si>
  <si>
    <t>Chairman</t>
  </si>
  <si>
    <t>Director</t>
  </si>
  <si>
    <t>Sukuk</t>
  </si>
  <si>
    <t>Sukuks</t>
  </si>
  <si>
    <t>As per TB</t>
  </si>
  <si>
    <t>Sukuk certificates</t>
  </si>
  <si>
    <t xml:space="preserve">SECP has allowed vide circular 40 of 2016 to Asset management companies to reimburse the selling &amp; marketing expenses upto 0.4% of the net asset of the fund or actual whichever is lower. Since then the Fund is not accuring Sindh Sales Tax on reimubrsement these charges. Therefore to inline the treatment of both the charges and to make in line with the industry, the Fund's management have decided to reverse the Sindh Sales Tax on back office after taking approval of Audit Committee. </t>
  </si>
  <si>
    <t>Credit risk from balances with banks and financial institutions is managed in accordance with the Fund's policy. Investments of surplus funds are made only with approved counterparties and within credit limits assigned to each counterparty. Counterparty credit limits are approved by the Board of Directors. The limits are set to minimise the concentration of risk and therefore mitigate financial loss through potential counterparty failure.</t>
  </si>
  <si>
    <t>Settlement risk</t>
  </si>
  <si>
    <t>DALACCT.3113849309400000095DELIM3113849309400000272</t>
  </si>
  <si>
    <t>DALACCT.3113849309400000096DELIM3113849309400000272</t>
  </si>
  <si>
    <t>DALACCT.3113849309400000139DELIM3113849309400000293</t>
  </si>
  <si>
    <t>TB Total - Dividend payable</t>
  </si>
  <si>
    <t>DALACCT.3113849309400000226DELIM3113849309400000322</t>
  </si>
  <si>
    <t>TB Total - Legal and Professional Charges</t>
  </si>
  <si>
    <t>DALACCT.3113849309400000217DELIM3113849309400000325</t>
  </si>
  <si>
    <t>DALACCT.3113849309400000218DELIM3113849309400000325</t>
  </si>
  <si>
    <t>DALACCT.3113849309400000219DELIM3113849309400000325</t>
  </si>
  <si>
    <t>DALACCT.3113849309400000204DELIM3113849309400000314</t>
  </si>
  <si>
    <t>TB Total - Term Finance Certificates - FVTPL</t>
  </si>
  <si>
    <t>TB Total - Government securities - FVTPL</t>
  </si>
  <si>
    <t>TB Total - Other income</t>
  </si>
  <si>
    <t>DALACCT.3113849309400000221DELIM3113849309400000314</t>
  </si>
  <si>
    <t>NAV Date</t>
  </si>
  <si>
    <t>Total Liablities</t>
  </si>
  <si>
    <t>Net Assets</t>
  </si>
  <si>
    <t>Outstanding Units</t>
  </si>
  <si>
    <t>NAV as per client</t>
  </si>
  <si>
    <t>NAV as per DTT</t>
  </si>
  <si>
    <t>Ex NAV is used</t>
  </si>
  <si>
    <t xml:space="preserve">Pakistan Income Fund </t>
  </si>
  <si>
    <t>Audit for the year ended June 30, 2019</t>
  </si>
  <si>
    <t>Total expenses for the year</t>
  </si>
  <si>
    <t>Expenses Other than govt levies</t>
  </si>
  <si>
    <t>Maximum TER Ratio as per Circular</t>
  </si>
  <si>
    <r>
      <t>Deloitte</t>
    </r>
    <r>
      <rPr>
        <b/>
        <sz val="10"/>
        <color rgb="FF92D050"/>
        <rFont val="Calibri"/>
        <family val="2"/>
        <scheme val="minor"/>
      </rPr>
      <t>.</t>
    </r>
  </si>
  <si>
    <t>Total Expense Ratio Working</t>
  </si>
  <si>
    <t>Average Net Assets</t>
  </si>
  <si>
    <t>Amounts in '000</t>
  </si>
  <si>
    <t>Total Expense Ratio (%)</t>
  </si>
  <si>
    <t>Ration representing government levies</t>
  </si>
  <si>
    <t>As per our recalculation</t>
  </si>
  <si>
    <t>As per Fund Manager Report of June 2019</t>
  </si>
  <si>
    <t>Note:</t>
  </si>
  <si>
    <t>- The difference of 0.03% in TER as per our calculationa and as per FMR is due the reversal of provision related to profit receivable of TFC of Telecard Limited.</t>
  </si>
  <si>
    <t>- Client has included the reversal in expenses instead of included it as Other Income, which resulted in reducing the total expenses.</t>
  </si>
  <si>
    <t>- Since the TER as per Fund Management Report is below the max limit of 2%, hence this difference is ignored.</t>
  </si>
  <si>
    <t>Provision reversal on receiving the profit amount from Telecard Limited:</t>
  </si>
  <si>
    <t>Banks Rating</t>
  </si>
  <si>
    <t xml:space="preserve">The following ratings are on the basis of available ratings assigned by PACRA and VIS Credit Rating Company Limited (Formerly JCR-VIS Credit Rating Company Limited) as of June 30, 2019. </t>
  </si>
  <si>
    <t>Maximum Limit as per circular for income Scheme is 2%</t>
  </si>
  <si>
    <t>Is TER as per FMR below the maximum limit</t>
  </si>
  <si>
    <t>Is TER recalculated below the maximum limit</t>
  </si>
  <si>
    <r>
      <rPr>
        <b/>
        <sz val="10"/>
        <rFont val="Arial"/>
        <family val="2"/>
      </rPr>
      <t>Level 2</t>
    </r>
    <r>
      <rPr>
        <sz val="10"/>
        <rFont val="Arial"/>
        <family val="2"/>
      </rPr>
      <t>: those involving inputs other than quoted prices included in Level 1 that are observable for the asset or liability, either directly (as prices) or indirectly (derived from prices); and</t>
    </r>
  </si>
  <si>
    <r>
      <rPr>
        <b/>
        <sz val="10"/>
        <rFont val="Arial"/>
        <family val="2"/>
      </rPr>
      <t>Level 1</t>
    </r>
    <r>
      <rPr>
        <sz val="10"/>
        <rFont val="Arial"/>
        <family val="2"/>
      </rPr>
      <t>: quoted prices in active markets for identical assets or liabilities;</t>
    </r>
  </si>
  <si>
    <r>
      <rPr>
        <b/>
        <sz val="10"/>
        <rFont val="Arial"/>
        <family val="2"/>
      </rPr>
      <t>Level 3</t>
    </r>
    <r>
      <rPr>
        <sz val="10"/>
        <rFont val="Arial"/>
        <family val="2"/>
      </rPr>
      <t>: those with inputs for the asset or liability that are not based on observable market data (unobservable inputs).</t>
    </r>
  </si>
  <si>
    <t>Carrying amount</t>
  </si>
  <si>
    <t>Fair Value</t>
  </si>
  <si>
    <t>Financial assets measured at fair value</t>
  </si>
  <si>
    <t>Financial assets not measured at fair value</t>
  </si>
  <si>
    <t>Financial liabilities not measured at fair value</t>
  </si>
  <si>
    <t>FINANCIAL RISK MANAGEMENT</t>
  </si>
  <si>
    <t>The Fund's overall risk management programme focuses on the unpredictability of financial markets and seeks to minimise potential adverse effects on the Fund's financial performance.</t>
  </si>
  <si>
    <t>The Fund's activities expose it to a variety of financial risks: market risk (including currency risk, interest rate and other price risk), credit risk and liquidity risk. Risk of the Fund are being managed by the Management Company in accordance with the approved policies of the investment committee which provide broad guidelines for management of above mentioned risks. The Board of Directors of the Management Company has overall responsibility for the establishment and oversight of the Fund's risk management framework.</t>
  </si>
  <si>
    <t>Market risk is the risk that the fair value or the future cash flows of a financial instrument may fluctuate as a result of changes in market prices.</t>
  </si>
  <si>
    <t>The Fund's capital is represented by redeemable units. The Fund is required by the NBFC Regulations, to maintain a minimum fund size of Rs.100 million, to be maintained all the time during the life of the scheme. The units issued by the Fund provides an investor with the right to require redemption for cash at a value proportionate to the unit holder's share in the Fund's net assets at the redemption date.</t>
  </si>
  <si>
    <t>The Fund's objective in managing the unit holders' fund is to ensure a stable base to maximise returns to all investors and to manage liquidity risk arising from redemption. In accordance with the risk management policies, the Fund endeavors to invest the subscriptions received in appropriate investments while maintaining sufficient liquidity to meet redemption, such liquidity being augmented by disposal of investments.</t>
  </si>
  <si>
    <t>20</t>
  </si>
  <si>
    <t>22</t>
  </si>
  <si>
    <t>23</t>
  </si>
  <si>
    <t>24</t>
  </si>
  <si>
    <t>25</t>
  </si>
  <si>
    <t>Payable to MCB-Arif Habib Savings and Investments Limited - Management Company</t>
  </si>
  <si>
    <t>Payable to Central Depository Company of Pakistan Limited - Trustee</t>
  </si>
  <si>
    <t>Remuneration of Central Depository Company of Pakistan Limited - Trustee</t>
  </si>
  <si>
    <t xml:space="preserve">Unrealised appreciation on re-measurement of investments classified as 'available-for-sale' </t>
  </si>
  <si>
    <t xml:space="preserve"> (Rupees in '000) </t>
  </si>
  <si>
    <t xml:space="preserve">Accounting income available for distribution </t>
  </si>
  <si>
    <t>Undistributed income carried forward</t>
  </si>
  <si>
    <t xml:space="preserve"> - Realised</t>
  </si>
  <si>
    <t xml:space="preserve"> - Unrealised</t>
  </si>
  <si>
    <t>Undistributed income brought forward</t>
  </si>
  <si>
    <t xml:space="preserve">- Capital value (at net asset value per unit at </t>
  </si>
  <si>
    <t xml:space="preserve">- Capital value (at net asset value per unit at the </t>
  </si>
  <si>
    <t>Unrealised appreciation / (diminution)</t>
  </si>
  <si>
    <t>Term finance certificates and sukuk certificates</t>
  </si>
  <si>
    <t>Provision for Sindh Workers' Welfare Fund (SWWF)</t>
  </si>
  <si>
    <t>Federal Excise Duty and related tax payable</t>
  </si>
  <si>
    <t xml:space="preserve">PAYABLE TO THE SECURITIES AND EXCHANGE COMMISSION </t>
  </si>
  <si>
    <t xml:space="preserve">OF PAKISTAN </t>
  </si>
  <si>
    <t>Arif Habib Limited - Subsidiary of Associated Company</t>
  </si>
  <si>
    <t xml:space="preserve">  - Group Company of Parent Company</t>
  </si>
  <si>
    <t>Nishat Mills Limited - Group Company of Parent Company</t>
  </si>
  <si>
    <t xml:space="preserve">The Management Company manages market risk by monitoring exposure on marketable securities by following the internal risk management policies and investment guidelines approved by the Board and the regulations laid down by the SECP, the NBFC regulations and the NBFC rules. </t>
  </si>
  <si>
    <t>Sukuks certificates</t>
  </si>
  <si>
    <t>Adamjee Life Assurance Company Limited - Employees Gratuity Fund</t>
  </si>
  <si>
    <t>Sensitivity analysis for fixed rate instruments</t>
  </si>
  <si>
    <t xml:space="preserve">TFC / Sukuks are variable instrument ………………. </t>
  </si>
  <si>
    <t>10 to 13</t>
  </si>
  <si>
    <t>11.03 to 12.50</t>
  </si>
  <si>
    <t>FAIR VALUE OF FINANCIAL INSTRUMENTS</t>
  </si>
  <si>
    <r>
      <t>F</t>
    </r>
    <r>
      <rPr>
        <sz val="9"/>
        <color rgb="FF000000"/>
        <rFont val="Arial"/>
        <family val="2"/>
      </rPr>
      <t xml:space="preserve">CA &amp; </t>
    </r>
    <r>
      <rPr>
        <sz val="9"/>
        <color rgb="FF1F497D"/>
        <rFont val="Arial"/>
        <family val="2"/>
      </rPr>
      <t>F</t>
    </r>
    <r>
      <rPr>
        <sz val="9"/>
        <color rgb="FF000000"/>
        <rFont val="Arial"/>
        <family val="2"/>
      </rPr>
      <t>CCA</t>
    </r>
  </si>
  <si>
    <t>Bank Balances by rating category</t>
  </si>
  <si>
    <t>Liquidity risk is the risk that the Fund may not be able to generate sufficient cash resources to settle its obligations in full as they fall due or can only do so on terms that are materially disadvantageous to the Fund.</t>
  </si>
  <si>
    <t>Financial instruments by category</t>
  </si>
  <si>
    <t>As at June 30, 2019, all the financial assets are carried on the Statement of Assets and Liabilities are categorised either as financial assets classified as 'at fair value through profit or loss' and 'at amortised cost'. All the financial liabilities carried on the Statement of Assets and Liabilities are categorised as 'at amortised cost'.</t>
  </si>
  <si>
    <t>Fair value through profit or loss</t>
  </si>
  <si>
    <t xml:space="preserve">Fair value through other comprehensive income </t>
  </si>
  <si>
    <t>Amortized cost</t>
  </si>
  <si>
    <t>----------------------------------- (Rupees in '000) -----------------------------------</t>
  </si>
  <si>
    <t>Assets</t>
  </si>
  <si>
    <t>Investments</t>
  </si>
  <si>
    <t>Liabilities</t>
  </si>
  <si>
    <t>Payable against purchase of investments</t>
  </si>
  <si>
    <t>Accrued and other liabilities</t>
  </si>
  <si>
    <t>Fair value through profit or loss - held for trading</t>
  </si>
  <si>
    <t>Available-for-sale</t>
  </si>
  <si>
    <t>Loans and receivables / Other financial liabilities</t>
  </si>
  <si>
    <t>Receivable against marginal trading system</t>
  </si>
  <si>
    <t>------------------------------------------------------------------------------------------- (Rupees in '000) -------------------------------------------------------------------------------------------</t>
  </si>
  <si>
    <t xml:space="preserve"> - MANAGEMENT COMPANY</t>
  </si>
  <si>
    <t>PAYABLE TO MCB-ARIF HABIB SAVINGS AND INVESTMENTS LIMITED</t>
  </si>
  <si>
    <t>Brokerage expense *</t>
  </si>
  <si>
    <t>Brokerage payable *</t>
  </si>
  <si>
    <t>*</t>
  </si>
  <si>
    <t xml:space="preserve">Provision for Federal Excise Duty and related tax on </t>
  </si>
  <si>
    <t xml:space="preserve"> - Management fee</t>
  </si>
  <si>
    <t xml:space="preserve"> - Sales load</t>
  </si>
  <si>
    <t>Carrying value</t>
  </si>
  <si>
    <t>Market value</t>
  </si>
  <si>
    <t xml:space="preserve">Market value </t>
  </si>
  <si>
    <t xml:space="preserve">Investment Banks / Investment </t>
  </si>
  <si>
    <t>Companies / Securities Companies</t>
  </si>
  <si>
    <t xml:space="preserve">   at fair value through profit or loss </t>
  </si>
  <si>
    <t>Market value as at June 30 - net of provision</t>
  </si>
  <si>
    <t>Carrying value as at June 30 - net of provision</t>
  </si>
  <si>
    <t xml:space="preserve">Trust Investment Bank Limited </t>
  </si>
  <si>
    <t xml:space="preserve">Telecard Limited </t>
  </si>
  <si>
    <t xml:space="preserve">Pace Pakistan Limited </t>
  </si>
  <si>
    <t xml:space="preserve">Status of non compliance as per circular 16 of 2010 issued by the </t>
  </si>
  <si>
    <t>Securities and Exchange Commission of Pakistan</t>
  </si>
  <si>
    <t>Sindh sales tax on remuneration of Trustee</t>
  </si>
  <si>
    <t>The Fund is an open-end collective investment scheme categorised as an "Income" scheme by the Board of Directors of the Management Company pursuant to Circular 7 of 2009 dated March 6, 2009 issued by the SECP.The units of the Fund were initially offered for public subscription at a par value of Rs 50 per unit. Thereafter, the units are being offered for public subscription on a continuous basis. The units of the Fund are transferable and can also be redeemed by surrendering them to the Fund. The Fund is listed on the Pakistan Stock Exchange Limited.</t>
  </si>
  <si>
    <t>18</t>
  </si>
  <si>
    <t>As at 
July 01, 2018</t>
  </si>
  <si>
    <t>Issued
 for cash</t>
  </si>
  <si>
    <t>Bonus</t>
  </si>
  <si>
    <t>Redeemed</t>
  </si>
  <si>
    <t>For the year ended June 30, 2019</t>
  </si>
  <si>
    <t>------------------------------------- Units ----------------------------------</t>
  </si>
  <si>
    <t>--------------------------------- (Rupees in '000) ---------------------------------</t>
  </si>
  <si>
    <t xml:space="preserve">Mandate under discretionary portfolio services  </t>
  </si>
  <si>
    <t>The following table shows the carrying amounts of fair values of financial assets and financial liabilities including the levels in the fair value hierarchy:</t>
  </si>
  <si>
    <t xml:space="preserve"> ---------- ( % ) ----------</t>
  </si>
  <si>
    <t xml:space="preserve"> -------- ( % ) --------</t>
  </si>
  <si>
    <t>EXPENSES</t>
  </si>
  <si>
    <t>Relating to capital gains</t>
  </si>
  <si>
    <t>Excluding capital gains</t>
  </si>
  <si>
    <t>Ghani Gases Limited</t>
  </si>
  <si>
    <t>Deposits with banks</t>
  </si>
  <si>
    <t>Investments:</t>
  </si>
  <si>
    <t>Margin trading system (MTS)</t>
  </si>
  <si>
    <t>Currency risk is the risk that the fair value or future cash flows of a financial instrument will fluctuate because of changes in foreign exchange rates. The Fund, at present is not exposed to currency risk as all transactions are carried out in Pakistani Rupees.</t>
  </si>
  <si>
    <t>Price risk is the risk that the fair value or future cash flows of a financial instrument will fluctuate as a result of changes in market prices (other than those arising from profit rate risk or currency risk) whether those changes are caused by factors specific to the individual financial instrument or its issuer, or factors affecting all similar financial instruments traded in the market. Since the Fund is not allowed to invest in equity securities, hence it is not exposed to equity price risk.</t>
  </si>
  <si>
    <t>The Fund's maximum exposure to credit risk is the carrying amounts of following financial assets.</t>
  </si>
  <si>
    <t xml:space="preserve">Deposits are placed with National Clearing Company of Pakistan Limited (NCCPL) and Central Depository Company of Pakistan Limited (CDC) for the purpose of effecting transaction and settlement of listed securities. It is expected that all deposits with NCCPL and CDC will be clearly identified as being assets of the Fund, hence management believes that the Fund is not materially exposed to a credit risk with respect to deposits. </t>
  </si>
  <si>
    <t>Concentration of credit risk exists when changes in economic or industry factors similarly affect groups of counterparties whose aggregate credit exposure is significant in relation to the Fund’s total credit exposure. The Fund’s portfolio of financial instruments is broadly diversified and transactions are entered into with diverse credit-worthy counterparties thereby mitigating any significant concentration of credit risk.</t>
  </si>
  <si>
    <t>The Fund's activities may give rise to risk at the time of settlement of transactions. Settlement risk is the risk of loss due to the failure of counter party to honour its obligations to deliver cash, securities or other assets as contractually agreed. Credit risk relating to unsettled transactions in securities is considered to be minimal as the Fund uses brokers with high creditworthiness and the transactions are settled or paid for only upon delivery using central clearing system.</t>
  </si>
  <si>
    <t>Liquidity risk is the risk that the Fund will encounter difficulty in meeting it's obligations arising from it's financial liabilities that are settled by delivering cash or other financial assets or that such obligations will have to be settled in a manner disadvantageous to the Funds. Liquidity risk also arises because of the possibility that the Fund could be required to pay its liabilities earlier than expected. The Fund is exposed to cash redemptions of its units on a regular basis. Units are redeemable at the holder's option based on the Fund's applicable redemption price calculated in accordance with the Fund's constitutive documents and guidelines laid down by the SECP.</t>
  </si>
  <si>
    <t>Units of the Fund are redeemable on demand at the holder's option, however, the Fund does not anticipate significant redemption of units.</t>
  </si>
  <si>
    <t>The table below analyses the Fund's financial assets and financial liabilities into relevant maturity groupings based on the remaining period at the statement of assets and liabilities date to the contractual maturity date. The amounts in the table are the contractual undiscounted cash flows.</t>
  </si>
  <si>
    <t xml:space="preserve">IFRS 13 - 'Fair Value Measurement' establishes a single source of guidance under IFRS for all fair value measurements and disclosures about fair value measurement where such measurements are required as permitted by other IFRSs. It defines fair value as the price that would be received to sell an asset or paid to transfer a liability in an orderly transaction between market participants at the measurement date (i.e. an exit price). </t>
  </si>
  <si>
    <t>Financial assets which are tradable in an open market are revalued at the market prices prevailing on the close of trading i.e. period end date. The estimated fair value of all other financial assets and financial liabilities is considered not significantly different from book value as these are short term in nature.</t>
  </si>
  <si>
    <t>Mutual Fund Association of Pakistan (MUFAP), on behalf of all Asset Management Companies (AMCs), obtained a legal opinion dated December 5, 2016 on the matter, according to which there is no longer any basis in law to claim WWF payments from the mutual funds under the WWF Ordinance. After deliberating the position, The Mutual Fund Association of Pakistan (MUFAP) decided that the provision for WWF held for the period from January 1, 2013 to June 30, 2015 be reversed effective January 12, 2017.</t>
  </si>
  <si>
    <t>Furthermore, the Sindh Revenue Board (SRB) had written to mutual funds in January 2016 to register and pay Sindh Workers Welfare Fund (SWWF) for the accounting year closing on or after December 31, 2013. MUFAP reviewed the issue and based on an opinion dated August 2016 decided that SWWF is not applicable on mutual funds as they are not financial institutions as required by SWWF Act, 2014. MUFAP wrote to SRB that mutual funds are not establishments and are pass through vehicles hence, they do not have any worker and no SWWF is payable by them. SRB on November 11, 2016 responded back that as mutual funds are included in definition of financial institutions in The Financial Institutions (Recovery of Finance) Ordinance, 2001, SWWF is payable by them. MUFAP has taken up the matter with the Sindh Finance Ministry to have mutual funds excluded from SWWF.</t>
  </si>
  <si>
    <t>On July 16, 2016, the SHC passed an order whereby all notices, proceedings taken or pending, orders made, duty recovered or actions taken under the Federal Excise Act, 2005 in respect of the rendering or providing of services (to the extent as challenged in any relevant petition) were set aside. In response to this, the Deputy Commissioner Inland Revenue has filed a Civil Petition for leave to appeal in the Supreme Court of Pakistan which is pending adjudication.</t>
  </si>
  <si>
    <t>With effect from July 1, 2016, FED on services provided or rendered by non-banking financial institutions dealing in services which are subject to provincial sales tax has been withdrawn by the Finance Act, 2016.</t>
  </si>
  <si>
    <t>Payable to the Management
 Company</t>
  </si>
  <si>
    <t>Payable against redemption
 of units</t>
  </si>
  <si>
    <t>Accrued expenses and other
 liabilities</t>
  </si>
  <si>
    <t>Payable to the Management 
 Company</t>
  </si>
  <si>
    <t>Payable against redemption 
 of units</t>
  </si>
  <si>
    <t>19.</t>
  </si>
  <si>
    <t>Remuneration of MCB-Arif Habib Savings and Investments Limited - 
 Management Company</t>
  </si>
  <si>
    <t>Final distribution for the year ended June 30, 2018 (including additional units) at the rate of Rs. 2.5511 per unit (Declared on July 04, 2018)</t>
  </si>
  <si>
    <t>The SECP has also concurred with the directions issued by MUFAP through its letter no. SCD / AMCW / MUFAP / 2017 - 405 dated February 01, 2017.</t>
  </si>
  <si>
    <t>17.</t>
  </si>
  <si>
    <t>2020</t>
  </si>
  <si>
    <t>June 30, 2020</t>
  </si>
  <si>
    <t>As at June 30, 2020</t>
  </si>
  <si>
    <t>As at 
July 01, 2019</t>
  </si>
  <si>
    <t>For the year ended June 30, 2020</t>
  </si>
  <si>
    <t>DALACCT.3418028034400001054DELIM3113849309400000258</t>
  </si>
  <si>
    <t>Bank Balances - Faysal Bank Limited- Lahore Branch</t>
  </si>
  <si>
    <t>DALACCT.3418028034400001055DELIM3113849309400000258</t>
  </si>
  <si>
    <t>BANK BALANCES - ALLIED BANK LIMITED FX Current A/C</t>
  </si>
  <si>
    <t>DALACCT.3418028034400001056DELIM3113849309400000267</t>
  </si>
  <si>
    <t>COMMERCIAL PAPER  DISCOUNT / AMORTISATION  HFT</t>
  </si>
  <si>
    <t>010300700003</t>
  </si>
  <si>
    <t>DALACCT.3418028034400001058DELIM3113849309400000271</t>
  </si>
  <si>
    <t>Profit Receivable - Habib Bank Limited Kse Branch</t>
  </si>
  <si>
    <t>010601100089</t>
  </si>
  <si>
    <t>Profit On - Finca Microfinance Bank (Liaquatabad Branch)</t>
  </si>
  <si>
    <t>DALACCT.3418028034400001059DELIM3113849309400000285</t>
  </si>
  <si>
    <t>Marketing And Selling Payable</t>
  </si>
  <si>
    <t>0314001001</t>
  </si>
  <si>
    <t>DALACCT.3418028034400001060DELIM3113849309400000301</t>
  </si>
  <si>
    <t>CAPITAL GAIN / (LOSS) ON SALE OF GOP IJARA</t>
  </si>
  <si>
    <t>040100500001</t>
  </si>
  <si>
    <t>DALACCT.3418028034400001065DELIM3113849309400000305</t>
  </si>
  <si>
    <t>INCOME ON GOVERNMENT SECURITIES  GOP IJARA SUKUK</t>
  </si>
  <si>
    <t>040200700001</t>
  </si>
  <si>
    <t>DALACCT.3418028034400001057DELIM3113849309400000329</t>
  </si>
  <si>
    <t>PROVISION AGAINST NON PERFORMING SECURITY  GHANI GASES HFT</t>
  </si>
  <si>
    <t>010300900012</t>
  </si>
  <si>
    <t>051000100032</t>
  </si>
  <si>
    <t>010500200002</t>
  </si>
  <si>
    <t>01030330001</t>
  </si>
  <si>
    <t>010300400001</t>
  </si>
  <si>
    <t>010300400002</t>
  </si>
  <si>
    <t>010300400003</t>
  </si>
  <si>
    <t>010303600000</t>
  </si>
  <si>
    <t>010303600001</t>
  </si>
  <si>
    <t>010303600003</t>
  </si>
  <si>
    <t>010300100001</t>
  </si>
  <si>
    <t>010300100002</t>
  </si>
  <si>
    <t>010300700001</t>
  </si>
  <si>
    <t>010302400001</t>
  </si>
  <si>
    <t>010302900001</t>
  </si>
  <si>
    <t>010602100001</t>
  </si>
  <si>
    <t>010601100011</t>
  </si>
  <si>
    <t>010601100027</t>
  </si>
  <si>
    <t>010601200002</t>
  </si>
  <si>
    <t>010602800001</t>
  </si>
  <si>
    <t>010600500001</t>
  </si>
  <si>
    <t>010700700007</t>
  </si>
  <si>
    <t>011500100001</t>
  </si>
  <si>
    <t>011500100002</t>
  </si>
  <si>
    <t>010602200002</t>
  </si>
  <si>
    <t>010700700003</t>
  </si>
  <si>
    <t>031001500001</t>
  </si>
  <si>
    <t>0DT1</t>
  </si>
  <si>
    <t>03130090009</t>
  </si>
  <si>
    <t>020300100001</t>
  </si>
  <si>
    <t>020100100002</t>
  </si>
  <si>
    <t>040102100001</t>
  </si>
  <si>
    <t>040101300001</t>
  </si>
  <si>
    <t>0407002001</t>
  </si>
  <si>
    <t>040201200001</t>
  </si>
  <si>
    <t>040201500001</t>
  </si>
  <si>
    <t>040201800001</t>
  </si>
  <si>
    <t>040202400001</t>
  </si>
  <si>
    <t>040202500001</t>
  </si>
  <si>
    <t>05030030004</t>
  </si>
  <si>
    <t>040201900001</t>
  </si>
  <si>
    <t>040200100021</t>
  </si>
  <si>
    <t>040101200001</t>
  </si>
  <si>
    <t>040101500001</t>
  </si>
  <si>
    <t>040102000001</t>
  </si>
  <si>
    <t>0407001001</t>
  </si>
  <si>
    <t>050400100001</t>
  </si>
  <si>
    <t>050600300005</t>
  </si>
  <si>
    <t>050600300008</t>
  </si>
  <si>
    <t>050600400001</t>
  </si>
  <si>
    <t>050200300002</t>
  </si>
  <si>
    <t>050700200001</t>
  </si>
  <si>
    <t>0DT2</t>
  </si>
  <si>
    <t>010600300007</t>
  </si>
  <si>
    <t>010600300008</t>
  </si>
  <si>
    <t>050500100002</t>
  </si>
  <si>
    <t>051000100029</t>
  </si>
  <si>
    <t>Marketing and selling expenses</t>
  </si>
  <si>
    <t>DALGROUP.3122547631500002337</t>
  </si>
  <si>
    <t>TB Total - Dividend Payable</t>
  </si>
  <si>
    <t>6160.1B</t>
  </si>
  <si>
    <t>DALBLANK.3122547631500002337</t>
  </si>
  <si>
    <t>DALACCT.3418028034400001066DELIM3418028034400001072</t>
  </si>
  <si>
    <t>Marketing And Selling Expense</t>
  </si>
  <si>
    <t>0501006001</t>
  </si>
  <si>
    <t>8185,1</t>
  </si>
  <si>
    <t>DALGROUP.3418028034400001072</t>
  </si>
  <si>
    <t>TB Total - Marketing and selling expense</t>
  </si>
  <si>
    <t>DALBLANK.3418028034400001072</t>
  </si>
  <si>
    <t>Commercial papers</t>
  </si>
  <si>
    <t>TFCs</t>
  </si>
  <si>
    <t>closing</t>
  </si>
  <si>
    <t>opening</t>
  </si>
  <si>
    <t>movement</t>
  </si>
  <si>
    <t>closing as per NAV</t>
  </si>
  <si>
    <t>issued</t>
  </si>
  <si>
    <t>redemp</t>
  </si>
  <si>
    <t>as per NAV Report</t>
  </si>
  <si>
    <t>rounded</t>
  </si>
  <si>
    <t>Check</t>
  </si>
  <si>
    <t>Cyear</t>
  </si>
  <si>
    <t>Pyear</t>
  </si>
  <si>
    <t>EOI Paid</t>
  </si>
  <si>
    <t>AFS inco</t>
  </si>
  <si>
    <t>Capital Gain</t>
  </si>
  <si>
    <t>Other Inco</t>
  </si>
  <si>
    <t>*Linked</t>
  </si>
  <si>
    <t>Habib Bank Limited</t>
  </si>
  <si>
    <t>Face value of the certificate is Rs. 100,000.</t>
  </si>
  <si>
    <t>Face value of the certificate is Rs. 1,000,000.</t>
  </si>
  <si>
    <t>WWF Provi</t>
  </si>
  <si>
    <t>MUFAP has also obtained a legal opinion that SWWF, if applicable, can only be applied from the date of enactment of SWWF Act, 2014, i.e. May 21, 2015. Accordingly, on January 12, 2017, MUFAP instructed to provide for SWWF with effect from May 21, 2015, while the efforts to exclude mutual funds for SWWF continue. The aggregate balance of SWWF provision in the book of accounts of the Fund as on June 30, 2020 is Rs. 10.961 million (2019: 6.633 million).  Had this provision not been made, the NAV of the Fund would have been higher by Re. 0.2861 per unit (June 30, 2019 Re. 0.2566 per unit).</t>
  </si>
  <si>
    <t>The Total Expense Ratio (TER) of the Fund for the year ended June 30, 2020 is 2.65% which includes 0.45% representing government levies on the Fund such as provision for Sindh Workers' Welfare Fund, sales taxes, annual fee to the SECP, Laga and Levy charges etc. This ratio is within the maximum limit of 2.5% (2019: 2%) prescribed (excluding government levies) under the NBFC Regulations for a collective investment scheme categorised as an Income scheme.</t>
  </si>
  <si>
    <t>Security General Insurance Company Limited</t>
  </si>
  <si>
    <t>MCB - Arif Habib Savings And Investments Limited</t>
  </si>
  <si>
    <t>Yield / interest rate sensitivity position for on-balance sheet financial instruments is based on the earlier of contractual repricing or maturity date. The composition of the Fund investment may change over time. Accordingly, the sensitivity analysis prepared as at June 30, 2020 is not necessarily indicative of the impact on the Fund's net assets of future movements in interest rates.</t>
  </si>
  <si>
    <t>The Fund's interest rate sensitivity related to financial assets and financial liabilities as at June 30, 2020 can be determined as follows:</t>
  </si>
  <si>
    <t>Balance</t>
  </si>
  <si>
    <t>Bank Al Habib Limited</t>
  </si>
  <si>
    <t>Zarai Taraqiati Bank Limited</t>
  </si>
  <si>
    <t>Js Bank Limited</t>
  </si>
  <si>
    <t>Mobilink Microfinance Bank Limited</t>
  </si>
  <si>
    <t>U Microfinance Bank Limited</t>
  </si>
  <si>
    <t>Khushali Microfinance Bank Limited</t>
  </si>
  <si>
    <t>Tameer Microfinance Bank</t>
  </si>
  <si>
    <t>Finca Micro Finance Bank</t>
  </si>
  <si>
    <t>First Micro Finance Bank</t>
  </si>
  <si>
    <t xml:space="preserve">National Bank Of Pakistan </t>
  </si>
  <si>
    <t>Silk Bank Limited</t>
  </si>
  <si>
    <t>Faysal Bank Limited</t>
  </si>
  <si>
    <t xml:space="preserve">Bank Al Falah Limited </t>
  </si>
  <si>
    <t>Habib Metropolitan Bank Limited</t>
  </si>
  <si>
    <t xml:space="preserve">Mcb Bank Limited </t>
  </si>
  <si>
    <t>Nrsp Microfinance Bank Limited</t>
  </si>
  <si>
    <t>Audit for the year ended June 30, 2020</t>
  </si>
  <si>
    <r>
      <t>Deloitte</t>
    </r>
    <r>
      <rPr>
        <b/>
        <sz val="8"/>
        <color rgb="FF92D050"/>
        <rFont val="Verdana"/>
        <family val="2"/>
      </rPr>
      <t>.</t>
    </r>
  </si>
  <si>
    <t>Row Labels</t>
  </si>
  <si>
    <t>Sum of Balance</t>
  </si>
  <si>
    <t>During the year ended June 30, 2020, there were no transfers between levels fair value measurements, and no transfer into and out of level 3 fair value measurements.</t>
  </si>
  <si>
    <t>As of June 30, 2020 details of Fund's interest bearing financial instruments were as follows:</t>
  </si>
  <si>
    <t>The analysis below summaries the credit rating quality of the Fund's financial assets with banks as at June 30, 2020.</t>
  </si>
  <si>
    <t>Redemption of Nil units (2019: 79,367 units)</t>
  </si>
  <si>
    <t>Issue of Nil units (2019: 7,808,722 units)</t>
  </si>
  <si>
    <t xml:space="preserve">Redemption of Nil units (2019: 8,088,645 units) </t>
  </si>
  <si>
    <t>------ (Number of units) ------</t>
  </si>
  <si>
    <t>------ (Rupees) ------</t>
  </si>
  <si>
    <t>Markup / return on Investments</t>
  </si>
  <si>
    <t>Other comprehensive income</t>
  </si>
  <si>
    <t>1.1</t>
  </si>
  <si>
    <t>Units</t>
  </si>
  <si>
    <t>(Increase) / decrease in assets</t>
  </si>
  <si>
    <t>Sindh Sales Tax at 13% (2019: 13%) is charged on Trustee fee.</t>
  </si>
  <si>
    <t>Net unrealised diminution in value of investments</t>
  </si>
  <si>
    <t>Payable against marketing and selling expenses</t>
  </si>
  <si>
    <t>PAYABLE TO CENTRAL DEPOSITORY COMPANY OF PAKISTAN</t>
  </si>
  <si>
    <t>LIMITED - TRUSTEE</t>
  </si>
  <si>
    <t>On September 4, 2013, a Constitutional Petition was filed in the Sindh High Court (SHC) jointly by various asset management companies, together with their representative Collective Investment Schemes through their trustees, challenging the levy of FED.</t>
  </si>
  <si>
    <t>In view of the above, the Fund has discontinued making further provision in respect of FED on remuneration of the Management Company and sales load with effect from July 1, 2016. However, the provision for FED made prior to this period has been maintained by the Fund which at June 30, 2020 aggregates to Rs. 9.210 million (2019: Rs. 9.210 million). Had the provision for FED not been recorded in the financial statements of the Fund, the net assets value of the Fund as at June 30, 2020 would have been higher by Re. 0.2404 (2019: Re. 0.3563) per unit.</t>
  </si>
  <si>
    <t>Checked from HY signed FS</t>
  </si>
  <si>
    <t>During the year a supplemental offering document was issued on July 25, 2019. As per the document the current level of the trustee fee has been ammended. The new tariff per annum is 0.075% of net assets per annum plus reimbursement of actual custodial expenses.</t>
  </si>
  <si>
    <t>On an amount exceeding Rs 1,000</t>
  </si>
  <si>
    <t>million upto Rs 5,000 million</t>
  </si>
  <si>
    <t xml:space="preserve">On an amount exceeding Rs 5,000 </t>
  </si>
  <si>
    <t>million</t>
  </si>
  <si>
    <t>Rs 5.1 million plus 0.07% per annum of Net Assets exceeding Rs. 5,000 million.</t>
  </si>
  <si>
    <t>Marketing and selling expense</t>
  </si>
  <si>
    <t>Remuneration including indirect taxes</t>
  </si>
  <si>
    <t>Profit on bank balances</t>
  </si>
  <si>
    <t xml:space="preserve">Mandate under discretionary portfolio services </t>
  </si>
  <si>
    <t>Issue of 11,282 units (2019: 165,117 units)</t>
  </si>
  <si>
    <t>Issue of 1,587,251 units (2019: 6,283,645 units)</t>
  </si>
  <si>
    <t>Redemption of 1,587,251 units (2019: 6,283,645 units)</t>
  </si>
  <si>
    <t>Issue of  211,689 units (2019: 56,858 units)</t>
  </si>
  <si>
    <t>Redemption of 211,689 units (2019: 61,151 units)</t>
  </si>
  <si>
    <t>Issue of 5,540,636 units (2019: Nil units)</t>
  </si>
  <si>
    <t>Outstanding 5,540,636 units (2019: Nil units)</t>
  </si>
  <si>
    <t>Corresponding figures have been re-classified, re-arranged or additionally incorporated in these financial statements, wherever necessary to facilitate comparison and to conform with changes in presentation in the current year. No significant rearrangments or reclassifications were made in these financial statements.</t>
  </si>
  <si>
    <t>The following table shows financial instruments recognised at fair value, based on:</t>
  </si>
  <si>
    <t>7.63 to 7.85</t>
  </si>
  <si>
    <t>Tbills</t>
  </si>
  <si>
    <t>commercial papers</t>
  </si>
  <si>
    <t>Credit risk represents the risk of loss if counterparties fail to perform as contracted. The Fund is exposed to counter party credit risks on investments in term finance certificates and sukuk certificates, commercial papers, bank balances and other financial assets at amortised cost. The credit risk on the fund is limited because the counterparties are financial institutions with reasonably high credit ratings.</t>
  </si>
  <si>
    <t>Final distribution for the year ended June 30, 2019 (including additional units) at the rate of Rs. 4.3249 per unit (Declared on June 27, 2019)</t>
  </si>
  <si>
    <t>As per amendment in the offering document, the management company with effective from August 08, 2019 charged management fee at the rate of up to 10% of the gross earnings of the scheme, calculated on a daily basis. Provided that fund is subject to a minimum fee of 0.25% of the average daily net assets of the scheme.</t>
  </si>
  <si>
    <t>Transactions during the year with connected persons / related parties in units of the Fund:</t>
  </si>
  <si>
    <t>Deposits and other receivables</t>
  </si>
  <si>
    <t>Yield / interest rate risk is the risk that the fair value or future cash flows of a financial instrument will fluctuate as a result of changes in market interest rates. As of June 30, 2020, the Fund is exposed to such risk on bank balances, investments in term finance certificates, government securities and sukuk certificates. The Investment Committee of the Fund reviews the portfolio of the Fund on a regular basis to ensure that the risk is managed within the acceptable limits.</t>
  </si>
  <si>
    <t>As at June 30, 2020, the Fund holds government securities which are fixed rate instruments exposing the Fund to fair value interest rate risk. In case of 100 basis points increase / decrease in rates announced by the Financial Market Association of Pakistan (FMAP) on June 30, 2020, the net income for the year and net assets would be lower / higher by Rs. 2.94 million (2019: Rs. Nil).</t>
  </si>
  <si>
    <t>In savings accounts</t>
  </si>
  <si>
    <t>The Fund has adopted a policy of only dealing with creditworthy counterparties as a means of mitigating the risk of financial loss from defaults. This information is supplied by independent rating agencies, where available, and if not available, the Fund uses other publicly available financial information and its own trading records to rate its major customers. The Fund's exposure and the credit ratings of its counterparties are continuously monitored and the aggregate value of transactions concluded is spread amongst approved counterparties.</t>
  </si>
  <si>
    <t>Term finance certificates - listed</t>
  </si>
  <si>
    <t>Term finance certificates - unlisted</t>
  </si>
  <si>
    <t>Sukuks certificates - unlisted</t>
  </si>
  <si>
    <t>5.1.1, 5.1.2, 5.1.3, 5.1.4, 5.1.5 &amp; 5.1.7</t>
  </si>
  <si>
    <t>Allocated expenses</t>
  </si>
  <si>
    <t>The Management Company of the Fund has been licensed to act as an Asset Management Company under the Non Banking Finance Companies (Establishment and Regulations) Rules 2003 through a certificate of registration issued by the SECP. The registered office of the Management Company is situated at 2nd Floor, Adamjee House, I.I. Chundrigar Road, Karachi, Pakistan.</t>
  </si>
  <si>
    <t>In accordance with Regulation 60 of the NBFC Regulations, the Management Company is entitled to charge fees and expenses related to registrar services, accounting, operation and valuation services, related to a Collective Investment Scheme (CIS).</t>
  </si>
  <si>
    <t>The Management Company has allocated expenses to the Fund based on its discretion subject to not being higher than actual expense which has also been approved by the Board of Directors of the Management Company.</t>
  </si>
  <si>
    <t>Till June 19, 2019 there was a maximum cap of 0.1% of the average annual net assets of the scheme or actual whichever is less, for allocation of such expense to the Fund. However, the SECP vide its SRO 639 dated June 20, 2019 removed the maximum cap of 0.1%.</t>
  </si>
  <si>
    <t>The SECP has allowed the Asset Management Companies to charge selling and marketing expenses to all categories of open-end mutual funds (except fund of funds) initially for a period of three years (i.e. from January 1, 2017 till December 31, 2019). The maximum cap of selling and marketing expense was 0.4% per annum of the net assets of the Fund or actual expenses whichever is lower.</t>
  </si>
  <si>
    <t>During the year, the SECP through its circular 11 dated July 5, 2019 has revised the conditions for charging of selling and marketing expenses to a Fund. As per the revised guidelines, the maximum cap of 0.4% per annum has been lifted and now the asset management company is required to set a maximum limit for charging of such expense to the Fund and the same should be approved by the Board of Directors of the Asset management company (BOD) as part of annual plan. Furthermore, the time limit of three years has also been removed in the revised conditions.</t>
  </si>
  <si>
    <t>The Management Company has charged selling and marketing expenses to the Fund based on its discretion subject to not being higher than actual expense, which has also been approved by the BOD of the Management Company.</t>
  </si>
  <si>
    <t>Effective from July 1, 2019, the SECP vide SRO No. 685(I)/2019 dated June 28, 2019, revised the rate of annual fee to 0.02% of net assets, applicable on all categories of CISs, Accordingly, the Fund has charged SECP Fee at the rate of 0.02% of net assets during the current period. Previously, the rate of annual fee applicable to income scheme was 0.075% of the daily average annual net assets of the Fund.</t>
  </si>
  <si>
    <t>0.17% per annum of net assets</t>
  </si>
  <si>
    <t>Rs 1,000 million up to Rs 5,000 million</t>
  </si>
  <si>
    <t>From July 01, 2019, the Trustee is entitled to a remuneration at the rate of 0.075% per annum of the net assets to be paid monthly in arrears. Previously, the Trustee remuneration was based on the following tariff structure:</t>
  </si>
  <si>
    <t>Unrealised diminution</t>
  </si>
  <si>
    <t>- Due but not received (Note 5.3)</t>
  </si>
  <si>
    <t>5.50 to 7.83</t>
  </si>
  <si>
    <t>3 months KIBOR + 1.20%</t>
  </si>
  <si>
    <t>17-Mar-20</t>
  </si>
  <si>
    <t>17-Mar-30</t>
  </si>
  <si>
    <t>Term Finance Certificates - Listed</t>
  </si>
  <si>
    <t>Term Finance Certificates - Unlisted</t>
  </si>
  <si>
    <t>Sukuks Certificates - Listed</t>
  </si>
  <si>
    <t>Sukuks Certificates - Unlisted</t>
  </si>
  <si>
    <t>Askari Bank Limited - VII</t>
  </si>
  <si>
    <t>receivables</t>
  </si>
  <si>
    <t xml:space="preserve">Deposits and other </t>
  </si>
  <si>
    <t xml:space="preserve">Investments in Market Treasury Bills and Pakistan Investment Bonds do not expose the Fund to credit risk as the counter party to the investment is the Government of Pakistan and management does not expect to incur any credit loss on such investment. </t>
  </si>
  <si>
    <t>Presently, the Fund holds KIBOR based term finance and sukuks certificates and balances with banks which expose the Fund to cash flow interest rate risk. In case of 100 basis points increase/decrease in applicable rates on the last repricing date with all other variables held constant, the net income / loss for the year and net assets of the Fund would have been higher/lower by  Rs 16.69 million (2019: Rs 13.78 million).</t>
  </si>
  <si>
    <t>7.63 to 14.44</t>
  </si>
  <si>
    <t>Government securities - Market Treasury Bills &amp; Pakistan 
 Investment Bonds</t>
  </si>
  <si>
    <t>ACCRUED PROFIT ON GOP IJARA SUKUK</t>
  </si>
  <si>
    <t>September,</t>
  </si>
  <si>
    <t>010100100001</t>
  </si>
  <si>
    <t>010100100005</t>
  </si>
  <si>
    <t>010100100011</t>
  </si>
  <si>
    <t>010100100014</t>
  </si>
  <si>
    <t>010100100015</t>
  </si>
  <si>
    <t>010100100017</t>
  </si>
  <si>
    <t>010100100021</t>
  </si>
  <si>
    <t>010100100040</t>
  </si>
  <si>
    <t>010100100054</t>
  </si>
  <si>
    <t>010100100069</t>
  </si>
  <si>
    <t>010100100072</t>
  </si>
  <si>
    <t>010100100075</t>
  </si>
  <si>
    <t>010100100077</t>
  </si>
  <si>
    <t>010100100078</t>
  </si>
  <si>
    <t>010100100079</t>
  </si>
  <si>
    <t>010100100080</t>
  </si>
  <si>
    <t>010100100082</t>
  </si>
  <si>
    <t>010100100085</t>
  </si>
  <si>
    <t>010100100087</t>
  </si>
  <si>
    <t>010100100093</t>
  </si>
  <si>
    <t>010100100100</t>
  </si>
  <si>
    <t>010100100103</t>
  </si>
  <si>
    <t>010100100114</t>
  </si>
  <si>
    <t>010100100117</t>
  </si>
  <si>
    <t>010100100122</t>
  </si>
  <si>
    <t>040200100080</t>
  </si>
  <si>
    <t>040200100082</t>
  </si>
  <si>
    <t>040200100085</t>
  </si>
  <si>
    <t>040200100090</t>
  </si>
  <si>
    <t>040200100093</t>
  </si>
  <si>
    <t>040200100096</t>
  </si>
  <si>
    <t>Profit On - National Bank Of Pakistan - Main Branch</t>
  </si>
  <si>
    <t>040200100099</t>
  </si>
  <si>
    <t>051000100001</t>
  </si>
  <si>
    <t>051000100007</t>
  </si>
  <si>
    <t>051000100008</t>
  </si>
  <si>
    <t>051000100009</t>
  </si>
  <si>
    <t>051000100010</t>
  </si>
  <si>
    <t>051000100023</t>
  </si>
  <si>
    <t>051000100025</t>
  </si>
  <si>
    <t>051000100028</t>
  </si>
  <si>
    <t>051000100031</t>
  </si>
  <si>
    <t>September 30,</t>
  </si>
  <si>
    <t>CONDENSED INTERIM STATEMENT OF ASSETS AND LIABILITIES</t>
  </si>
  <si>
    <t>Subsequent clearance testing (sum and above check clearance of all) - get the system generated report or client's manual MIS</t>
  </si>
  <si>
    <t>Clear</t>
  </si>
  <si>
    <t>Pear</t>
  </si>
  <si>
    <t>CONDENSED INTERIM INCOME STATEMENT (UNAUDITED)</t>
  </si>
  <si>
    <t>CONDENSED INTERIM STATEMENT OF COMPREHENSIVE INCOME (UNAUDITED)</t>
  </si>
  <si>
    <t>CONDENSED INTERIM STATEMENT OF MOVEMENT IN UNIT HOLDERS' FUNDS (UNAUDITED)</t>
  </si>
  <si>
    <t>CONDENSED INTERIM CASH FLOW STATEMENT (UNAUDITED)</t>
  </si>
  <si>
    <t>Sindh Sales Tax on management fee has been charged at 13% (2020: 13%).</t>
  </si>
  <si>
    <t>031000500002</t>
  </si>
  <si>
    <t>BROKERAGE PAYABLE MONEY MARKET TRRANSACTIONSN</t>
  </si>
  <si>
    <t>As at September 30, 2020</t>
  </si>
  <si>
    <t>As at Sepetmber 30, 2020</t>
  </si>
  <si>
    <t>Purchased during the period</t>
  </si>
  <si>
    <t>Bonus/ rights issue during the period</t>
  </si>
  <si>
    <t>Sold during the period</t>
  </si>
  <si>
    <t>Market value as percentage of net assets</t>
  </si>
  <si>
    <t>Market value as percentage of total investments</t>
  </si>
  <si>
    <t>Par value as percentage of issued capital of the investee company</t>
  </si>
  <si>
    <t>Shares of listed companies</t>
  </si>
  <si>
    <t>All shares have a par value of Rs. 10 each except stated otherwise</t>
  </si>
  <si>
    <t>Automobile Assembler</t>
  </si>
  <si>
    <t>Pak Suzuki Motors Company Limited</t>
  </si>
  <si>
    <t>Cable &amp; Electrical Goods</t>
  </si>
  <si>
    <t>Pak Elektron Limited</t>
  </si>
  <si>
    <t>Cement</t>
  </si>
  <si>
    <t>D.G. Khan Cement Company Limited</t>
  </si>
  <si>
    <t>Fauji Cement Company Limited</t>
  </si>
  <si>
    <t>Lucky Cement Limited</t>
  </si>
  <si>
    <t>Maple Leaf Cement Factory Limited</t>
  </si>
  <si>
    <t>Pioneer Cement Limited</t>
  </si>
  <si>
    <t>Chemicals</t>
  </si>
  <si>
    <t>Engro Polymer and Chemicals Limited</t>
  </si>
  <si>
    <t>Lotte Chemical Pakistan Limited</t>
  </si>
  <si>
    <t>Engineering</t>
  </si>
  <si>
    <t>Amreli Steels Limited</t>
  </si>
  <si>
    <t>International Industries Limited</t>
  </si>
  <si>
    <t>International Steels Limited</t>
  </si>
  <si>
    <t>Mughal Iron &amp; Steel Industries Limited</t>
  </si>
  <si>
    <t>Engro Corporation Limited</t>
  </si>
  <si>
    <t>Fauji Fertilizer Bin Qasim Limited</t>
  </si>
  <si>
    <t>Oil &amp; Gas Development Company Limited</t>
  </si>
  <si>
    <t>Pakistan Oilfields Limited</t>
  </si>
  <si>
    <t>Pakistan Petroleum Limited</t>
  </si>
  <si>
    <t>Sui Southern Gas Company Limited</t>
  </si>
  <si>
    <t>Pharmaceuticals</t>
  </si>
  <si>
    <t>The Searle Company Limited</t>
  </si>
  <si>
    <t>Hub Power Company Limited</t>
  </si>
  <si>
    <t>Refinery</t>
  </si>
  <si>
    <t>Attock Refinery Limited</t>
  </si>
  <si>
    <t>National Refinery Limited</t>
  </si>
  <si>
    <t>Avanceon Limited</t>
  </si>
  <si>
    <t>Netsol Technologies</t>
  </si>
  <si>
    <t>Textile Composite</t>
  </si>
  <si>
    <t>Gul Ahmed Textile Mills Limited</t>
  </si>
  <si>
    <t>Transport</t>
  </si>
  <si>
    <t>Pakistan Interntional Bulk Terminal Limited</t>
  </si>
  <si>
    <t>Automobile Parts &amp; Accessories</t>
  </si>
  <si>
    <t>OIL &amp; GAS EXPLORATION COMPANIES</t>
  </si>
  <si>
    <t>Oil And Gas Marketing Companies</t>
  </si>
  <si>
    <t>Power Generation &amp; Distribution</t>
  </si>
  <si>
    <t>Technology &amp; Communications</t>
  </si>
  <si>
    <t>Vanaspati &amp; Allied Industries</t>
  </si>
  <si>
    <t>Unity Foods Limited</t>
  </si>
  <si>
    <t>As at July 1, 2020</t>
  </si>
  <si>
    <t xml:space="preserve">Pak Suzuki Motors Company Limited </t>
  </si>
  <si>
    <t xml:space="preserve">National Refinery Limited </t>
  </si>
  <si>
    <t xml:space="preserve">Avanceon Limited </t>
  </si>
  <si>
    <t xml:space="preserve">Netsol Technologies </t>
  </si>
  <si>
    <t xml:space="preserve">General Tyre &amp; Rubber Company Limited </t>
  </si>
  <si>
    <t>URG / LOSS FUTURE EQUITY INVESTMENTS</t>
  </si>
  <si>
    <t>Receivable against sale of investments</t>
  </si>
  <si>
    <t>Dividend receivables</t>
  </si>
  <si>
    <t>Investments in equity transactions</t>
  </si>
  <si>
    <t>Cherat Cement Company Limited</t>
  </si>
  <si>
    <t>Engro Fertilizer Limited</t>
  </si>
  <si>
    <t>From</t>
  </si>
  <si>
    <t>To</t>
  </si>
  <si>
    <t>Capital gain</t>
  </si>
  <si>
    <t>Rounded in '000</t>
  </si>
  <si>
    <t>Account Code</t>
  </si>
  <si>
    <t>Account Name</t>
  </si>
  <si>
    <t>Debit</t>
  </si>
  <si>
    <t>Credit</t>
  </si>
  <si>
    <t>5.8</t>
  </si>
  <si>
    <t>BASIS OF PREPARATION</t>
  </si>
  <si>
    <t>STATEMENT OF COMPLIANCE</t>
  </si>
  <si>
    <t>2.1.1</t>
  </si>
  <si>
    <t>This condensed interim financial statements have been prepared in accordance with the accounting and reporting standards as applicable in Pakistan which comprises of:</t>
  </si>
  <si>
    <t>International Accounting Standard (IAS) 34, Interim Financial Reporting, issued by  the International Accounting Standards Board (IASB) as notified under the Companies Act, 2017 (the Act);</t>
  </si>
  <si>
    <t xml:space="preserve">Provisions of and directives issued under the Companies Act, 2017 along with part VIIIA of the repealed Companies Ordinance, 1984; and  </t>
  </si>
  <si>
    <t>Non-Banking Finance Companies (Establishment and Regulations) Rules, 2003 (The NBFC Rules), Non-Banking Finance Companies and Notified Entities Regulations, 2008 (The NBFC Regulations) and requirement of the Trust Deed.</t>
  </si>
  <si>
    <t>Where provisions of and directives issued under the Companies Act, 2017, Part VIIIA of the repealed Companies Ordinance, 1984, the NBFC rules, the  NBFC Regulations and requirements of the Trust Deed differ from the International Accounting Standard (IAS) 34, Interim Financial Reporting,  the provisions of and directives issued under the Companies Act, 2017, Part VIIIA of the repealed Companies Ordinance, 1984,  the NBFC Rules, the NBFC Regulations and requirements of the Trust Deed have been followed.</t>
  </si>
  <si>
    <t>2.1.2</t>
  </si>
  <si>
    <t>2.1.3</t>
  </si>
  <si>
    <t>The disclosures made in this condensed interim financial information have, however, been limited based on the requirements of the International Accounting Standard 34: 'Interim Financial Reporting'. This condensed interim financial information is unaudited.</t>
  </si>
  <si>
    <t>In compliance with schedule V of the NBFC Regulations the Directors of the Management Company, hereby declare that this condensed interim financial statement give a true and fair view of the Fund.</t>
  </si>
  <si>
    <t>2.2</t>
  </si>
  <si>
    <t>Basis of Measurement</t>
  </si>
  <si>
    <t>This condensed interim financial information have been prepared on the basis of historical cost convention except that investments have been included at fair value.</t>
  </si>
  <si>
    <t>2.3</t>
  </si>
  <si>
    <t>This condensed interim financial information is presented in Pak Rupees which is the functional and presentation currency of the Fund.</t>
  </si>
  <si>
    <t>SIGNIFICANT ACCOUNTING POLICIES</t>
  </si>
  <si>
    <t>3.1</t>
  </si>
  <si>
    <t>3.2</t>
  </si>
  <si>
    <t xml:space="preserve">Amendments to certain existing standards and interpretations on approved accounting standards effective during the period were not relevant and does not have any significant impact on the Fund’s operations or a change in accounting policies of the Fund, therefore, have not been detailed in these condensed interim financial statements. </t>
  </si>
  <si>
    <t>Estimates and Judgements</t>
  </si>
  <si>
    <t xml:space="preserve">Financial Risk Management </t>
  </si>
  <si>
    <t xml:space="preserve">Pak Elektron </t>
  </si>
  <si>
    <t xml:space="preserve">D.G. Khan Cement </t>
  </si>
  <si>
    <t xml:space="preserve">Fauji Cement Co Ltd </t>
  </si>
  <si>
    <t xml:space="preserve">Lucky Cement </t>
  </si>
  <si>
    <t>Maple Leaf Cement Factory Ltd (O</t>
  </si>
  <si>
    <t xml:space="preserve">Pioneer Cement Ltd </t>
  </si>
  <si>
    <t xml:space="preserve">Engro Polymer &amp; Chemical </t>
  </si>
  <si>
    <t xml:space="preserve">Lotte Chemical Pakistan </t>
  </si>
  <si>
    <t xml:space="preserve">Amreli Steels Limited </t>
  </si>
  <si>
    <t xml:space="preserve">International Industries </t>
  </si>
  <si>
    <t xml:space="preserve">International Steels Ltd </t>
  </si>
  <si>
    <t xml:space="preserve">Mughal Iron &amp; Steel </t>
  </si>
  <si>
    <t xml:space="preserve">Engro Corporation Limited </t>
  </si>
  <si>
    <t xml:space="preserve">Fauji Fertilizer Bin Qasim Ltd </t>
  </si>
  <si>
    <t>Oil &amp; Gas Exploration Companies</t>
  </si>
  <si>
    <t xml:space="preserve">Oil &amp; Gas Development Co Ltd </t>
  </si>
  <si>
    <t xml:space="preserve">Pakistan Petroleum Ltd </t>
  </si>
  <si>
    <t xml:space="preserve">Pakistan State Oil Co Ltd </t>
  </si>
  <si>
    <t xml:space="preserve">Sui Southern Gas </t>
  </si>
  <si>
    <t xml:space="preserve">Searle Company </t>
  </si>
  <si>
    <t xml:space="preserve">Hub Power Company Ltd </t>
  </si>
  <si>
    <t xml:space="preserve">K-Electric Ltd </t>
  </si>
  <si>
    <t xml:space="preserve">Kot Addu Power Co. Ltd </t>
  </si>
  <si>
    <t xml:space="preserve">Attock Refinery Limited </t>
  </si>
  <si>
    <t xml:space="preserve">Gul Ahmed Textile </t>
  </si>
  <si>
    <t xml:space="preserve">Nishat Mills Ltd </t>
  </si>
  <si>
    <t>Pakistan Interntional Bulk Termin</t>
  </si>
  <si>
    <t xml:space="preserve">Unity Foods Limited </t>
  </si>
  <si>
    <t>June30,</t>
  </si>
  <si>
    <t>Previous Figure is 0.2862</t>
  </si>
  <si>
    <t>Previous Figure is 0.2405</t>
  </si>
  <si>
    <t>For the quarter ended Septmeber 30, 2020</t>
  </si>
  <si>
    <t>Figures have been rounded off to the nearest thousand rupees, unless otherwise specified.</t>
  </si>
  <si>
    <t>AS AT SEPTEMBER 30, 2021</t>
  </si>
  <si>
    <t>2021</t>
  </si>
  <si>
    <t>Payable against purchase of investment</t>
  </si>
  <si>
    <t>FOR THE QUARTER ENDED SEPTEMBER 30, 2021</t>
  </si>
  <si>
    <t xml:space="preserve">For the period ended September 30, </t>
  </si>
  <si>
    <t>Total comprehensive income for the period</t>
  </si>
  <si>
    <t>Net assets at beginning of the period</t>
  </si>
  <si>
    <t>Net assets at end of the period</t>
  </si>
  <si>
    <t>Net assets value per unit at beginning of the period</t>
  </si>
  <si>
    <t>Net assets value per unit at end of the period</t>
  </si>
  <si>
    <t>Net income for the period before taxation</t>
  </si>
  <si>
    <t>Net income for the period after taxation</t>
  </si>
  <si>
    <t>Allocation of net income for the period</t>
  </si>
  <si>
    <t>Net increase in cash and cash equivalents during the period</t>
  </si>
  <si>
    <t>Cash and cash equivalents at the beginning of the period</t>
  </si>
  <si>
    <t>Cash and cash equivalents at the end of the period</t>
  </si>
  <si>
    <t>the beginning of the period)</t>
  </si>
  <si>
    <t>beginning of the period)</t>
  </si>
  <si>
    <t>- Relating to 'Net income for the period after taxation'</t>
  </si>
  <si>
    <t>Future stock contracts</t>
  </si>
  <si>
    <t>As at  July 1, 2021</t>
  </si>
  <si>
    <t>Purchased  during  the period</t>
  </si>
  <si>
    <t>Sold / matured during the period</t>
  </si>
  <si>
    <t>As at September 30, 2021</t>
  </si>
  <si>
    <t>Total as at September 30, 2021</t>
  </si>
  <si>
    <t>Total as at June 30, 2021</t>
  </si>
  <si>
    <t>Pakistan investment bonds - Floating Rate Bonds (FRB)</t>
  </si>
  <si>
    <t>Pakistan Investment Bond - 2 years *</t>
  </si>
  <si>
    <t>Pakistan Investment Bond - 3 years *</t>
  </si>
  <si>
    <t>Total as at Sepetmber 30, 2021</t>
  </si>
  <si>
    <t>Pakistan investment bonds</t>
  </si>
  <si>
    <t>Pakistan Investment Bond - 5 years *</t>
  </si>
  <si>
    <t>Term finance certificates - listed debt securities</t>
  </si>
  <si>
    <t>As at Sepetmber 30, 2021</t>
  </si>
  <si>
    <t>Term finance certificates - unlisted debt securities</t>
  </si>
  <si>
    <t>Significant terms and conditions of term finance certificates outstanding as at Sepetmber 30, 2021 are as follows:</t>
  </si>
  <si>
    <t>As at July 1, 2021</t>
  </si>
  <si>
    <t>As at June 30, 2021</t>
  </si>
  <si>
    <t>These transactions relating to shares of related parties</t>
  </si>
  <si>
    <t>**</t>
  </si>
  <si>
    <t>These have a face value of Rs. 1 per share</t>
  </si>
  <si>
    <t>***</t>
  </si>
  <si>
    <t>These have a face value of Rs. 3.5 per share</t>
  </si>
  <si>
    <t>****</t>
  </si>
  <si>
    <t>These have a face value of Rs. 5 per share</t>
  </si>
  <si>
    <t>The movement in equity securities represents spread transactions entered into by the Fund. The Fund purchases equity securities in ready settlement market and sells the securities in future settlement market on the same day, resulting in spread income / (loss) due to difference in ready and future stock prices.</t>
  </si>
  <si>
    <t>Future transactions of equity securities entered into by the Fund</t>
  </si>
  <si>
    <t xml:space="preserve">  in respect of which the following transactions have not been settled</t>
  </si>
  <si>
    <t xml:space="preserve">  as at year end</t>
  </si>
  <si>
    <t xml:space="preserve"> - Future sale transaction</t>
  </si>
  <si>
    <t xml:space="preserve"> - Future buy transaction</t>
  </si>
  <si>
    <t>Margin Trading Systems (MTS) transaction entered into by the</t>
  </si>
  <si>
    <t xml:space="preserve">   Fund which have not been settled as at year end:</t>
  </si>
  <si>
    <t xml:space="preserve">  - Sale transactions</t>
  </si>
  <si>
    <t>Aisha Steel Limited</t>
  </si>
  <si>
    <t>Nishat Chunian Limited</t>
  </si>
  <si>
    <t>Power Cement Limited</t>
  </si>
  <si>
    <t>Trail Balance</t>
  </si>
  <si>
    <t>Bank Balances - Finca Micro Finance Bank-(Liaquatabad Branch)</t>
  </si>
  <si>
    <t>010100100094</t>
  </si>
  <si>
    <t>Bank Balances - Silk Bank Limited - Emaan Islamic Bank- Clifton Branch</t>
  </si>
  <si>
    <t>BANK BALANCES - ALLIED BANK LIMITED - FX Current A/C</t>
  </si>
  <si>
    <t>010100100129</t>
  </si>
  <si>
    <t>Bank Balances -Soneri Bank Limited-New Challi Branch</t>
  </si>
  <si>
    <t>010400100001</t>
  </si>
  <si>
    <t>RECEIVABLE AGAINST SALE OF UNITS</t>
  </si>
  <si>
    <t>PROFIT RECEIVABLE - BANK AL FALAH LIMITED  - KSE</t>
  </si>
  <si>
    <t>010601100092</t>
  </si>
  <si>
    <t>010601100098</t>
  </si>
  <si>
    <t>010601100110</t>
  </si>
  <si>
    <t>Profit Receivable - Allied Bank Limited - Kse Branch</t>
  </si>
  <si>
    <t>010601700001</t>
  </si>
  <si>
    <t>010603500001</t>
  </si>
  <si>
    <t>Accrued Profit on PIB FRB- Fortnightly</t>
  </si>
  <si>
    <t>030600100001</t>
  </si>
  <si>
    <t>PAYABLE AGAINST PURCHASE OF INV. MM</t>
  </si>
  <si>
    <t>040200100011</t>
  </si>
  <si>
    <t>Profit On - Faysal Bank Limited - Gulshan E Iqbal Branch</t>
  </si>
  <si>
    <t>040200100034</t>
  </si>
  <si>
    <t>Profit On - United Bank Limited - Corporate Branch</t>
  </si>
  <si>
    <t>040200100088</t>
  </si>
  <si>
    <t>Profit On Habib Bank Limited Kse Branch</t>
  </si>
  <si>
    <t>040200100111</t>
  </si>
  <si>
    <t xml:space="preserve"> Profit on - Allied Bank Limited - KSE Branch</t>
  </si>
  <si>
    <t>040200100122</t>
  </si>
  <si>
    <t>Profit On -Soneri Bank Limited-New Challi Branch</t>
  </si>
  <si>
    <t>040204200001</t>
  </si>
  <si>
    <t>Income on PIB FRB - Fortnightly</t>
  </si>
  <si>
    <t>051000100016</t>
  </si>
  <si>
    <t>BANK CHARGES - UNITED BANK LIMITED</t>
  </si>
  <si>
    <t>051000100017</t>
  </si>
  <si>
    <t>Bank Charges - Bank Al-Habib Limited</t>
  </si>
  <si>
    <t>051000100021</t>
  </si>
  <si>
    <t>Bank Charges - JS Bank Limited</t>
  </si>
  <si>
    <t>051000100022</t>
  </si>
  <si>
    <t>Bank Charges - Nrsp Microfinance Bank Limited</t>
  </si>
  <si>
    <t>This condensed interim financial information does not include all the information and disclosures required for full annual financial statements and should be read in conjunction with the financial statements for the year ended 30 June 2021.</t>
  </si>
  <si>
    <t>The comparative in the statement of assets and liabilities presented in the condensed interim financial information as at 30 September 2021 have been extracted from the audited financial statements of the Fund for the year ended 30 June 2021, whereas the comparatives in the condensed interim income statement, condensed interim cash flow statement, condensed interim distribution statement and condensed interim statement of movement in unit holders' funds are stated from unaudited condensed interim financial information for the quarter ended 30 September 2020.</t>
  </si>
  <si>
    <t xml:space="preserve">The Fund's financial risk management objectives and policies are consistent with that disclosed in the financial statements as at and for the year ended 30 June 2021.
</t>
  </si>
  <si>
    <t>The accounting policies adopted for the preparation of these condensed interim financial statements are the same as those applied in the preparation of the annual published financial statements of the Fund for the period ended June 30, 2021.</t>
  </si>
  <si>
    <t xml:space="preserve">
The preparation of condensed interim financial information requires management to make judgments, estimates and assumptions that affect the application of accounting policies and the reported amounts of assets and liabilities, income and expenses. Actual results may differ from these estimates. In preparing this condensed interim financial information, the significant judgments made by management in applying accounting policies and the key sources of estimation uncertainty were the same as those that applied to financial statements as at and for the year ended 30 June 2021.
</t>
  </si>
  <si>
    <t>Income from spread transactions</t>
  </si>
  <si>
    <t>03-JUN-21</t>
  </si>
  <si>
    <t>12-AUG-21</t>
  </si>
  <si>
    <t>17-JUN-21</t>
  </si>
  <si>
    <t>02-JUL-21</t>
  </si>
  <si>
    <t>06-MAY-21</t>
  </si>
  <si>
    <t>26-AUG-21</t>
  </si>
  <si>
    <t>15-JUL-21</t>
  </si>
  <si>
    <t>29-JUL-21</t>
  </si>
  <si>
    <t>09-SEP-21</t>
  </si>
  <si>
    <t>20-MAY-21</t>
  </si>
  <si>
    <t>25-MAR-21</t>
  </si>
  <si>
    <t>25-FEB-21</t>
  </si>
  <si>
    <t>22-APR-21</t>
  </si>
  <si>
    <t>Redemption of 115,780,492 units (2020: 14,565,800 units)</t>
  </si>
  <si>
    <t>These carry effective yield of ranging between 7.2103% to 8.0219% (June 2021: 7.14% to 7.62%) per annum and will matured by November 05, 2022 to May 06, 2026. (June 2021: November 05, 2022 to October 22, 2023)</t>
  </si>
  <si>
    <t>Ghandhara Nissan Limited</t>
  </si>
  <si>
    <t>Sazgar Engineering Works Limited</t>
  </si>
  <si>
    <t>Waves Singer Pakistan Limited</t>
  </si>
  <si>
    <t>Ghani Global Holdings Limited</t>
  </si>
  <si>
    <t>Bank Of Punjab</t>
  </si>
  <si>
    <t>Food &amp; Personal Care Products</t>
  </si>
  <si>
    <t>Fauji Foods Limited</t>
  </si>
  <si>
    <t>The Organic Meat Company Limited</t>
  </si>
  <si>
    <t>Glass &amp; Ceramics</t>
  </si>
  <si>
    <t>Tariq Glass Industries</t>
  </si>
  <si>
    <t>Siddiqsons Tin Plate Limited</t>
  </si>
  <si>
    <t>Pakistan State Oil Company Limited</t>
  </si>
  <si>
    <t>Sui Northern Gas Pipelines Limited</t>
  </si>
  <si>
    <t>Kot Addu Power Company Limited</t>
  </si>
  <si>
    <t>Pakistan Refinery Limited</t>
  </si>
  <si>
    <t>Pakistan Telecommunication</t>
  </si>
  <si>
    <t>TRG Pakistan Limited</t>
  </si>
  <si>
    <t>Arif Habib Limited</t>
  </si>
  <si>
    <t>368,000 shares (2021: 341,500 shares)</t>
  </si>
  <si>
    <t>56,000 shares (2021: 454,000 shares)</t>
  </si>
  <si>
    <t>5,445,500 shares (2021: 4,971,000 shares)</t>
  </si>
  <si>
    <t>9,000 shares (2021: 3,500 shares)</t>
  </si>
  <si>
    <t>11,500 shares (2021: 39,000 shares)</t>
  </si>
  <si>
    <t>Markup income on margin trading system</t>
  </si>
  <si>
    <t>Unrealised (diminution) on re-measurement of investments</t>
  </si>
  <si>
    <t>Net cash generated from / (used in) operating activities</t>
  </si>
  <si>
    <t>Net cash (used in) / generated from financing activities</t>
  </si>
  <si>
    <t>These carry profit at the rates ranging between 5.5% to 8.6% (June 2021: 5.50% to 9.75%) per annum and include Rs 2.82 million (June 2021: Rs 2.83million) maintained with MCB Bank Limited (a related party) which carries profit at the rate of 5.5% (June 2021: 5.50%) per annum.</t>
  </si>
  <si>
    <t xml:space="preserve">This include Rs 6.97 million (2021: Rs 12.3225 million) maintained with MCB Bank Limited (a related party). </t>
  </si>
  <si>
    <t>Government securities - Market Treasury Bills</t>
  </si>
  <si>
    <t>7.1.2</t>
  </si>
  <si>
    <t>7.1.3</t>
  </si>
  <si>
    <t>7.2</t>
  </si>
  <si>
    <t>7.3</t>
  </si>
  <si>
    <t>7.4</t>
  </si>
  <si>
    <t>7.5</t>
  </si>
  <si>
    <t>7.5.1</t>
  </si>
  <si>
    <t>7.6</t>
  </si>
  <si>
    <t>Significant terms and conditions of Sukuk certificates outstanding as at September 30, 2021 are as follows:</t>
  </si>
  <si>
    <t>D.G. Khan Cement Company Limited*</t>
  </si>
  <si>
    <t>Power Cement Limited*</t>
  </si>
  <si>
    <t>Aisha Steel Mills Limited*</t>
  </si>
  <si>
    <t>Nishat (Chunian) Limited*</t>
  </si>
  <si>
    <t>Nishat Mills Limited*</t>
  </si>
  <si>
    <t>Hum Network Limited**</t>
  </si>
  <si>
    <t>K-Electric Limited***</t>
  </si>
  <si>
    <t>Shabbir Tiles &amp; Ceramics Limited****</t>
  </si>
  <si>
    <t>Remuneration of the Management Company and the Trustee is determined in accordance with the provisions of the NBFC Regulations, 2008 and the Trust Deed respectively</t>
  </si>
  <si>
    <t>IMPACT OF COVID-19</t>
  </si>
  <si>
    <t>6</t>
  </si>
  <si>
    <t>7</t>
  </si>
  <si>
    <t>8</t>
  </si>
  <si>
    <t>9</t>
  </si>
  <si>
    <t>Earning/ (Loss) per unit</t>
  </si>
  <si>
    <t>EARNING / (LOSS)  PER UNIT</t>
  </si>
  <si>
    <t>Earnings/(Loss) per unit based on cumulative weighted average units for the period has not been disclosed as in the opinion of the Management Company, the determination of the same is not practicable.</t>
  </si>
  <si>
    <t xml:space="preserve">Purchase of 16,379,000 shares </t>
  </si>
  <si>
    <t xml:space="preserve">Purchase of 1,605,500 shares </t>
  </si>
  <si>
    <t xml:space="preserve">Sale of 1,579,000 shares </t>
  </si>
  <si>
    <t xml:space="preserve">Sale of 15,904,500 shares </t>
  </si>
  <si>
    <t xml:space="preserve">Purchase of 426,500 shares </t>
  </si>
  <si>
    <t xml:space="preserve">Sale of 421,000 shares </t>
  </si>
  <si>
    <t xml:space="preserve">Purchase of 625,500 shares </t>
  </si>
  <si>
    <t xml:space="preserve">Sale of 653,000 shares </t>
  </si>
  <si>
    <t xml:space="preserve">Purchase of 256,500 shares </t>
  </si>
  <si>
    <t xml:space="preserve">Sale of 654,500 shares </t>
  </si>
  <si>
    <t>Nishat Mills Limited Employees Provident Fund Trust</t>
  </si>
  <si>
    <t>Adamjee Life Assurance Company Limited</t>
  </si>
  <si>
    <t xml:space="preserve">Sindh Workers' Welfare Fund </t>
  </si>
  <si>
    <t>Issue of 89,973,213 units (2020: 15,968,600 units)</t>
  </si>
  <si>
    <t>(Loss) / Gain on sale of investments - net</t>
  </si>
  <si>
    <t>The Pakistan Credit Rating Agency Limited (PACRA) has maintained asset manager rating of “AM1” dated October 06, 2020, to the Management Company and the stability rating of A+(f) to the Fund dated September 09, 2021.</t>
  </si>
  <si>
    <t xml:space="preserve">Sindh Revenue Board (SRB) through its letter dated August 12, 2021 received on August 13, 2021 has intimated Mutual Funds Association of Pakistan's (MUFAP) that the mutual funds do not qualify as Financial Institutions / Industrial Establishments and are therefore, not liable to pay the Sindh Workers’ Welfare Fund (SWWF) contributions. This development was discussed at MUFAP level and was also been taken up with the the Securities and Exchange Commission of Pakistan (SECP). All the Asset Management Companies, in consultation with SECP, have reversed the cumulative provision for SWWF recognised in the financial statements of the Funds till August 12, 2021 on August 13, 2021. </t>
  </si>
  <si>
    <t>SECP has also given its concurrence for recording reversal of provision of SWWF on the day letter was received by MUFAP. This reversal of provision has contributed towards an unusual increase in NAV of the Fund on August 13, 2021. This is one-off event and is not likely to be repeated in the future.</t>
  </si>
  <si>
    <t xml:space="preserve">Going forward, no provision for SWWF would be recognised in the financial statements of the Fund. </t>
  </si>
  <si>
    <t>There were no contingencies and commitments as at Septmeber 30, 2021 and June 30, 2021.</t>
  </si>
  <si>
    <t xml:space="preserve">The Fund's income is exempt from income tax as per clause (99) of part I of the Second Schedule to the Income Tax Ordinance, 2001 subject to the condition that not less than 90% of the accounting income available for distribution for the year as reduced by capital gains whether realized or unrealized is distributed amongst the unit holders by way of cash dividend. Furthermore, as per regulation 63 of the Non-Banking Finance Companies and Notified Entities Regulation, 2008, the Fund is required to distribute 90% of the net accounting income available for distribution other than capital gains to the unit holders in cash. The Fund is also exempt from the provision of Section 113 (minimum tax) under clause 11A of Part IV of the Second Schedule to the Income Tax Ordinance, 2001. The management intends to distribute at least 90% of income to be earned during current year to the unit holders, therefore, no provision for taxation has been recorded in this condensed interim financial information. </t>
  </si>
  <si>
    <t>FAIR VALUE MEASUREMENTS</t>
  </si>
  <si>
    <t>Fair value is the price that would be received to sell an asset or paid to transfer a liability in an orderly transaction between market participants at the measurement date. Consequently, differences can arise between carrying values and the fair value estimates.</t>
  </si>
  <si>
    <t>Underlying the definition of fair value is the presumption that the Fund is a going concern without any intention or requirement to curtail materially the scale of its operations or to undertake a transaction on adverse terms.</t>
  </si>
  <si>
    <t>Financial assets which are tradable in an open market are revalued at the market prices prevailing on the statement of assets and liabilities date. The estimated fair value of all other financial assets and liabilities is considered not to be significantly different from the respective book values.</t>
  </si>
  <si>
    <t>Fair value hierarchy</t>
  </si>
  <si>
    <t>International Financial Reporting Standard 13, 'Fair Value Measurement' requires the Fund to classify assets using a fair value hierarchy that reflects the significance of the inputs used in making the measurements. The fair value hierarchy has the following levels:</t>
  </si>
  <si>
    <t>Level 1: quoted prices (unadjusted) in active markets for identical assets or liabilities;</t>
  </si>
  <si>
    <t>Level 2: inputs other than quoted prices included within level 1 that are observable for the asset or liability either directly (i.e. as prices) or indirectly (i.e. derived from prices); and</t>
  </si>
  <si>
    <t>Level 3: inputs for the asset or liability that are not based on observable market data (i.e. unobservable inputs).</t>
  </si>
  <si>
    <t xml:space="preserve">A novel strain of coronavirus (COVID-19) was classified as a pandemic by the World Health Organization on March 11, 2020, impacting countries globally. Measures taken to contain the spread of the virus, including lock-downs, travel bans, quarantines, social distancing, and closures of non-essential services and factories triggered significant disruptions to businesses worldwide and in Pakistan, resulting in an economic slowdown. During the lockdown that lasted from March to May 2020, the funds continued their activity, as the Pakistan Stock Exchange and the money markets continued trading. Management Company is of the view that while COVID-19 and its resulting containment measures have affected the economy, investors’ confidence and adequate steps from the government and regulators have spearheaded recovery and subsequent events reflect that in due course, things would be normalised.
</t>
  </si>
  <si>
    <t>The annexed notes 1 to 17 form an integral part of these financial statements.</t>
  </si>
  <si>
    <t>As at 
July 1, 2021</t>
  </si>
  <si>
    <t>As at 
September 30, 2021</t>
  </si>
  <si>
    <t>For the quarter ended Septmeber 30, 2021</t>
  </si>
  <si>
    <t>As at 
July 01, 2020</t>
  </si>
  <si>
    <t>There is no change in the status of Federal Excise Duty as reported in the annual financial statements of the Fund for the year ended June 30, 2021. Had the said provision for FED not been recorded in the condensed interim financial information of the Fund, the net asset value of the Fund as at September 30, 2021 would have been higher/lower by Re. 0.06 per unit (June 30, 2021: Re. 0.05 per unit).</t>
  </si>
  <si>
    <t xml:space="preserve">The annualized total expense ratio of the Fund based on the current period results is 2.14% (September 30, 2020: 2.50%) and this includes 0.16% (September 30, 2020: 0.36%) representing government levy, SECP fee etc. </t>
  </si>
  <si>
    <t>7.2.1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</si>
</sst>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41" formatCode="_(* #,##0_);_(* \(#,##0\);_(* &quot;-&quot;_);_(@_)"/>
    <numFmt numFmtId="43" formatCode="_(* #,##0.00_);_(* \(#,##0.00\);_(* &quot;-&quot;??_);_(@_)"/>
    <numFmt numFmtId="164" formatCode="_(* \+#,##0.0%_);_(* \-#,##0.0%_);_(* &quot; - &quot;_);_(@_)"/>
    <numFmt numFmtId="165" formatCode="_(* 0.0%_);_(* 0.0%_);_(* &quot;-&quot;_);_(@_)"/>
    <numFmt numFmtId="166" formatCode="_(* #,##0_);_(* \(##,##0\);_(* &quot;-&quot;_);_(@_)"/>
    <numFmt numFmtId="167" formatCode="#,##0_);\(#,##0\);_(* &quot;-&quot;??_);_(@_)"/>
    <numFmt numFmtId="168" formatCode="_(* #,##0_);_(* \(#,##0\);_(* &quot;-&quot;??_);_(@_)"/>
    <numFmt numFmtId="169" formatCode="_(* #,##0.0000_);_(* \(#,##0.0000\);_(* &quot;-&quot;??_);_(@_)"/>
    <numFmt numFmtId="170" formatCode="#,##0.0_);\(#,##0.0\)"/>
    <numFmt numFmtId="171" formatCode="#,##0_);\(#,##0\);_(* &quot;-&quot;?_);_(@_)"/>
    <numFmt numFmtId="172" formatCode="_-* #,##0_-;\-* #,##0_-;_-* &quot;-&quot;??_-;_-@_-"/>
    <numFmt numFmtId="173" formatCode="_(* #,##0.0000000_);_(* \(#,##0.0000000\);_(* &quot;-&quot;??_);_(@_)"/>
    <numFmt numFmtId="174" formatCode="#,##0.0000_);\(#,##0.0000\);_(* &quot;-&quot;??_);_(@_)"/>
    <numFmt numFmtId="175" formatCode="_(* #,##0.000_);_(* \(#,##0.000\);_(* &quot;-&quot;??_);_(@_)"/>
    <numFmt numFmtId="176" formatCode="#,##0.0"/>
    <numFmt numFmtId="177" formatCode="0.0"/>
    <numFmt numFmtId="178" formatCode="_(* #,##0.0_);_(* \(#,##0.0\);_(* &quot;-&quot;??_);_(@_)"/>
    <numFmt numFmtId="179" formatCode="_([$€-2]* #,##0.00_);_([$€-2]* \(#,##0.00\);_([$€-2]* &quot;-&quot;??_)"/>
    <numFmt numFmtId="180" formatCode="_-* #,##0.00_-;\-* #,##0.00_-;_-* &quot;-&quot;??_-;_-@_-"/>
    <numFmt numFmtId="181" formatCode="[$-3409]dd\-mmm\-yy;@"/>
    <numFmt numFmtId="182" formatCode="[$-409]mmmm\ d\,\ yyyy;@"/>
    <numFmt numFmtId="183" formatCode="\ mmmm\ dd\,\ yyyy"/>
    <numFmt numFmtId="184" formatCode="#,##0.00;[Red]\(#,##0.00\)"/>
    <numFmt numFmtId="185" formatCode="[$-409]d\-mmm\-yy;@"/>
    <numFmt numFmtId="186" formatCode="#,##0.000"/>
    <numFmt numFmtId="187" formatCode="&quot;$&quot;#,\);\(&quot;$&quot;#,\)"/>
    <numFmt numFmtId="188" formatCode="#,##0.000_);\(#,##0.000\)"/>
    <numFmt numFmtId="189" formatCode="_(* #,##0.00_);_(* \(#,##0.00\);_(* \-??_);_(@_)"/>
    <numFmt numFmtId="190" formatCode="_(* #,##0.00000_);_(* \(#,##0.00000\);_(* &quot;-&quot;??_);_(@_)"/>
    <numFmt numFmtId="191" formatCode="_(* #,##0_);_(* \(##,##0\);_(* &quot; - &quot;_);_(@_)"/>
    <numFmt numFmtId="192" formatCode="0.0%"/>
    <numFmt numFmtId="193" formatCode="#,##0_ "/>
    <numFmt numFmtId="194" formatCode="#,##0.00_ "/>
    <numFmt numFmtId="195" formatCode="_ * #,##0.00_)_ _ ;_ * \(#,##0.00\)_ _ ;_ * &quot;-&quot;??_)_ _ ;_ @_ "/>
    <numFmt numFmtId="196" formatCode="[$-409]dddd\,\ mmmm\ dd\,\ yyyy"/>
    <numFmt numFmtId="197" formatCode="#,##0.0000"/>
    <numFmt numFmtId="198" formatCode="#,##0.00_);\(#,##0.00\);_(* &quot;-&quot;??_);_(@_)"/>
  </numFmts>
  <fonts count="89">
    <font>
      <sz val="11"/>
      <color theme="1"/>
      <name val="Calibri"/>
      <family val="2"/>
      <scheme val="minor"/>
    </font>
    <font>
      <b/>
      <sz val="11"/>
      <color theme="1"/>
      <name val="Calibri"/>
      <family val="2"/>
      <scheme val="minor"/>
    </font>
    <font>
      <sz val="11"/>
      <color theme="1"/>
      <name val="Calibri"/>
      <family val="2"/>
      <scheme val="minor"/>
    </font>
    <font>
      <sz val="12"/>
      <name val="Times New Roman"/>
      <family val="1"/>
    </font>
    <font>
      <sz val="12"/>
      <name val="Times New Roman"/>
      <family val="1"/>
    </font>
    <font>
      <b/>
      <sz val="10"/>
      <name val="Arial"/>
      <family val="2"/>
    </font>
    <font>
      <sz val="9"/>
      <name val="Arial"/>
      <family val="2"/>
    </font>
    <font>
      <sz val="10"/>
      <name val="Arial"/>
      <family val="2"/>
    </font>
    <font>
      <b/>
      <sz val="9"/>
      <name val="Arial"/>
      <family val="2"/>
    </font>
    <font>
      <sz val="9"/>
      <color rgb="FFFF0000"/>
      <name val="Arial"/>
      <family val="2"/>
    </font>
    <font>
      <sz val="9"/>
      <color rgb="FF000000"/>
      <name val="Arial"/>
      <family val="2"/>
    </font>
    <font>
      <b/>
      <sz val="9"/>
      <color theme="1"/>
      <name val="Arial"/>
      <family val="2"/>
    </font>
    <font>
      <sz val="9"/>
      <color theme="1"/>
      <name val="Arial"/>
      <family val="2"/>
    </font>
    <font>
      <sz val="8"/>
      <color theme="1"/>
      <name val="Arial"/>
      <family val="2"/>
    </font>
    <font>
      <b/>
      <sz val="8"/>
      <name val="Arial"/>
      <family val="2"/>
    </font>
    <font>
      <sz val="8"/>
      <name val="Arial"/>
      <family val="2"/>
    </font>
    <font>
      <b/>
      <sz val="8"/>
      <color theme="1"/>
      <name val="Arial"/>
      <family val="2"/>
    </font>
    <font>
      <i/>
      <sz val="10"/>
      <name val="Arial"/>
      <family val="2"/>
    </font>
    <font>
      <sz val="10"/>
      <name val="Times New Roman"/>
      <family val="1"/>
    </font>
    <font>
      <sz val="10"/>
      <color theme="1"/>
      <name val="Arial"/>
      <family val="2"/>
    </font>
    <font>
      <b/>
      <sz val="10"/>
      <color theme="1"/>
      <name val="Arial"/>
      <family val="2"/>
    </font>
    <font>
      <sz val="7.5"/>
      <name val="Arial"/>
      <family val="2"/>
    </font>
    <font>
      <b/>
      <sz val="7"/>
      <name val="Arial"/>
      <family val="2"/>
    </font>
    <font>
      <sz val="7"/>
      <name val="Times New Roman"/>
      <family val="1"/>
    </font>
    <font>
      <sz val="7"/>
      <name val="Arial"/>
      <family val="2"/>
    </font>
    <font>
      <b/>
      <sz val="7.5"/>
      <name val="Arial"/>
      <family val="2"/>
    </font>
    <font>
      <b/>
      <sz val="9"/>
      <color indexed="8"/>
      <name val="Times New Roman"/>
      <family val="1"/>
    </font>
    <font>
      <b/>
      <sz val="7.5"/>
      <color theme="1"/>
      <name val="Arial"/>
      <family val="2"/>
    </font>
    <font>
      <sz val="12"/>
      <name val="Arial"/>
      <family val="2"/>
    </font>
    <font>
      <b/>
      <u/>
      <sz val="10"/>
      <color indexed="62"/>
      <name val="Arial"/>
      <family val="2"/>
    </font>
    <font>
      <sz val="10"/>
      <color indexed="10"/>
      <name val="Arial"/>
      <family val="2"/>
    </font>
    <font>
      <sz val="10"/>
      <color indexed="8"/>
      <name val="MS Sans Serif"/>
      <family val="2"/>
    </font>
    <font>
      <sz val="10"/>
      <color indexed="8"/>
      <name val="Arial"/>
      <family val="2"/>
    </font>
    <font>
      <b/>
      <sz val="10"/>
      <color indexed="8"/>
      <name val="Arial"/>
      <family val="2"/>
    </font>
    <font>
      <sz val="11"/>
      <name val="Times New Roman"/>
      <family val="1"/>
    </font>
    <font>
      <sz val="9"/>
      <color indexed="8"/>
      <name val="Arial"/>
      <family val="2"/>
    </font>
    <font>
      <sz val="7"/>
      <name val="Arial Narrow"/>
      <family val="2"/>
    </font>
    <font>
      <b/>
      <sz val="6.5"/>
      <name val="Arial Narrow"/>
      <family val="2"/>
    </font>
    <font>
      <sz val="10"/>
      <name val="CG Omega"/>
      <family val="2"/>
    </font>
    <font>
      <sz val="6.5"/>
      <name val="Arial Narrow"/>
      <family val="2"/>
    </font>
    <font>
      <b/>
      <sz val="7"/>
      <name val="Arial Narrow"/>
      <family val="2"/>
    </font>
    <font>
      <sz val="6"/>
      <name val="Arial Narrow"/>
      <family val="2"/>
    </font>
    <font>
      <b/>
      <sz val="6"/>
      <name val="Arial Narrow"/>
      <family val="2"/>
    </font>
    <font>
      <sz val="7.5"/>
      <name val="Arial Narrow"/>
      <family val="2"/>
    </font>
    <font>
      <sz val="10"/>
      <name val="Arial Narrow"/>
      <family val="2"/>
    </font>
    <font>
      <sz val="8"/>
      <color indexed="8"/>
      <name val="Arial"/>
      <family val="2"/>
    </font>
    <font>
      <sz val="10"/>
      <color rgb="FF000000"/>
      <name val="Arial"/>
      <family val="2"/>
    </font>
    <font>
      <sz val="10"/>
      <name val="Calibri"/>
      <family val="2"/>
      <scheme val="minor"/>
    </font>
    <font>
      <sz val="7.5"/>
      <color theme="1"/>
      <name val="Times New Roman"/>
      <family val="1"/>
    </font>
    <font>
      <sz val="7.5"/>
      <color theme="1"/>
      <name val="Arial"/>
      <family val="2"/>
    </font>
    <font>
      <sz val="11"/>
      <color indexed="8"/>
      <name val="Calibri"/>
      <family val="2"/>
    </font>
    <font>
      <b/>
      <sz val="10"/>
      <name val="Arial Narrow"/>
      <family val="2"/>
    </font>
    <font>
      <sz val="10"/>
      <color indexed="56"/>
      <name val="Arial"/>
      <family val="2"/>
    </font>
    <font>
      <sz val="9"/>
      <color indexed="56"/>
      <name val="Arial"/>
      <family val="2"/>
    </font>
    <font>
      <b/>
      <sz val="10"/>
      <name val="Calibri"/>
      <family val="2"/>
      <scheme val="minor"/>
    </font>
    <font>
      <b/>
      <i/>
      <sz val="10"/>
      <color rgb="FF00A1DE"/>
      <name val="Calibri"/>
      <family val="2"/>
      <scheme val="minor"/>
    </font>
    <font>
      <b/>
      <sz val="10"/>
      <color theme="0"/>
      <name val="Calibri"/>
      <family val="2"/>
      <scheme val="minor"/>
    </font>
    <font>
      <sz val="10"/>
      <color theme="1"/>
      <name val="Calibri"/>
      <family val="2"/>
      <scheme val="minor"/>
    </font>
    <font>
      <b/>
      <sz val="9"/>
      <color theme="1"/>
      <name val="Verdana"/>
      <family val="2"/>
    </font>
    <font>
      <b/>
      <sz val="10"/>
      <color rgb="FF92D050"/>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b/>
      <i/>
      <u/>
      <sz val="10"/>
      <color theme="1"/>
      <name val="Calibri"/>
      <family val="2"/>
      <scheme val="minor"/>
    </font>
    <font>
      <sz val="11"/>
      <color indexed="8"/>
      <name val="Times New Roman"/>
      <family val="1"/>
    </font>
    <font>
      <b/>
      <sz val="10"/>
      <color indexed="21"/>
      <name val="Arial"/>
      <family val="2"/>
    </font>
    <font>
      <sz val="9"/>
      <color rgb="FF1F497D"/>
      <name val="Arial"/>
      <family val="2"/>
    </font>
    <font>
      <sz val="12"/>
      <name val="Times New Roman "/>
    </font>
    <font>
      <sz val="11"/>
      <name val="Arial"/>
      <family val="2"/>
    </font>
    <font>
      <b/>
      <sz val="10"/>
      <color rgb="FFFF0000"/>
      <name val="Arial"/>
      <family val="2"/>
    </font>
    <font>
      <b/>
      <sz val="8"/>
      <name val="Arial Narrow"/>
      <family val="2"/>
    </font>
    <font>
      <sz val="8"/>
      <name val="Arial Narrow"/>
      <family val="2"/>
    </font>
    <font>
      <b/>
      <sz val="9"/>
      <color rgb="FFFF0000"/>
      <name val="Arial"/>
      <family val="2"/>
    </font>
    <font>
      <b/>
      <sz val="8.5"/>
      <name val="Arial"/>
      <family val="2"/>
    </font>
    <font>
      <sz val="8.5"/>
      <name val="Arial"/>
      <family val="2"/>
    </font>
    <font>
      <b/>
      <i/>
      <sz val="10"/>
      <color theme="1"/>
      <name val="Arial"/>
      <family val="2"/>
    </font>
    <font>
      <b/>
      <sz val="8"/>
      <name val="Verdana"/>
      <family val="2"/>
    </font>
    <font>
      <b/>
      <sz val="8"/>
      <color rgb="FF92D050"/>
      <name val="Verdana"/>
      <family val="2"/>
    </font>
    <font>
      <sz val="8"/>
      <name val="Verdana"/>
      <family val="2"/>
    </font>
    <font>
      <b/>
      <u/>
      <sz val="8"/>
      <name val="Verdana"/>
      <family val="2"/>
    </font>
    <font>
      <sz val="8"/>
      <color theme="1"/>
      <name val="Verdana"/>
      <family val="2"/>
    </font>
    <font>
      <b/>
      <sz val="9"/>
      <color theme="1"/>
      <name val="Georgia"/>
      <family val="1"/>
    </font>
    <font>
      <sz val="9"/>
      <color theme="1"/>
      <name val="Georgia"/>
      <family val="1"/>
    </font>
    <font>
      <sz val="12"/>
      <name val="DTMLetterRegular"/>
    </font>
    <font>
      <b/>
      <sz val="10"/>
      <name val="Times New Roman"/>
      <family val="1"/>
    </font>
    <font>
      <sz val="10"/>
      <name val="Georgia"/>
      <family val="1"/>
    </font>
    <font>
      <b/>
      <sz val="11"/>
      <name val="Arial"/>
      <family val="2"/>
    </font>
    <font>
      <sz val="9"/>
      <color indexed="81"/>
      <name val="Tahoma"/>
      <family val="2"/>
    </font>
    <font>
      <b/>
      <sz val="9"/>
      <color indexed="81"/>
      <name val="Tahoma"/>
      <family val="2"/>
    </font>
  </fonts>
  <fills count="23">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1"/>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rgb="FF00B05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0.249977111117893"/>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rgb="FF7030A0"/>
        <bgColor indexed="64"/>
      </patternFill>
    </fill>
    <fill>
      <patternFill patternType="solid">
        <fgColor rgb="FF0070C0"/>
        <bgColor indexed="64"/>
      </patternFill>
    </fill>
  </fills>
  <borders count="37">
    <border>
      <left/>
      <right/>
      <top/>
      <bottom/>
      <diagonal/>
    </border>
    <border>
      <left/>
      <right/>
      <top/>
      <bottom style="double">
        <color indexed="64"/>
      </bottom>
      <diagonal/>
    </border>
    <border>
      <left/>
      <right/>
      <top/>
      <bottom style="thin">
        <color indexed="64"/>
      </bottom>
      <diagonal/>
    </border>
    <border>
      <left/>
      <right/>
      <top style="double">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indexed="64"/>
      </bottom>
      <diagonal/>
    </border>
    <border>
      <left/>
      <right/>
      <top style="thick">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ck">
        <color indexed="64"/>
      </top>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s>
  <cellStyleXfs count="129">
    <xf numFmtId="0" fontId="0" fillId="0" borderId="0"/>
    <xf numFmtId="0" fontId="3" fillId="0" borderId="0"/>
    <xf numFmtId="167" fontId="4" fillId="0" borderId="0" applyFont="0" applyFill="0" applyBorder="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0" fontId="7" fillId="0" borderId="0"/>
    <xf numFmtId="43" fontId="4" fillId="0" borderId="0" applyFont="0" applyFill="0" applyBorder="0" applyAlignment="0" applyProtection="0"/>
    <xf numFmtId="43" fontId="7" fillId="0" borderId="0" applyFont="0" applyFill="0" applyBorder="0" applyAlignment="0" applyProtection="0"/>
    <xf numFmtId="0" fontId="7" fillId="0" borderId="0"/>
    <xf numFmtId="0" fontId="4" fillId="0" borderId="0">
      <protection locked="0"/>
    </xf>
    <xf numFmtId="171" fontId="7" fillId="0" borderId="0" applyFont="0" applyFill="0" applyBorder="0" applyAlignment="0" applyProtection="0"/>
    <xf numFmtId="43" fontId="4" fillId="0" borderId="0" applyFont="0" applyFill="0" applyBorder="0" applyAlignment="0" applyProtection="0"/>
    <xf numFmtId="0" fontId="4" fillId="0" borderId="0"/>
    <xf numFmtId="167" fontId="7" fillId="0" borderId="0" applyFont="0" applyFill="0" applyBorder="0" applyProtection="0"/>
    <xf numFmtId="0" fontId="4" fillId="0" borderId="0"/>
    <xf numFmtId="43" fontId="26" fillId="0" borderId="0" applyFont="0" applyFill="0" applyBorder="0" applyAlignment="0" applyProtection="0"/>
    <xf numFmtId="171" fontId="4" fillId="0" borderId="0" applyFont="0" applyFill="0" applyBorder="0" applyAlignment="0" applyProtection="0"/>
    <xf numFmtId="0" fontId="4" fillId="0" borderId="0">
      <protection locked="0"/>
    </xf>
    <xf numFmtId="43" fontId="4" fillId="0" borderId="0" applyFont="0" applyFill="0" applyBorder="0" applyAlignment="0" applyProtection="0"/>
    <xf numFmtId="37" fontId="28" fillId="0" borderId="0"/>
    <xf numFmtId="0" fontId="4" fillId="0" borderId="0"/>
    <xf numFmtId="0" fontId="4" fillId="0" borderId="0"/>
    <xf numFmtId="0" fontId="2" fillId="0" borderId="0"/>
    <xf numFmtId="0" fontId="7" fillId="0" borderId="0"/>
    <xf numFmtId="43" fontId="7" fillId="0" borderId="0" applyFont="0" applyFill="0" applyBorder="0" applyAlignment="0" applyProtection="0"/>
    <xf numFmtId="0" fontId="4" fillId="0" borderId="0"/>
    <xf numFmtId="0" fontId="4" fillId="0" borderId="0"/>
    <xf numFmtId="0" fontId="4" fillId="0" borderId="0"/>
    <xf numFmtId="0" fontId="31" fillId="0" borderId="0"/>
    <xf numFmtId="0" fontId="7" fillId="0" borderId="0"/>
    <xf numFmtId="0" fontId="4" fillId="0" borderId="0"/>
    <xf numFmtId="0" fontId="7" fillId="0" borderId="0"/>
    <xf numFmtId="0" fontId="7" fillId="0" borderId="0"/>
    <xf numFmtId="0" fontId="4" fillId="0" borderId="0"/>
    <xf numFmtId="0" fontId="34" fillId="0" borderId="0">
      <alignment vertical="top"/>
    </xf>
    <xf numFmtId="0" fontId="7" fillId="0" borderId="0"/>
    <xf numFmtId="0" fontId="7" fillId="0" borderId="0"/>
    <xf numFmtId="0" fontId="4" fillId="0" borderId="0"/>
    <xf numFmtId="0" fontId="7" fillId="0" borderId="0"/>
    <xf numFmtId="9" fontId="7" fillId="0" borderId="0" applyFont="0" applyFill="0" applyBorder="0" applyAlignment="0" applyProtection="0"/>
    <xf numFmtId="0" fontId="4" fillId="0" borderId="0">
      <alignment vertical="top"/>
    </xf>
    <xf numFmtId="0" fontId="4" fillId="0" borderId="0"/>
    <xf numFmtId="43" fontId="4" fillId="0" borderId="0" applyFont="0" applyFill="0" applyBorder="0" applyAlignment="0" applyProtection="0"/>
    <xf numFmtId="180" fontId="38" fillId="0" borderId="0" applyFont="0" applyFill="0" applyBorder="0" applyAlignment="0" applyProtection="0"/>
    <xf numFmtId="0" fontId="4" fillId="0" borderId="0"/>
    <xf numFmtId="43" fontId="7" fillId="0" borderId="0" applyFont="0" applyFill="0" applyBorder="0" applyAlignment="0" applyProtection="0"/>
    <xf numFmtId="184" fontId="7" fillId="0" borderId="0"/>
    <xf numFmtId="9" fontId="7" fillId="0" borderId="0" applyFont="0" applyFill="0" applyBorder="0" applyAlignment="0" applyProtection="0"/>
    <xf numFmtId="187" fontId="34" fillId="0" borderId="0" applyFill="0" applyBorder="0" applyAlignment="0">
      <protection locked="0"/>
    </xf>
    <xf numFmtId="9" fontId="38" fillId="0" borderId="0" applyFont="0" applyFill="0" applyBorder="0" applyAlignment="0" applyProtection="0"/>
    <xf numFmtId="0" fontId="4" fillId="0" borderId="0"/>
    <xf numFmtId="43" fontId="4" fillId="0" borderId="0" applyFont="0" applyFill="0" applyBorder="0" applyAlignment="0" applyProtection="0"/>
    <xf numFmtId="43" fontId="7" fillId="0" borderId="0" applyFont="0" applyFill="0" applyBorder="0" applyAlignment="0" applyProtection="0"/>
    <xf numFmtId="0" fontId="7" fillId="0" borderId="0"/>
    <xf numFmtId="0" fontId="4" fillId="0" borderId="0"/>
    <xf numFmtId="180" fontId="7" fillId="0" borderId="0" applyFont="0" applyFill="0" applyBorder="0" applyAlignment="0" applyProtection="0"/>
    <xf numFmtId="43" fontId="7" fillId="0" borderId="0" applyFont="0" applyFill="0" applyBorder="0" applyAlignment="0" applyProtection="0"/>
    <xf numFmtId="0" fontId="4" fillId="0" borderId="0">
      <protection locked="0"/>
    </xf>
    <xf numFmtId="0" fontId="7" fillId="0" borderId="0"/>
    <xf numFmtId="43" fontId="4" fillId="0" borderId="0" applyFont="0" applyFill="0" applyBorder="0" applyAlignment="0" applyProtection="0"/>
    <xf numFmtId="0" fontId="4" fillId="0" borderId="0"/>
    <xf numFmtId="0" fontId="32" fillId="0" borderId="0">
      <alignment vertical="top"/>
    </xf>
    <xf numFmtId="0" fontId="4" fillId="0" borderId="0"/>
    <xf numFmtId="43" fontId="7"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37" fontId="7" fillId="0" borderId="0" applyFont="0" applyBorder="0" applyAlignment="0"/>
    <xf numFmtId="43" fontId="50" fillId="0" borderId="0" applyFont="0" applyFill="0" applyBorder="0" applyAlignment="0" applyProtection="0"/>
    <xf numFmtId="0" fontId="7" fillId="0" borderId="0" applyNumberFormat="0" applyFont="0" applyFill="0" applyBorder="0" applyAlignment="0" applyProtection="0"/>
    <xf numFmtId="0" fontId="4" fillId="0" borderId="0"/>
    <xf numFmtId="189" fontId="7" fillId="0" borderId="0" applyFill="0" applyBorder="0" applyAlignment="0" applyProtection="0"/>
    <xf numFmtId="0" fontId="7" fillId="0" borderId="0">
      <alignment vertical="top"/>
    </xf>
    <xf numFmtId="0" fontId="32" fillId="0" borderId="0">
      <alignment vertical="top"/>
    </xf>
    <xf numFmtId="43" fontId="34" fillId="0" borderId="0" applyFont="0" applyFill="0" applyBorder="0" applyAlignment="0" applyProtection="0"/>
    <xf numFmtId="43" fontId="26" fillId="0" borderId="0" applyFont="0" applyFill="0" applyBorder="0" applyAlignment="0" applyProtection="0"/>
    <xf numFmtId="0" fontId="4" fillId="0" borderId="0"/>
    <xf numFmtId="43" fontId="7" fillId="0" borderId="0" applyFont="0" applyFill="0" applyBorder="0" applyAlignment="0" applyProtection="0"/>
    <xf numFmtId="0" fontId="4" fillId="0" borderId="0"/>
    <xf numFmtId="0" fontId="4" fillId="0" borderId="0"/>
    <xf numFmtId="0" fontId="7" fillId="0" borderId="0"/>
    <xf numFmtId="9" fontId="7" fillId="0" borderId="0" applyFont="0" applyFill="0" applyBorder="0" applyAlignment="0" applyProtection="0"/>
    <xf numFmtId="9" fontId="4" fillId="0" borderId="0" applyFont="0" applyFill="0" applyBorder="0" applyAlignment="0" applyProtection="0"/>
    <xf numFmtId="0" fontId="7" fillId="0" borderId="0"/>
    <xf numFmtId="43" fontId="7" fillId="0" borderId="0" applyFont="0" applyFill="0" applyBorder="0" applyAlignment="0" applyProtection="0"/>
    <xf numFmtId="0" fontId="4" fillId="0" borderId="0"/>
    <xf numFmtId="185" fontId="4" fillId="0" borderId="0"/>
    <xf numFmtId="43" fontId="7" fillId="0" borderId="0" applyFont="0" applyFill="0" applyBorder="0" applyAlignment="0" applyProtection="0"/>
    <xf numFmtId="0" fontId="4" fillId="0" borderId="0"/>
    <xf numFmtId="43" fontId="2" fillId="0" borderId="0" applyFont="0" applyFill="0" applyBorder="0" applyAlignment="0" applyProtection="0"/>
    <xf numFmtId="0" fontId="34" fillId="0" borderId="0">
      <alignment vertical="top"/>
    </xf>
    <xf numFmtId="0" fontId="3" fillId="0" borderId="0"/>
    <xf numFmtId="9" fontId="2" fillId="0" borderId="0" applyFont="0" applyFill="0" applyBorder="0" applyAlignment="0" applyProtection="0"/>
    <xf numFmtId="0" fontId="7" fillId="0" borderId="0"/>
    <xf numFmtId="0" fontId="3" fillId="0" borderId="0"/>
    <xf numFmtId="0" fontId="7" fillId="0" borderId="0"/>
    <xf numFmtId="0" fontId="64" fillId="0" borderId="0">
      <protection locked="0"/>
    </xf>
    <xf numFmtId="0" fontId="3" fillId="0" borderId="0">
      <protection locked="0"/>
    </xf>
    <xf numFmtId="43" fontId="3" fillId="0" borderId="0" applyFont="0" applyFill="0" applyBorder="0" applyAlignment="0" applyProtection="0"/>
    <xf numFmtId="0" fontId="7" fillId="0" borderId="0"/>
    <xf numFmtId="0" fontId="7" fillId="0" borderId="0"/>
    <xf numFmtId="0" fontId="7" fillId="0" borderId="0"/>
    <xf numFmtId="0" fontId="67" fillId="0" borderId="0"/>
    <xf numFmtId="0" fontId="7" fillId="0" borderId="0"/>
    <xf numFmtId="0" fontId="7" fillId="0" borderId="0"/>
    <xf numFmtId="43" fontId="3" fillId="0" borderId="0" applyFont="0" applyFill="0" applyBorder="0" applyAlignment="0" applyProtection="0"/>
    <xf numFmtId="195" fontId="7" fillId="0" borderId="0" applyFont="0" applyFill="0" applyBorder="0" applyAlignment="0" applyProtection="0"/>
    <xf numFmtId="0" fontId="3" fillId="0" borderId="0"/>
    <xf numFmtId="0" fontId="7" fillId="0" borderId="0"/>
    <xf numFmtId="43" fontId="7" fillId="0" borderId="0" applyFont="0" applyFill="0" applyBorder="0" applyAlignment="0" applyProtection="0"/>
    <xf numFmtId="0" fontId="3" fillId="0" borderId="0"/>
    <xf numFmtId="196" fontId="3" fillId="0" borderId="0"/>
    <xf numFmtId="0" fontId="7" fillId="0" borderId="0"/>
    <xf numFmtId="43" fontId="3" fillId="0" borderId="0" applyFont="0" applyFill="0" applyBorder="0" applyAlignment="0" applyProtection="0"/>
    <xf numFmtId="0" fontId="3" fillId="0" borderId="0"/>
    <xf numFmtId="0" fontId="3" fillId="0" borderId="0">
      <protection locked="0"/>
    </xf>
    <xf numFmtId="167" fontId="3" fillId="0" borderId="0" applyFont="0" applyFill="0" applyBorder="0" applyProtection="0"/>
    <xf numFmtId="0" fontId="3" fillId="0" borderId="0"/>
    <xf numFmtId="0" fontId="3" fillId="0" borderId="0"/>
    <xf numFmtId="43" fontId="3" fillId="0" borderId="0" applyFont="0" applyFill="0" applyBorder="0" applyAlignment="0" applyProtection="0"/>
    <xf numFmtId="179" fontId="3" fillId="0" borderId="0"/>
    <xf numFmtId="0" fontId="7" fillId="0" borderId="0"/>
    <xf numFmtId="179" fontId="7" fillId="0" borderId="0"/>
    <xf numFmtId="0" fontId="32" fillId="0" borderId="0">
      <alignment vertical="top"/>
    </xf>
    <xf numFmtId="179" fontId="83" fillId="0" borderId="0"/>
    <xf numFmtId="0" fontId="3" fillId="0" borderId="0"/>
  </cellStyleXfs>
  <cellXfs count="2236">
    <xf numFmtId="0" fontId="0" fillId="0" borderId="0" xfId="0"/>
    <xf numFmtId="0" fontId="1" fillId="0" borderId="0" xfId="0" applyFont="1" applyAlignment="1">
      <alignment horizontal="center"/>
    </xf>
    <xf numFmtId="0" fontId="5" fillId="0" borderId="0" xfId="1" applyFont="1" applyFill="1" applyAlignment="1"/>
    <xf numFmtId="0" fontId="5" fillId="0" borderId="0" xfId="1" applyNumberFormat="1" applyFont="1" applyFill="1" applyAlignment="1"/>
    <xf numFmtId="168" fontId="5" fillId="0" borderId="0" xfId="2" applyNumberFormat="1" applyFont="1" applyFill="1" applyAlignment="1"/>
    <xf numFmtId="0" fontId="6" fillId="0" borderId="0" xfId="1" applyFont="1" applyFill="1"/>
    <xf numFmtId="0" fontId="5" fillId="0" borderId="0" xfId="3" applyNumberFormat="1" applyFont="1" applyFill="1" applyAlignment="1">
      <alignment vertical="top"/>
    </xf>
    <xf numFmtId="0" fontId="5" fillId="0" borderId="0" xfId="3" applyNumberFormat="1" applyFont="1" applyFill="1" applyAlignment="1" applyProtection="1">
      <alignment vertical="top"/>
    </xf>
    <xf numFmtId="0" fontId="7" fillId="0" borderId="0" xfId="3" applyNumberFormat="1" applyFont="1" applyFill="1" applyAlignment="1" applyProtection="1">
      <alignment vertical="top"/>
    </xf>
    <xf numFmtId="0" fontId="5" fillId="0" borderId="0" xfId="1" applyFont="1" applyFill="1"/>
    <xf numFmtId="0" fontId="7" fillId="0" borderId="0" xfId="1" applyFont="1" applyFill="1"/>
    <xf numFmtId="0" fontId="6" fillId="0" borderId="0" xfId="1" applyNumberFormat="1" applyFont="1" applyFill="1"/>
    <xf numFmtId="168" fontId="5" fillId="0" borderId="0" xfId="3" quotePrefix="1" applyNumberFormat="1" applyFont="1" applyFill="1" applyAlignment="1">
      <alignment horizontal="center" vertical="top"/>
    </xf>
    <xf numFmtId="0" fontId="8" fillId="0" borderId="0" xfId="1" quotePrefix="1" applyFont="1" applyFill="1" applyAlignment="1">
      <alignment horizontal="center"/>
    </xf>
    <xf numFmtId="168" fontId="5" fillId="0" borderId="0" xfId="3" applyNumberFormat="1" applyFont="1" applyFill="1" applyAlignment="1" applyProtection="1">
      <alignment horizontal="center"/>
    </xf>
    <xf numFmtId="0" fontId="8" fillId="0" borderId="0" xfId="1" applyFont="1" applyFill="1" applyAlignment="1">
      <alignment horizontal="center" vertical="center"/>
    </xf>
    <xf numFmtId="168" fontId="6" fillId="0" borderId="0" xfId="2" applyNumberFormat="1" applyFont="1" applyFill="1"/>
    <xf numFmtId="168" fontId="6" fillId="0" borderId="0" xfId="2" applyNumberFormat="1" applyFont="1" applyFill="1" applyAlignment="1"/>
    <xf numFmtId="0" fontId="7" fillId="0" borderId="0" xfId="1" applyNumberFormat="1" applyFont="1" applyFill="1"/>
    <xf numFmtId="168" fontId="7" fillId="0" borderId="0" xfId="2" applyNumberFormat="1" applyFont="1" applyFill="1"/>
    <xf numFmtId="0" fontId="8" fillId="0" borderId="0" xfId="1" applyFont="1" applyFill="1"/>
    <xf numFmtId="168" fontId="5" fillId="0" borderId="0" xfId="2" applyNumberFormat="1" applyFont="1" applyFill="1"/>
    <xf numFmtId="0" fontId="7" fillId="0" borderId="0" xfId="1" applyFont="1" applyFill="1" applyAlignment="1">
      <alignment horizontal="left"/>
    </xf>
    <xf numFmtId="49" fontId="7" fillId="0" borderId="0" xfId="1" applyNumberFormat="1" applyFont="1" applyFill="1" applyAlignment="1">
      <alignment horizontal="center"/>
    </xf>
    <xf numFmtId="168" fontId="5" fillId="0" borderId="0" xfId="2" applyNumberFormat="1" applyFont="1" applyFill="1" applyBorder="1"/>
    <xf numFmtId="168" fontId="7" fillId="0" borderId="0" xfId="2" applyNumberFormat="1" applyFont="1" applyFill="1" applyBorder="1"/>
    <xf numFmtId="168" fontId="6" fillId="0" borderId="0" xfId="1" applyNumberFormat="1" applyFont="1" applyFill="1"/>
    <xf numFmtId="10" fontId="6" fillId="0" borderId="0" xfId="4" applyNumberFormat="1" applyFont="1" applyFill="1"/>
    <xf numFmtId="49" fontId="7" fillId="0" borderId="0" xfId="1" quotePrefix="1" applyNumberFormat="1" applyFont="1" applyFill="1" applyAlignment="1">
      <alignment horizontal="center"/>
    </xf>
    <xf numFmtId="0" fontId="7" fillId="0" borderId="0" xfId="1" applyNumberFormat="1" applyFont="1" applyFill="1" applyAlignment="1">
      <alignment vertical="center"/>
    </xf>
    <xf numFmtId="168" fontId="9" fillId="0" borderId="0" xfId="1" applyNumberFormat="1" applyFont="1" applyFill="1"/>
    <xf numFmtId="168" fontId="6" fillId="0" borderId="0" xfId="2" applyNumberFormat="1" applyFont="1" applyFill="1" applyBorder="1"/>
    <xf numFmtId="168" fontId="8" fillId="0" borderId="0" xfId="2" applyNumberFormat="1" applyFont="1" applyFill="1" applyBorder="1"/>
    <xf numFmtId="0" fontId="7" fillId="0" borderId="0" xfId="1" applyNumberFormat="1" applyFont="1" applyFill="1" applyAlignment="1">
      <alignment horizontal="center"/>
    </xf>
    <xf numFmtId="0" fontId="6" fillId="0" borderId="0" xfId="1" quotePrefix="1" applyFont="1" applyFill="1"/>
    <xf numFmtId="37" fontId="7" fillId="0" borderId="0" xfId="1" applyNumberFormat="1" applyFont="1" applyFill="1" applyAlignment="1" applyProtection="1">
      <alignment horizontal="left" vertical="top"/>
    </xf>
    <xf numFmtId="0" fontId="7" fillId="0" borderId="0" xfId="1" quotePrefix="1" applyNumberFormat="1" applyFont="1" applyFill="1" applyAlignment="1">
      <alignment horizontal="center"/>
    </xf>
    <xf numFmtId="37" fontId="7" fillId="0" borderId="0" xfId="1" applyNumberFormat="1" applyFont="1" applyFill="1" applyAlignment="1" applyProtection="1">
      <alignment horizontal="left"/>
    </xf>
    <xf numFmtId="0" fontId="5" fillId="0" borderId="0" xfId="1" applyFont="1" applyFill="1" applyAlignment="1">
      <alignment horizontal="left" indent="2"/>
    </xf>
    <xf numFmtId="0" fontId="7" fillId="0" borderId="0" xfId="1" applyFont="1" applyFill="1" applyAlignment="1">
      <alignment vertical="center"/>
    </xf>
    <xf numFmtId="0" fontId="7" fillId="0" borderId="0" xfId="1" applyNumberFormat="1" applyFont="1" applyFill="1" applyAlignment="1">
      <alignment horizontal="center" vertical="center"/>
    </xf>
    <xf numFmtId="168" fontId="5" fillId="0" borderId="4" xfId="2" applyNumberFormat="1" applyFont="1" applyFill="1" applyBorder="1" applyAlignment="1">
      <alignment vertical="center"/>
    </xf>
    <xf numFmtId="168" fontId="7" fillId="0" borderId="0" xfId="2" applyNumberFormat="1" applyFont="1" applyFill="1" applyBorder="1" applyAlignment="1">
      <alignment vertical="center"/>
    </xf>
    <xf numFmtId="168" fontId="7" fillId="0" borderId="4" xfId="2" applyNumberFormat="1" applyFont="1" applyFill="1" applyBorder="1" applyAlignment="1">
      <alignment vertical="center"/>
    </xf>
    <xf numFmtId="0" fontId="6" fillId="0" borderId="0" xfId="1" applyFont="1" applyFill="1" applyAlignment="1">
      <alignment vertical="center"/>
    </xf>
    <xf numFmtId="37" fontId="5" fillId="0" borderId="0" xfId="1" applyNumberFormat="1" applyFont="1" applyFill="1" applyAlignment="1" applyProtection="1">
      <alignment vertical="top"/>
    </xf>
    <xf numFmtId="168" fontId="7" fillId="0" borderId="0" xfId="2" applyNumberFormat="1" applyFont="1" applyFill="1" applyAlignment="1">
      <alignment horizontal="center"/>
    </xf>
    <xf numFmtId="43" fontId="6" fillId="0" borderId="0" xfId="1" applyNumberFormat="1" applyFont="1" applyFill="1"/>
    <xf numFmtId="169" fontId="5" fillId="0" borderId="1" xfId="2" applyNumberFormat="1" applyFont="1" applyFill="1" applyBorder="1"/>
    <xf numFmtId="169" fontId="7" fillId="0" borderId="0" xfId="2" applyNumberFormat="1" applyFont="1" applyFill="1" applyBorder="1"/>
    <xf numFmtId="169" fontId="7" fillId="0" borderId="1" xfId="2" applyNumberFormat="1" applyFont="1" applyFill="1" applyBorder="1"/>
    <xf numFmtId="169" fontId="7" fillId="0" borderId="0" xfId="2" applyNumberFormat="1" applyFont="1" applyFill="1"/>
    <xf numFmtId="169" fontId="6" fillId="0" borderId="0" xfId="2" applyNumberFormat="1" applyFont="1" applyFill="1"/>
    <xf numFmtId="0" fontId="7" fillId="0" borderId="0" xfId="1" applyFont="1" applyFill="1" applyAlignment="1"/>
    <xf numFmtId="0" fontId="7" fillId="0" borderId="0" xfId="1" applyNumberFormat="1" applyFont="1" applyFill="1" applyAlignment="1"/>
    <xf numFmtId="168" fontId="7" fillId="0" borderId="0" xfId="1" applyNumberFormat="1" applyFont="1" applyFill="1" applyAlignment="1"/>
    <xf numFmtId="0" fontId="7" fillId="0" borderId="0" xfId="1" applyFont="1" applyFill="1" applyBorder="1" applyAlignment="1"/>
    <xf numFmtId="0" fontId="5" fillId="0" borderId="0" xfId="1" applyFont="1" applyFill="1" applyBorder="1" applyAlignment="1" applyProtection="1">
      <protection locked="0"/>
    </xf>
    <xf numFmtId="0" fontId="8" fillId="0" borderId="0" xfId="1" applyFont="1" applyFill="1" applyBorder="1" applyAlignment="1" applyProtection="1">
      <protection locked="0"/>
    </xf>
    <xf numFmtId="0" fontId="6" fillId="0" borderId="0" xfId="1" applyFont="1" applyFill="1" applyAlignment="1" applyProtection="1">
      <protection locked="0"/>
    </xf>
    <xf numFmtId="0" fontId="5" fillId="0" borderId="0" xfId="1" applyFont="1" applyFill="1" applyAlignment="1" applyProtection="1">
      <protection locked="0"/>
    </xf>
    <xf numFmtId="0" fontId="8" fillId="0" borderId="0" xfId="1" applyFont="1" applyFill="1" applyAlignment="1" applyProtection="1">
      <protection locked="0"/>
    </xf>
    <xf numFmtId="0" fontId="5" fillId="0" borderId="0" xfId="1" applyFont="1" applyFill="1" applyProtection="1">
      <protection locked="0"/>
    </xf>
    <xf numFmtId="0" fontId="5" fillId="0" borderId="0" xfId="1" applyFont="1" applyFill="1" applyAlignment="1" applyProtection="1">
      <alignment horizontal="center"/>
      <protection locked="0"/>
    </xf>
    <xf numFmtId="0" fontId="5" fillId="0" borderId="0" xfId="1" applyNumberFormat="1" applyFont="1" applyFill="1" applyAlignment="1" applyProtection="1">
      <alignment horizontal="center"/>
      <protection locked="0"/>
    </xf>
    <xf numFmtId="168" fontId="7" fillId="0" borderId="0" xfId="5" applyNumberFormat="1" applyFont="1" applyFill="1"/>
    <xf numFmtId="0" fontId="7" fillId="0" borderId="0" xfId="1" applyFont="1" applyFill="1" applyBorder="1" applyProtection="1">
      <protection locked="0"/>
    </xf>
    <xf numFmtId="0" fontId="8" fillId="0" borderId="0" xfId="1" applyFont="1" applyFill="1" applyAlignment="1" applyProtection="1">
      <alignment horizontal="center"/>
      <protection locked="0"/>
    </xf>
    <xf numFmtId="168" fontId="6" fillId="0" borderId="0" xfId="5" applyNumberFormat="1" applyFont="1" applyFill="1"/>
    <xf numFmtId="168" fontId="8" fillId="0" borderId="0" xfId="5" applyNumberFormat="1" applyFont="1" applyFill="1"/>
    <xf numFmtId="0" fontId="6" fillId="0" borderId="0" xfId="1" applyFont="1" applyFill="1" applyProtection="1">
      <protection locked="0"/>
    </xf>
    <xf numFmtId="0" fontId="7" fillId="0" borderId="0" xfId="1" applyFont="1" applyFill="1" applyProtection="1">
      <protection locked="0"/>
    </xf>
    <xf numFmtId="168" fontId="5" fillId="0" borderId="0" xfId="6" applyNumberFormat="1" applyFont="1" applyFill="1" applyAlignment="1">
      <alignment horizontal="center" vertical="top"/>
    </xf>
    <xf numFmtId="0" fontId="5" fillId="0" borderId="0" xfId="1" applyFont="1" applyFill="1" applyAlignment="1">
      <alignment horizontal="center"/>
    </xf>
    <xf numFmtId="0" fontId="6" fillId="0" borderId="0" xfId="1" applyFont="1" applyFill="1" applyAlignment="1">
      <alignment vertical="top"/>
    </xf>
    <xf numFmtId="0" fontId="15" fillId="0" borderId="0" xfId="1" applyFont="1" applyFill="1"/>
    <xf numFmtId="37" fontId="6" fillId="0" borderId="0" xfId="1" applyNumberFormat="1" applyFont="1" applyFill="1" applyAlignment="1" applyProtection="1">
      <alignment vertical="top"/>
    </xf>
    <xf numFmtId="168" fontId="6" fillId="0" borderId="0" xfId="2" applyNumberFormat="1" applyFont="1" applyFill="1" applyAlignment="1" applyProtection="1">
      <alignment vertical="top"/>
    </xf>
    <xf numFmtId="49" fontId="8" fillId="0" borderId="0" xfId="1" applyNumberFormat="1" applyFont="1" applyFill="1" applyAlignment="1">
      <alignment vertical="top"/>
    </xf>
    <xf numFmtId="37" fontId="8" fillId="0" borderId="0" xfId="1" applyNumberFormat="1" applyFont="1" applyFill="1" applyAlignment="1" applyProtection="1">
      <alignment vertical="top"/>
    </xf>
    <xf numFmtId="168" fontId="8" fillId="0" borderId="0" xfId="2" applyNumberFormat="1" applyFont="1" applyFill="1" applyAlignment="1" applyProtection="1">
      <alignment vertical="top"/>
    </xf>
    <xf numFmtId="168" fontId="8" fillId="0" borderId="0" xfId="6" applyNumberFormat="1" applyFont="1" applyFill="1" applyAlignment="1">
      <alignment horizontal="center" vertical="top"/>
    </xf>
    <xf numFmtId="0" fontId="8" fillId="0" borderId="0" xfId="1" applyFont="1" applyFill="1" applyAlignment="1">
      <alignment horizontal="center"/>
    </xf>
    <xf numFmtId="37" fontId="5" fillId="0" borderId="0" xfId="7" applyNumberFormat="1" applyFont="1" applyFill="1" applyBorder="1" applyAlignment="1" applyProtection="1">
      <alignment vertical="top"/>
    </xf>
    <xf numFmtId="0" fontId="7" fillId="0" borderId="0" xfId="7" applyFont="1" applyFill="1" applyBorder="1" applyAlignment="1">
      <alignment vertical="top"/>
    </xf>
    <xf numFmtId="168" fontId="7" fillId="0" borderId="0" xfId="9" applyNumberFormat="1" applyFont="1" applyFill="1" applyBorder="1" applyAlignment="1">
      <alignment vertical="top"/>
    </xf>
    <xf numFmtId="0" fontId="6" fillId="0" borderId="0" xfId="7" applyFont="1" applyFill="1" applyBorder="1" applyAlignment="1">
      <alignment vertical="top"/>
    </xf>
    <xf numFmtId="0" fontId="5" fillId="0" borderId="0" xfId="7" applyNumberFormat="1" applyFont="1" applyAlignment="1">
      <alignment vertical="top"/>
    </xf>
    <xf numFmtId="37" fontId="5" fillId="0" borderId="0" xfId="7" applyNumberFormat="1" applyFont="1" applyFill="1" applyAlignment="1" applyProtection="1">
      <alignment vertical="top"/>
    </xf>
    <xf numFmtId="37" fontId="7" fillId="0" borderId="0" xfId="7" applyNumberFormat="1" applyFont="1" applyFill="1" applyAlignment="1" applyProtection="1">
      <alignment vertical="top"/>
    </xf>
    <xf numFmtId="0" fontId="6" fillId="0" borderId="0" xfId="7" applyFont="1" applyFill="1" applyAlignment="1">
      <alignment vertical="top"/>
    </xf>
    <xf numFmtId="0" fontId="5" fillId="0" borderId="0" xfId="7" applyFont="1" applyFill="1" applyAlignment="1">
      <alignment vertical="top"/>
    </xf>
    <xf numFmtId="0" fontId="17" fillId="0" borderId="0" xfId="7" applyFont="1" applyAlignment="1">
      <alignment vertical="top"/>
    </xf>
    <xf numFmtId="168" fontId="5" fillId="0" borderId="0" xfId="8" quotePrefix="1" applyNumberFormat="1" applyFont="1" applyFill="1" applyAlignment="1">
      <alignment horizontal="center" vertical="top"/>
    </xf>
    <xf numFmtId="37" fontId="7" fillId="0" borderId="0" xfId="7" applyNumberFormat="1" applyFont="1" applyFill="1" applyAlignment="1" applyProtection="1">
      <alignment horizontal="center" vertical="top"/>
    </xf>
    <xf numFmtId="168" fontId="7" fillId="0" borderId="0" xfId="9" applyNumberFormat="1" applyFont="1" applyFill="1" applyAlignment="1" applyProtection="1">
      <alignment horizontal="center" vertical="top"/>
    </xf>
    <xf numFmtId="168" fontId="5" fillId="0" borderId="0" xfId="9" quotePrefix="1" applyNumberFormat="1" applyFont="1" applyFill="1" applyAlignment="1" applyProtection="1">
      <alignment horizontal="center" vertical="top"/>
    </xf>
    <xf numFmtId="37" fontId="5" fillId="0" borderId="0" xfId="10" applyNumberFormat="1" applyFont="1" applyFill="1" applyAlignment="1" applyProtection="1">
      <alignment vertical="top"/>
    </xf>
    <xf numFmtId="0" fontId="7" fillId="0" borderId="0" xfId="7" applyFont="1" applyFill="1" applyAlignment="1">
      <alignment vertical="top"/>
    </xf>
    <xf numFmtId="37" fontId="7" fillId="0" borderId="0" xfId="7" applyNumberFormat="1" applyFont="1" applyFill="1" applyAlignment="1" applyProtection="1">
      <alignment horizontal="left" vertical="top" indent="1"/>
    </xf>
    <xf numFmtId="170" fontId="7" fillId="0" borderId="0" xfId="7" applyNumberFormat="1" applyFont="1" applyFill="1" applyAlignment="1" applyProtection="1">
      <alignment horizontal="center" vertical="top"/>
    </xf>
    <xf numFmtId="168" fontId="6" fillId="0" borderId="0" xfId="7" applyNumberFormat="1" applyFont="1" applyFill="1" applyAlignment="1">
      <alignment vertical="top"/>
    </xf>
    <xf numFmtId="37" fontId="5" fillId="0" borderId="0" xfId="7" applyNumberFormat="1" applyFont="1" applyFill="1" applyAlignment="1" applyProtection="1">
      <alignment vertical="center"/>
    </xf>
    <xf numFmtId="37" fontId="7" fillId="0" borderId="0" xfId="7" applyNumberFormat="1" applyFont="1" applyFill="1" applyAlignment="1" applyProtection="1">
      <alignment vertical="center"/>
    </xf>
    <xf numFmtId="0" fontId="6" fillId="0" borderId="0" xfId="7" applyFont="1" applyFill="1" applyAlignment="1">
      <alignment vertical="center"/>
    </xf>
    <xf numFmtId="0" fontId="19" fillId="0" borderId="0" xfId="1" applyFont="1" applyAlignment="1">
      <alignment vertical="top"/>
    </xf>
    <xf numFmtId="168" fontId="19" fillId="0" borderId="0" xfId="2" applyNumberFormat="1" applyFont="1" applyAlignment="1">
      <alignment vertical="top"/>
    </xf>
    <xf numFmtId="0" fontId="19" fillId="0" borderId="0" xfId="1" applyFont="1" applyBorder="1" applyAlignment="1">
      <alignment vertical="top"/>
    </xf>
    <xf numFmtId="0" fontId="12" fillId="0" borderId="0" xfId="1" applyFont="1" applyAlignment="1">
      <alignment vertical="top"/>
    </xf>
    <xf numFmtId="37" fontId="7" fillId="0" borderId="0" xfId="1" applyNumberFormat="1" applyFont="1" applyFill="1" applyAlignment="1" applyProtection="1">
      <alignment vertical="top"/>
    </xf>
    <xf numFmtId="168" fontId="7" fillId="0" borderId="0" xfId="2" applyNumberFormat="1" applyFont="1" applyFill="1" applyAlignment="1" applyProtection="1">
      <alignment vertical="top"/>
    </xf>
    <xf numFmtId="0" fontId="20" fillId="0" borderId="0" xfId="1" applyFont="1" applyAlignment="1">
      <alignment vertical="top"/>
    </xf>
    <xf numFmtId="49" fontId="5" fillId="0" borderId="0" xfId="1" applyNumberFormat="1" applyFont="1" applyAlignment="1">
      <alignment vertical="top"/>
    </xf>
    <xf numFmtId="0" fontId="11" fillId="0" borderId="0" xfId="1" applyFont="1" applyAlignment="1">
      <alignment vertical="top"/>
    </xf>
    <xf numFmtId="49" fontId="5" fillId="0" borderId="0" xfId="1" applyNumberFormat="1" applyFont="1" applyFill="1" applyAlignment="1">
      <alignment vertical="top"/>
    </xf>
    <xf numFmtId="168" fontId="5" fillId="0" borderId="0" xfId="2" applyNumberFormat="1" applyFont="1" applyFill="1" applyAlignment="1" applyProtection="1">
      <alignment vertical="top"/>
    </xf>
    <xf numFmtId="168" fontId="20" fillId="0" borderId="0" xfId="2" applyNumberFormat="1" applyFont="1" applyAlignment="1">
      <alignment vertical="top"/>
    </xf>
    <xf numFmtId="0" fontId="20" fillId="0" borderId="0" xfId="1" applyFont="1" applyBorder="1" applyAlignment="1">
      <alignment vertical="top"/>
    </xf>
    <xf numFmtId="168" fontId="6" fillId="0" borderId="0" xfId="9" applyNumberFormat="1" applyFont="1" applyFill="1" applyBorder="1" applyAlignment="1">
      <alignment vertical="top"/>
    </xf>
    <xf numFmtId="0" fontId="7" fillId="0" borderId="0" xfId="11" applyNumberFormat="1" applyFont="1" applyFill="1" applyAlignment="1">
      <alignment vertical="top"/>
      <protection locked="0"/>
    </xf>
    <xf numFmtId="0" fontId="7" fillId="0" borderId="0" xfId="11" applyNumberFormat="1" applyFont="1" applyFill="1" applyBorder="1" applyAlignment="1">
      <alignment vertical="top"/>
      <protection locked="0"/>
    </xf>
    <xf numFmtId="0" fontId="7" fillId="0" borderId="0" xfId="11" applyFont="1" applyFill="1" applyAlignment="1">
      <alignment vertical="top"/>
      <protection locked="0"/>
    </xf>
    <xf numFmtId="172" fontId="7" fillId="0" borderId="0" xfId="12" applyNumberFormat="1" applyFont="1" applyFill="1" applyBorder="1" applyAlignment="1" applyProtection="1">
      <alignment vertical="top"/>
      <protection locked="0"/>
    </xf>
    <xf numFmtId="0" fontId="7" fillId="0" borderId="0" xfId="11" applyFont="1" applyFill="1" applyAlignment="1">
      <alignment horizontal="left" vertical="top"/>
      <protection locked="0"/>
    </xf>
    <xf numFmtId="0" fontId="5" fillId="0" borderId="0" xfId="11" applyFont="1" applyFill="1" applyAlignment="1">
      <alignment horizontal="left" vertical="top"/>
      <protection locked="0"/>
    </xf>
    <xf numFmtId="0" fontId="7" fillId="0" borderId="0" xfId="11" applyFont="1" applyFill="1" applyBorder="1" applyAlignment="1" applyProtection="1">
      <alignment horizontal="left" indent="5"/>
    </xf>
    <xf numFmtId="0" fontId="5" fillId="0" borderId="0" xfId="11" applyFont="1" applyFill="1" applyBorder="1" applyProtection="1"/>
    <xf numFmtId="175" fontId="5" fillId="0" borderId="0" xfId="11" applyNumberFormat="1" applyFont="1" applyFill="1" applyBorder="1" applyAlignment="1" applyProtection="1">
      <alignment horizontal="left" indent="3"/>
    </xf>
    <xf numFmtId="0" fontId="7" fillId="0" borderId="0" xfId="11" applyFont="1" applyFill="1" applyBorder="1" applyProtection="1"/>
    <xf numFmtId="0" fontId="7" fillId="0" borderId="0" xfId="11" applyFont="1" applyFill="1">
      <protection locked="0"/>
    </xf>
    <xf numFmtId="0" fontId="5" fillId="0" borderId="0" xfId="11" applyFont="1" applyFill="1" applyAlignment="1">
      <alignment horizontal="center" vertical="top"/>
      <protection locked="0"/>
    </xf>
    <xf numFmtId="43" fontId="7" fillId="0" borderId="0" xfId="12" applyNumberFormat="1" applyFont="1" applyFill="1" applyBorder="1" applyAlignment="1">
      <alignment vertical="top"/>
    </xf>
    <xf numFmtId="0" fontId="7" fillId="0" borderId="0" xfId="11" applyFont="1" applyFill="1" applyBorder="1" applyAlignment="1">
      <alignment vertical="top"/>
      <protection locked="0"/>
    </xf>
    <xf numFmtId="168" fontId="7" fillId="0" borderId="0" xfId="13" applyNumberFormat="1" applyFont="1" applyFill="1" applyBorder="1" applyAlignment="1">
      <alignment vertical="top"/>
    </xf>
    <xf numFmtId="43" fontId="7" fillId="0" borderId="0" xfId="13" applyNumberFormat="1" applyFont="1" applyFill="1" applyBorder="1" applyAlignment="1">
      <alignment horizontal="left" vertical="top"/>
    </xf>
    <xf numFmtId="0" fontId="7" fillId="0" borderId="0" xfId="11" applyFont="1" applyFill="1" applyBorder="1" applyAlignment="1">
      <alignment horizontal="left" vertical="top"/>
      <protection locked="0"/>
    </xf>
    <xf numFmtId="168" fontId="5" fillId="0" borderId="0" xfId="13" applyNumberFormat="1" applyFont="1" applyFill="1" applyBorder="1" applyAlignment="1">
      <alignment horizontal="left" vertical="top"/>
    </xf>
    <xf numFmtId="0" fontId="29" fillId="0" borderId="0" xfId="11" applyFont="1" applyFill="1" applyBorder="1" applyAlignment="1">
      <alignment vertical="top"/>
      <protection locked="0"/>
    </xf>
    <xf numFmtId="0" fontId="30" fillId="0" borderId="0" xfId="11" applyFont="1" applyFill="1" applyBorder="1" applyAlignment="1">
      <alignment vertical="top"/>
      <protection locked="0"/>
    </xf>
    <xf numFmtId="168" fontId="7" fillId="0" borderId="0" xfId="13" applyNumberFormat="1" applyFont="1" applyFill="1" applyAlignment="1">
      <alignment vertical="top"/>
    </xf>
    <xf numFmtId="168" fontId="30" fillId="0" borderId="0" xfId="11" applyNumberFormat="1" applyFont="1" applyFill="1" applyAlignment="1">
      <alignment vertical="top"/>
      <protection locked="0"/>
    </xf>
    <xf numFmtId="168" fontId="7" fillId="0" borderId="0" xfId="11" applyNumberFormat="1" applyFont="1" applyFill="1" applyAlignment="1">
      <alignment vertical="top"/>
      <protection locked="0"/>
    </xf>
    <xf numFmtId="168" fontId="7" fillId="0" borderId="0" xfId="12" applyNumberFormat="1" applyFont="1" applyFill="1" applyBorder="1" applyAlignment="1">
      <alignment vertical="top"/>
    </xf>
    <xf numFmtId="168" fontId="5" fillId="0" borderId="4" xfId="12" applyNumberFormat="1" applyFont="1" applyFill="1" applyBorder="1" applyAlignment="1">
      <alignment vertical="top"/>
    </xf>
    <xf numFmtId="168" fontId="30" fillId="0" borderId="0" xfId="12" applyNumberFormat="1" applyFont="1" applyFill="1" applyBorder="1" applyAlignment="1">
      <alignment vertical="top"/>
    </xf>
    <xf numFmtId="0" fontId="5" fillId="0" borderId="0" xfId="9" applyNumberFormat="1" applyFont="1" applyFill="1" applyBorder="1" applyAlignment="1">
      <alignment vertical="top"/>
    </xf>
    <xf numFmtId="168" fontId="7" fillId="0" borderId="0" xfId="2" applyNumberFormat="1" applyFont="1" applyFill="1" applyAlignment="1">
      <alignment horizontal="center" vertical="top"/>
    </xf>
    <xf numFmtId="168" fontId="5" fillId="0" borderId="0" xfId="2" applyNumberFormat="1" applyFont="1" applyFill="1" applyAlignment="1">
      <alignment horizontal="center" vertical="top"/>
    </xf>
    <xf numFmtId="0" fontId="5" fillId="0" borderId="0" xfId="22" applyFont="1" applyFill="1"/>
    <xf numFmtId="168" fontId="5" fillId="0" borderId="8" xfId="2" applyNumberFormat="1" applyFont="1" applyFill="1" applyBorder="1" applyAlignment="1">
      <alignment horizontal="center" vertical="top"/>
    </xf>
    <xf numFmtId="168" fontId="5" fillId="0" borderId="5" xfId="2" applyNumberFormat="1" applyFont="1" applyFill="1" applyBorder="1" applyAlignment="1">
      <alignment horizontal="center" vertical="top"/>
    </xf>
    <xf numFmtId="168" fontId="5" fillId="0" borderId="6" xfId="2" applyNumberFormat="1" applyFont="1" applyFill="1" applyBorder="1" applyAlignment="1">
      <alignment horizontal="center" vertical="top"/>
    </xf>
    <xf numFmtId="168" fontId="5" fillId="0" borderId="7" xfId="2" applyNumberFormat="1" applyFont="1" applyFill="1" applyBorder="1" applyAlignment="1">
      <alignment horizontal="center" vertical="top"/>
    </xf>
    <xf numFmtId="0" fontId="5" fillId="0" borderId="0" xfId="10" applyFont="1" applyFill="1"/>
    <xf numFmtId="0" fontId="5" fillId="0" borderId="0" xfId="1" applyFont="1" applyFill="1" applyAlignment="1" applyProtection="1">
      <alignment vertical="center"/>
      <protection locked="0"/>
    </xf>
    <xf numFmtId="168" fontId="5" fillId="0" borderId="4" xfId="2" applyNumberFormat="1" applyFont="1" applyFill="1" applyBorder="1" applyAlignment="1">
      <alignment horizontal="center" vertical="center"/>
    </xf>
    <xf numFmtId="168" fontId="7" fillId="0" borderId="0" xfId="2" applyNumberFormat="1" applyFont="1" applyFill="1" applyAlignment="1">
      <alignment horizontal="center" vertical="center"/>
    </xf>
    <xf numFmtId="0" fontId="5" fillId="0" borderId="0" xfId="1" applyFont="1" applyFill="1" applyAlignment="1">
      <alignment vertical="top"/>
    </xf>
    <xf numFmtId="0" fontId="7" fillId="0" borderId="0" xfId="1" applyFont="1" applyFill="1" applyAlignment="1">
      <alignment vertical="top"/>
    </xf>
    <xf numFmtId="168" fontId="7" fillId="0" borderId="0" xfId="2" applyNumberFormat="1" applyFont="1" applyFill="1" applyAlignment="1">
      <alignment vertical="top"/>
    </xf>
    <xf numFmtId="168" fontId="6" fillId="0" borderId="0" xfId="2" applyNumberFormat="1" applyFont="1" applyFill="1" applyAlignment="1">
      <alignment vertical="top"/>
    </xf>
    <xf numFmtId="49" fontId="5" fillId="0" borderId="0" xfId="1" applyNumberFormat="1" applyFont="1" applyFill="1" applyAlignment="1" applyProtection="1">
      <alignment vertical="top"/>
      <protection locked="0"/>
    </xf>
    <xf numFmtId="0" fontId="5" fillId="0" borderId="0" xfId="1" applyNumberFormat="1" applyFont="1" applyFill="1" applyAlignment="1">
      <alignment horizontal="left" vertical="top"/>
    </xf>
    <xf numFmtId="0" fontId="5" fillId="0" borderId="0" xfId="23" quotePrefix="1" applyFont="1" applyFill="1" applyAlignment="1">
      <alignment horizontal="left" vertical="top"/>
    </xf>
    <xf numFmtId="0" fontId="7" fillId="0" borderId="0" xfId="24" applyFont="1" applyFill="1" applyAlignment="1" applyProtection="1">
      <alignment vertical="top"/>
      <protection locked="0"/>
    </xf>
    <xf numFmtId="168" fontId="7" fillId="0" borderId="0" xfId="8" applyNumberFormat="1" applyFont="1" applyFill="1" applyAlignment="1">
      <alignment vertical="top"/>
    </xf>
    <xf numFmtId="0" fontId="5" fillId="0" borderId="0" xfId="28" quotePrefix="1" applyNumberFormat="1" applyFont="1" applyFill="1" applyAlignment="1">
      <alignment horizontal="left" vertical="top"/>
    </xf>
    <xf numFmtId="0" fontId="5" fillId="0" borderId="0" xfId="36" applyNumberFormat="1" applyFont="1" applyFill="1" applyAlignment="1">
      <alignment vertical="center"/>
    </xf>
    <xf numFmtId="0" fontId="5" fillId="0" borderId="0" xfId="1" applyNumberFormat="1" applyFont="1" applyFill="1" applyAlignment="1" applyProtection="1">
      <alignment horizontal="left" vertical="top"/>
    </xf>
    <xf numFmtId="0" fontId="5" fillId="0" borderId="0" xfId="37" applyFont="1" applyFill="1" applyAlignment="1">
      <alignment horizontal="left"/>
    </xf>
    <xf numFmtId="0" fontId="5" fillId="0" borderId="0" xfId="23" quotePrefix="1" applyFont="1" applyFill="1" applyAlignment="1">
      <alignment horizontal="left"/>
    </xf>
    <xf numFmtId="37" fontId="5" fillId="0" borderId="0" xfId="39" applyNumberFormat="1" applyFont="1" applyFill="1"/>
    <xf numFmtId="0" fontId="7" fillId="0" borderId="0" xfId="23" applyFont="1" applyFill="1" applyAlignment="1">
      <alignment vertical="top"/>
    </xf>
    <xf numFmtId="168" fontId="5" fillId="0" borderId="0" xfId="6" quotePrefix="1" applyNumberFormat="1" applyFont="1" applyFill="1" applyAlignment="1">
      <alignment horizontal="center" vertical="top"/>
    </xf>
    <xf numFmtId="168" fontId="5" fillId="0" borderId="0" xfId="6" quotePrefix="1" applyNumberFormat="1" applyFont="1" applyFill="1" applyBorder="1" applyAlignment="1">
      <alignment horizontal="center" vertical="top"/>
    </xf>
    <xf numFmtId="168" fontId="8" fillId="0" borderId="0" xfId="6" quotePrefix="1" applyNumberFormat="1" applyFont="1" applyFill="1" applyAlignment="1">
      <alignment horizontal="center" vertical="top"/>
    </xf>
    <xf numFmtId="0" fontId="32" fillId="0" borderId="0" xfId="1" applyFont="1" applyFill="1"/>
    <xf numFmtId="0" fontId="5" fillId="0" borderId="0" xfId="23" applyFont="1" applyFill="1" applyAlignment="1">
      <alignment horizontal="center" vertical="top" readingOrder="1"/>
    </xf>
    <xf numFmtId="168" fontId="8" fillId="0" borderId="0" xfId="6" applyNumberFormat="1" applyFont="1" applyFill="1" applyAlignment="1">
      <alignment horizontal="center"/>
    </xf>
    <xf numFmtId="3" fontId="5" fillId="0" borderId="0" xfId="23" quotePrefix="1" applyNumberFormat="1" applyFont="1" applyFill="1" applyAlignment="1">
      <alignment horizontal="left"/>
    </xf>
    <xf numFmtId="0" fontId="7" fillId="0" borderId="0" xfId="40" applyFont="1" applyFill="1" applyAlignment="1">
      <alignment vertical="top"/>
    </xf>
    <xf numFmtId="168" fontId="5" fillId="0" borderId="0" xfId="2" applyNumberFormat="1" applyFont="1" applyFill="1" applyAlignment="1">
      <alignment horizontal="justify" vertical="top" wrapText="1" readingOrder="1"/>
    </xf>
    <xf numFmtId="0" fontId="7" fillId="0" borderId="0" xfId="23" applyFont="1" applyFill="1" applyAlignment="1">
      <alignment horizontal="justify" vertical="top" wrapText="1" readingOrder="1"/>
    </xf>
    <xf numFmtId="168" fontId="7" fillId="0" borderId="0" xfId="2" applyNumberFormat="1" applyFont="1" applyFill="1" applyAlignment="1">
      <alignment horizontal="justify" vertical="top" wrapText="1" readingOrder="1"/>
    </xf>
    <xf numFmtId="0" fontId="7" fillId="0" borderId="0" xfId="39" applyFont="1" applyFill="1"/>
    <xf numFmtId="168" fontId="5" fillId="0" borderId="0" xfId="23" quotePrefix="1" applyNumberFormat="1" applyFont="1" applyFill="1" applyBorder="1" applyAlignment="1">
      <alignment horizontal="center" vertical="top"/>
    </xf>
    <xf numFmtId="0" fontId="7" fillId="0" borderId="0" xfId="23" applyFont="1" applyFill="1" applyBorder="1" applyAlignment="1">
      <alignment horizontal="justify" vertical="top" wrapText="1" readingOrder="1"/>
    </xf>
    <xf numFmtId="168" fontId="7" fillId="0" borderId="0" xfId="23" quotePrefix="1" applyNumberFormat="1" applyFont="1" applyFill="1" applyBorder="1" applyAlignment="1">
      <alignment horizontal="center" vertical="top"/>
    </xf>
    <xf numFmtId="0" fontId="32" fillId="0" borderId="0" xfId="1" applyFont="1" applyFill="1" applyAlignment="1">
      <alignment vertical="center"/>
    </xf>
    <xf numFmtId="0" fontId="7" fillId="0" borderId="0" xfId="39" applyFont="1" applyFill="1" applyAlignment="1">
      <alignment vertical="center"/>
    </xf>
    <xf numFmtId="0" fontId="7" fillId="0" borderId="0" xfId="40" applyFont="1" applyFill="1" applyAlignment="1">
      <alignment vertical="center"/>
    </xf>
    <xf numFmtId="168" fontId="5" fillId="0" borderId="4" xfId="23" quotePrefix="1" applyNumberFormat="1" applyFont="1" applyFill="1" applyBorder="1" applyAlignment="1">
      <alignment horizontal="center" vertical="center"/>
    </xf>
    <xf numFmtId="0" fontId="7" fillId="0" borderId="0" xfId="23" applyFont="1" applyFill="1" applyBorder="1" applyAlignment="1">
      <alignment horizontal="justify" vertical="center" wrapText="1"/>
    </xf>
    <xf numFmtId="168" fontId="7" fillId="0" borderId="4" xfId="23" quotePrefix="1" applyNumberFormat="1" applyFont="1" applyFill="1" applyBorder="1" applyAlignment="1">
      <alignment horizontal="center" vertical="center"/>
    </xf>
    <xf numFmtId="168" fontId="35" fillId="0" borderId="0" xfId="2" applyNumberFormat="1" applyFont="1" applyFill="1" applyAlignment="1">
      <alignment vertical="center"/>
    </xf>
    <xf numFmtId="176" fontId="5" fillId="0" borderId="0" xfId="1" quotePrefix="1" applyNumberFormat="1" applyFont="1" applyFill="1" applyAlignment="1" applyProtection="1">
      <alignment horizontal="left" vertical="center"/>
      <protection locked="0"/>
    </xf>
    <xf numFmtId="0" fontId="5" fillId="0" borderId="0" xfId="1" quotePrefix="1" applyFont="1" applyFill="1" applyAlignment="1" applyProtection="1">
      <alignment horizontal="left" vertical="center"/>
      <protection locked="0"/>
    </xf>
    <xf numFmtId="168" fontId="7" fillId="0" borderId="0" xfId="2" applyNumberFormat="1" applyFont="1" applyFill="1" applyAlignment="1">
      <alignment horizontal="justify" vertical="top"/>
    </xf>
    <xf numFmtId="9" fontId="7" fillId="0" borderId="0" xfId="4" applyFont="1" applyFill="1" applyAlignment="1">
      <alignment vertical="top"/>
    </xf>
    <xf numFmtId="168" fontId="6" fillId="0" borderId="0" xfId="2" applyNumberFormat="1" applyFont="1" applyFill="1" applyBorder="1" applyAlignment="1">
      <alignment vertical="top"/>
    </xf>
    <xf numFmtId="10" fontId="7" fillId="0" borderId="0" xfId="4" applyNumberFormat="1" applyFont="1" applyFill="1" applyAlignment="1">
      <alignment vertical="top"/>
    </xf>
    <xf numFmtId="0" fontId="7" fillId="0" borderId="0" xfId="35" applyNumberFormat="1" applyFont="1" applyFill="1" applyBorder="1" applyAlignment="1">
      <alignment vertical="top"/>
    </xf>
    <xf numFmtId="0" fontId="5" fillId="0" borderId="0" xfId="1" quotePrefix="1" applyNumberFormat="1" applyFont="1" applyFill="1" applyAlignment="1">
      <alignment vertical="top"/>
    </xf>
    <xf numFmtId="0" fontId="7" fillId="0" borderId="0" xfId="1" quotePrefix="1" applyFont="1" applyFill="1" applyAlignment="1"/>
    <xf numFmtId="168" fontId="5" fillId="0" borderId="0" xfId="2" applyNumberFormat="1" applyFont="1" applyFill="1" applyAlignment="1">
      <alignment vertical="top"/>
    </xf>
    <xf numFmtId="0" fontId="7" fillId="0" borderId="0" xfId="2" applyNumberFormat="1" applyFont="1" applyFill="1" applyAlignment="1">
      <alignment horizontal="center" vertical="center"/>
    </xf>
    <xf numFmtId="0" fontId="7" fillId="0" borderId="0" xfId="1" applyFont="1" applyFill="1" applyBorder="1" applyAlignment="1">
      <alignment vertical="top"/>
    </xf>
    <xf numFmtId="168" fontId="5" fillId="0" borderId="0" xfId="2" applyNumberFormat="1" applyFont="1" applyFill="1" applyBorder="1" applyAlignment="1">
      <alignment vertical="top"/>
    </xf>
    <xf numFmtId="168" fontId="7" fillId="0" borderId="0" xfId="2" applyNumberFormat="1" applyFont="1" applyFill="1" applyBorder="1" applyAlignment="1">
      <alignment vertical="top"/>
    </xf>
    <xf numFmtId="0" fontId="5" fillId="0" borderId="0" xfId="1" applyFont="1" applyFill="1" applyAlignment="1">
      <alignment horizontal="left" vertical="center"/>
    </xf>
    <xf numFmtId="0" fontId="5" fillId="0" borderId="0" xfId="1" applyNumberFormat="1" applyFont="1" applyFill="1" applyAlignment="1">
      <alignment horizontal="left" vertical="center"/>
    </xf>
    <xf numFmtId="168" fontId="6" fillId="0" borderId="0" xfId="2" applyNumberFormat="1" applyFont="1" applyFill="1" applyBorder="1" applyAlignment="1">
      <alignment vertical="center"/>
    </xf>
    <xf numFmtId="168" fontId="6" fillId="0" borderId="0" xfId="2" applyNumberFormat="1" applyFont="1" applyFill="1" applyAlignment="1">
      <alignment vertical="center"/>
    </xf>
    <xf numFmtId="177" fontId="5" fillId="0" borderId="0" xfId="42" quotePrefix="1" applyNumberFormat="1" applyFont="1" applyFill="1" applyBorder="1" applyAlignment="1">
      <alignment horizontal="left" vertical="center"/>
    </xf>
    <xf numFmtId="0" fontId="7" fillId="0" borderId="0" xfId="36" applyNumberFormat="1" applyFont="1" applyFill="1" applyAlignment="1">
      <alignment vertical="center"/>
    </xf>
    <xf numFmtId="0" fontId="6" fillId="0" borderId="0" xfId="36" applyFont="1" applyFill="1" applyAlignment="1">
      <alignment vertical="center"/>
    </xf>
    <xf numFmtId="168" fontId="8" fillId="0" borderId="0" xfId="36" applyNumberFormat="1" applyFont="1" applyFill="1" applyBorder="1" applyAlignment="1">
      <alignment vertical="center"/>
    </xf>
    <xf numFmtId="168" fontId="6" fillId="0" borderId="0" xfId="36" applyNumberFormat="1" applyFont="1" applyFill="1" applyBorder="1" applyAlignment="1">
      <alignment vertical="center"/>
    </xf>
    <xf numFmtId="10" fontId="6" fillId="0" borderId="0" xfId="36" applyNumberFormat="1" applyFont="1" applyFill="1" applyAlignment="1">
      <alignment vertical="center"/>
    </xf>
    <xf numFmtId="0" fontId="7" fillId="0" borderId="0" xfId="36" applyFont="1" applyFill="1" applyAlignment="1">
      <alignment vertical="center"/>
    </xf>
    <xf numFmtId="0" fontId="5" fillId="0" borderId="0" xfId="43" applyNumberFormat="1" applyFont="1" applyFill="1" applyBorder="1" applyAlignment="1">
      <alignment vertical="center"/>
    </xf>
    <xf numFmtId="0" fontId="7" fillId="0" borderId="0" xfId="42" applyFont="1" applyFill="1" applyBorder="1" applyAlignment="1">
      <alignment horizontal="left"/>
    </xf>
    <xf numFmtId="0" fontId="7" fillId="0" borderId="0" xfId="42" applyFont="1" applyFill="1" applyBorder="1" applyAlignment="1"/>
    <xf numFmtId="0" fontId="6" fillId="0" borderId="0" xfId="42" applyFont="1" applyFill="1" applyBorder="1" applyAlignment="1"/>
    <xf numFmtId="0" fontId="6" fillId="0" borderId="0" xfId="42" applyFont="1" applyFill="1" applyAlignment="1">
      <alignment vertical="top"/>
    </xf>
    <xf numFmtId="0" fontId="6" fillId="0" borderId="0" xfId="1" applyFont="1"/>
    <xf numFmtId="0" fontId="36" fillId="0" borderId="0" xfId="42" applyFont="1" applyFill="1" applyBorder="1" applyAlignment="1">
      <alignment vertical="top"/>
    </xf>
    <xf numFmtId="0" fontId="36" fillId="0" borderId="9" xfId="42" applyFont="1" applyFill="1" applyBorder="1" applyAlignment="1">
      <alignment vertical="top"/>
    </xf>
    <xf numFmtId="10" fontId="36" fillId="0" borderId="0" xfId="36" applyNumberFormat="1" applyFont="1" applyFill="1" applyAlignment="1">
      <alignment vertical="center"/>
    </xf>
    <xf numFmtId="0" fontId="36" fillId="0" borderId="15" xfId="42" applyFont="1" applyFill="1" applyBorder="1" applyAlignment="1">
      <alignment vertical="top"/>
    </xf>
    <xf numFmtId="10" fontId="36" fillId="0" borderId="8" xfId="42" applyNumberFormat="1" applyFont="1" applyFill="1" applyBorder="1" applyAlignment="1">
      <alignment vertical="top"/>
    </xf>
    <xf numFmtId="10" fontId="36" fillId="0" borderId="0" xfId="4" applyNumberFormat="1" applyFont="1" applyFill="1" applyBorder="1" applyAlignment="1">
      <alignment vertical="top"/>
    </xf>
    <xf numFmtId="10" fontId="36" fillId="0" borderId="4" xfId="42" applyNumberFormat="1" applyFont="1" applyFill="1" applyBorder="1" applyAlignment="1">
      <alignment vertical="top"/>
    </xf>
    <xf numFmtId="0" fontId="36" fillId="0" borderId="17" xfId="42" applyFont="1" applyFill="1" applyBorder="1" applyAlignment="1">
      <alignment vertical="top"/>
    </xf>
    <xf numFmtId="0" fontId="36" fillId="0" borderId="0" xfId="42" applyFont="1" applyFill="1" applyAlignment="1"/>
    <xf numFmtId="0" fontId="39" fillId="0" borderId="0" xfId="42" applyFont="1" applyFill="1" applyAlignment="1"/>
    <xf numFmtId="0" fontId="37" fillId="0" borderId="0" xfId="42" applyFont="1" applyFill="1" applyAlignment="1">
      <alignment horizontal="center"/>
    </xf>
    <xf numFmtId="0" fontId="36" fillId="0" borderId="0" xfId="42" applyFont="1" applyFill="1" applyBorder="1" applyAlignment="1"/>
    <xf numFmtId="10" fontId="36" fillId="0" borderId="0" xfId="4" applyNumberFormat="1" applyFont="1" applyFill="1" applyBorder="1" applyAlignment="1"/>
    <xf numFmtId="0" fontId="36" fillId="0" borderId="0" xfId="36" applyFont="1" applyFill="1" applyAlignment="1"/>
    <xf numFmtId="0" fontId="40" fillId="0" borderId="0" xfId="45" quotePrefix="1" applyNumberFormat="1" applyFont="1" applyFill="1" applyBorder="1" applyAlignment="1">
      <alignment horizontal="center" vertical="center" wrapText="1"/>
    </xf>
    <xf numFmtId="0" fontId="36" fillId="0" borderId="0" xfId="42" applyFont="1" applyFill="1" applyBorder="1" applyAlignment="1">
      <alignment vertical="center" wrapText="1"/>
    </xf>
    <xf numFmtId="0" fontId="40" fillId="0" borderId="0" xfId="42" applyFont="1" applyFill="1" applyAlignment="1">
      <alignment horizontal="center"/>
    </xf>
    <xf numFmtId="0" fontId="6" fillId="0" borderId="0" xfId="42" applyFont="1" applyFill="1" applyAlignment="1"/>
    <xf numFmtId="41" fontId="6" fillId="0" borderId="0" xfId="42" applyNumberFormat="1" applyFont="1" applyFill="1" applyAlignment="1"/>
    <xf numFmtId="41" fontId="8" fillId="0" borderId="0" xfId="45" applyNumberFormat="1" applyFont="1" applyFill="1" applyBorder="1" applyAlignment="1"/>
    <xf numFmtId="0" fontId="7" fillId="0" borderId="0" xfId="42" applyFont="1" applyFill="1" applyAlignment="1"/>
    <xf numFmtId="183" fontId="5" fillId="0" borderId="0" xfId="42" applyNumberFormat="1" applyFont="1" applyFill="1" applyAlignment="1">
      <alignment horizontal="left"/>
    </xf>
    <xf numFmtId="0" fontId="7" fillId="0" borderId="0" xfId="42" applyFont="1" applyFill="1" applyAlignment="1">
      <alignment horizontal="left"/>
    </xf>
    <xf numFmtId="41" fontId="7" fillId="0" borderId="0" xfId="42" applyNumberFormat="1" applyFont="1" applyFill="1" applyAlignment="1"/>
    <xf numFmtId="0" fontId="3" fillId="0" borderId="0" xfId="1"/>
    <xf numFmtId="0" fontId="36" fillId="0" borderId="0" xfId="42" applyFont="1" applyFill="1" applyAlignment="1">
      <alignment horizontal="left"/>
    </xf>
    <xf numFmtId="0" fontId="36" fillId="0" borderId="0" xfId="42" applyFont="1" applyFill="1" applyAlignment="1">
      <alignment vertical="top"/>
    </xf>
    <xf numFmtId="15" fontId="36" fillId="0" borderId="0" xfId="42" applyNumberFormat="1" applyFont="1" applyFill="1" applyAlignment="1">
      <alignment horizontal="center" vertical="top"/>
    </xf>
    <xf numFmtId="168" fontId="36" fillId="0" borderId="0" xfId="26" applyNumberFormat="1" applyFont="1" applyFill="1" applyAlignment="1">
      <alignment vertical="top"/>
    </xf>
    <xf numFmtId="168" fontId="36" fillId="0" borderId="0" xfId="2" applyNumberFormat="1" applyFont="1" applyFill="1" applyBorder="1" applyAlignment="1">
      <alignment vertical="top"/>
    </xf>
    <xf numFmtId="182" fontId="40" fillId="0" borderId="0" xfId="42" applyNumberFormat="1" applyFont="1" applyFill="1" applyBorder="1" applyAlignment="1">
      <alignment horizontal="left" vertical="top"/>
    </xf>
    <xf numFmtId="0" fontId="36" fillId="0" borderId="0" xfId="42" applyFont="1" applyFill="1" applyAlignment="1">
      <alignment horizontal="left" vertical="top"/>
    </xf>
    <xf numFmtId="41" fontId="36" fillId="0" borderId="0" xfId="42" applyNumberFormat="1" applyFont="1" applyFill="1" applyAlignment="1">
      <alignment vertical="top"/>
    </xf>
    <xf numFmtId="0" fontId="40" fillId="0" borderId="0" xfId="8" applyNumberFormat="1" applyFont="1" applyFill="1" applyAlignment="1">
      <alignment vertical="top"/>
    </xf>
    <xf numFmtId="41" fontId="40" fillId="0" borderId="0" xfId="45" applyNumberFormat="1" applyFont="1" applyFill="1" applyBorder="1" applyAlignment="1">
      <alignment vertical="top"/>
    </xf>
    <xf numFmtId="41" fontId="36" fillId="0" borderId="1" xfId="45" applyNumberFormat="1" applyFont="1" applyFill="1" applyBorder="1" applyAlignment="1">
      <alignment vertical="top"/>
    </xf>
    <xf numFmtId="0" fontId="6" fillId="0" borderId="0" xfId="46" applyFont="1" applyFill="1" applyAlignment="1"/>
    <xf numFmtId="168" fontId="6" fillId="0" borderId="0" xfId="47" applyNumberFormat="1" applyFont="1" applyFill="1" applyAlignment="1"/>
    <xf numFmtId="168" fontId="6" fillId="0" borderId="0" xfId="47" applyNumberFormat="1" applyFont="1" applyFill="1" applyBorder="1" applyAlignment="1"/>
    <xf numFmtId="168" fontId="6" fillId="0" borderId="0" xfId="46" applyNumberFormat="1" applyFont="1" applyFill="1" applyAlignment="1"/>
    <xf numFmtId="0" fontId="6" fillId="0" borderId="0" xfId="36" applyNumberFormat="1" applyFont="1" applyFill="1" applyAlignment="1">
      <alignment vertical="center"/>
    </xf>
    <xf numFmtId="0" fontId="24" fillId="0" borderId="0" xfId="36" applyFont="1" applyFill="1" applyAlignment="1">
      <alignment vertical="center"/>
    </xf>
    <xf numFmtId="177" fontId="8" fillId="0" borderId="0" xfId="44" quotePrefix="1" applyNumberFormat="1" applyFont="1" applyFill="1" applyAlignment="1">
      <alignment horizontal="left" vertical="top"/>
    </xf>
    <xf numFmtId="0" fontId="8" fillId="0" borderId="0" xfId="43" applyNumberFormat="1" applyFont="1" applyFill="1" applyBorder="1" applyAlignment="1">
      <alignment vertical="top"/>
    </xf>
    <xf numFmtId="0" fontId="6" fillId="2" borderId="0" xfId="42" applyFont="1" applyFill="1" applyAlignment="1"/>
    <xf numFmtId="0" fontId="24" fillId="0" borderId="0" xfId="42" applyFont="1" applyFill="1" applyAlignment="1"/>
    <xf numFmtId="0" fontId="24" fillId="2" borderId="0" xfId="42" applyFont="1" applyFill="1" applyAlignment="1"/>
    <xf numFmtId="0" fontId="6" fillId="0" borderId="0" xfId="46" applyFont="1" applyFill="1" applyAlignment="1">
      <alignment horizontal="left"/>
    </xf>
    <xf numFmtId="179" fontId="6" fillId="0" borderId="0" xfId="48" applyNumberFormat="1" applyFont="1" applyFill="1" applyAlignment="1">
      <alignment vertical="top"/>
    </xf>
    <xf numFmtId="0" fontId="41" fillId="0" borderId="0" xfId="46" applyFont="1" applyFill="1" applyAlignment="1">
      <alignment horizontal="left"/>
    </xf>
    <xf numFmtId="0" fontId="41" fillId="0" borderId="0" xfId="42" applyFont="1" applyFill="1" applyAlignment="1"/>
    <xf numFmtId="0" fontId="36" fillId="2" borderId="0" xfId="42" applyFont="1" applyFill="1" applyAlignment="1"/>
    <xf numFmtId="168" fontId="36" fillId="0" borderId="0" xfId="2" applyNumberFormat="1" applyFont="1" applyFill="1" applyAlignment="1">
      <alignment horizontal="right"/>
    </xf>
    <xf numFmtId="10" fontId="40" fillId="0" borderId="4" xfId="4" applyNumberFormat="1" applyFont="1" applyFill="1" applyBorder="1" applyAlignment="1">
      <alignment horizontal="right" vertical="top"/>
    </xf>
    <xf numFmtId="168" fontId="36" fillId="0" borderId="0" xfId="2" applyNumberFormat="1" applyFont="1" applyFill="1" applyBorder="1" applyAlignment="1" applyProtection="1">
      <alignment horizontal="center" vertical="top"/>
    </xf>
    <xf numFmtId="168" fontId="36" fillId="2" borderId="0" xfId="42" applyNumberFormat="1" applyFont="1" applyFill="1" applyAlignment="1"/>
    <xf numFmtId="3" fontId="36" fillId="0" borderId="0" xfId="42" applyNumberFormat="1" applyFont="1" applyFill="1" applyAlignment="1"/>
    <xf numFmtId="0" fontId="24" fillId="0" borderId="0" xfId="42" applyFont="1" applyFill="1" applyAlignment="1">
      <alignment horizontal="centerContinuous"/>
    </xf>
    <xf numFmtId="168" fontId="24" fillId="0" borderId="0" xfId="2" applyNumberFormat="1" applyFont="1" applyFill="1" applyBorder="1" applyAlignment="1" applyProtection="1">
      <alignment horizontal="center" vertical="top"/>
    </xf>
    <xf numFmtId="10" fontId="22" fillId="0" borderId="0" xfId="4" applyNumberFormat="1" applyFont="1" applyFill="1" applyBorder="1" applyAlignment="1">
      <alignment horizontal="center" vertical="center"/>
    </xf>
    <xf numFmtId="0" fontId="8" fillId="0" borderId="0" xfId="2" applyNumberFormat="1" applyFont="1" applyFill="1" applyBorder="1" applyAlignment="1">
      <alignment horizontal="left" vertical="top"/>
    </xf>
    <xf numFmtId="167" fontId="6" fillId="0" borderId="0" xfId="2" applyNumberFormat="1" applyFont="1" applyFill="1" applyBorder="1" applyAlignment="1">
      <alignment vertical="top"/>
    </xf>
    <xf numFmtId="167" fontId="8" fillId="0" borderId="0" xfId="2" applyNumberFormat="1" applyFont="1" applyFill="1" applyBorder="1" applyAlignment="1">
      <alignment vertical="top"/>
    </xf>
    <xf numFmtId="168" fontId="8" fillId="0" borderId="0" xfId="2" applyNumberFormat="1" applyFont="1" applyFill="1" applyBorder="1" applyAlignment="1">
      <alignment vertical="top"/>
    </xf>
    <xf numFmtId="177" fontId="8" fillId="0" borderId="0" xfId="44" quotePrefix="1" applyNumberFormat="1" applyFont="1" applyFill="1" applyAlignment="1">
      <alignment horizontal="left" vertical="center"/>
    </xf>
    <xf numFmtId="0" fontId="6" fillId="0" borderId="0" xfId="53" applyNumberFormat="1" applyFont="1" applyFill="1" applyAlignment="1">
      <alignment vertical="center"/>
    </xf>
    <xf numFmtId="10" fontId="8" fillId="0" borderId="0" xfId="4" applyNumberFormat="1" applyFont="1" applyFill="1" applyBorder="1" applyAlignment="1">
      <alignment vertical="top"/>
    </xf>
    <xf numFmtId="168" fontId="24" fillId="0" borderId="0" xfId="2" applyNumberFormat="1" applyFont="1" applyFill="1" applyBorder="1" applyAlignment="1">
      <alignment vertical="top"/>
    </xf>
    <xf numFmtId="0" fontId="6" fillId="0" borderId="0" xfId="42" applyFont="1" applyFill="1" applyBorder="1" applyAlignment="1">
      <alignment horizontal="left"/>
    </xf>
    <xf numFmtId="0" fontId="39" fillId="0" borderId="0" xfId="42" applyFont="1" applyFill="1" applyAlignment="1">
      <alignment horizontal="left"/>
    </xf>
    <xf numFmtId="41" fontId="36" fillId="0" borderId="0" xfId="45" applyNumberFormat="1" applyFont="1" applyFill="1" applyBorder="1" applyAlignment="1">
      <alignment vertical="top"/>
    </xf>
    <xf numFmtId="43" fontId="40" fillId="0" borderId="0" xfId="47" applyNumberFormat="1" applyFont="1" applyFill="1" applyBorder="1" applyAlignment="1">
      <alignment horizontal="center" vertical="top"/>
    </xf>
    <xf numFmtId="10" fontId="36" fillId="0" borderId="1" xfId="4" applyNumberFormat="1" applyFont="1" applyFill="1" applyBorder="1" applyAlignment="1">
      <alignment horizontal="right" vertical="top"/>
    </xf>
    <xf numFmtId="43" fontId="36" fillId="0" borderId="0" xfId="45" applyNumberFormat="1" applyFont="1" applyFill="1" applyBorder="1" applyAlignment="1">
      <alignment horizontal="center" vertical="top"/>
    </xf>
    <xf numFmtId="41" fontId="36" fillId="2" borderId="0" xfId="42" applyNumberFormat="1" applyFont="1" applyFill="1" applyAlignment="1"/>
    <xf numFmtId="182" fontId="6" fillId="0" borderId="0" xfId="42" applyNumberFormat="1" applyFont="1" applyFill="1" applyBorder="1" applyAlignment="1">
      <alignment horizontal="left"/>
    </xf>
    <xf numFmtId="0" fontId="6" fillId="0" borderId="0" xfId="42" applyFont="1" applyFill="1" applyAlignment="1">
      <alignment horizontal="left"/>
    </xf>
    <xf numFmtId="41" fontId="6" fillId="0" borderId="0" xfId="45" applyNumberFormat="1" applyFont="1" applyFill="1" applyBorder="1" applyAlignment="1"/>
    <xf numFmtId="43" fontId="6" fillId="0" borderId="0" xfId="45" applyNumberFormat="1" applyFont="1" applyFill="1" applyBorder="1" applyAlignment="1">
      <alignment horizontal="center" vertical="center"/>
    </xf>
    <xf numFmtId="41" fontId="6" fillId="2" borderId="0" xfId="42" applyNumberFormat="1" applyFont="1" applyFill="1" applyAlignment="1"/>
    <xf numFmtId="168" fontId="36" fillId="0" borderId="0" xfId="2" applyNumberFormat="1" applyFont="1" applyFill="1" applyBorder="1"/>
    <xf numFmtId="0" fontId="6" fillId="0" borderId="0" xfId="55" applyFont="1" applyFill="1" applyBorder="1" applyAlignment="1">
      <alignment vertical="top"/>
    </xf>
    <xf numFmtId="168" fontId="43" fillId="0" borderId="0" xfId="2" applyNumberFormat="1" applyFont="1" applyFill="1" applyBorder="1"/>
    <xf numFmtId="170" fontId="22" fillId="0" borderId="0" xfId="55" applyNumberFormat="1" applyFont="1" applyFill="1" applyAlignment="1">
      <alignment vertical="top"/>
    </xf>
    <xf numFmtId="179" fontId="24" fillId="0" borderId="0" xfId="1" applyNumberFormat="1" applyFont="1" applyFill="1" applyAlignment="1" applyProtection="1">
      <alignment vertical="top"/>
    </xf>
    <xf numFmtId="177" fontId="24" fillId="0" borderId="0" xfId="1" applyNumberFormat="1" applyFont="1" applyFill="1" applyAlignment="1" applyProtection="1">
      <alignment vertical="top"/>
    </xf>
    <xf numFmtId="0" fontId="24" fillId="0" borderId="0" xfId="1" applyFont="1" applyFill="1" applyAlignment="1" applyProtection="1">
      <alignment horizontal="left" vertical="top"/>
    </xf>
    <xf numFmtId="168" fontId="24" fillId="0" borderId="0" xfId="1" applyNumberFormat="1" applyFont="1" applyFill="1" applyAlignment="1" applyProtection="1">
      <alignment horizontal="center" vertical="top"/>
    </xf>
    <xf numFmtId="168" fontId="24" fillId="0" borderId="0" xfId="2" applyNumberFormat="1" applyFont="1" applyFill="1" applyAlignment="1" applyProtection="1">
      <alignment vertical="top"/>
    </xf>
    <xf numFmtId="0" fontId="24" fillId="0" borderId="0" xfId="1" applyFont="1" applyFill="1" applyAlignment="1" applyProtection="1">
      <alignment vertical="top"/>
    </xf>
    <xf numFmtId="0" fontId="5" fillId="0" borderId="0" xfId="28" quotePrefix="1" applyNumberFormat="1" applyFont="1" applyFill="1" applyAlignment="1">
      <alignment vertical="top"/>
    </xf>
    <xf numFmtId="0" fontId="7" fillId="0" borderId="0" xfId="56" applyNumberFormat="1" applyFont="1" applyFill="1" applyAlignment="1">
      <alignment vertical="top"/>
    </xf>
    <xf numFmtId="168" fontId="44" fillId="0" borderId="0" xfId="2" applyNumberFormat="1" applyFont="1" applyFill="1" applyBorder="1" applyAlignment="1">
      <alignment vertical="top"/>
    </xf>
    <xf numFmtId="170" fontId="5" fillId="0" borderId="0" xfId="55" applyNumberFormat="1" applyFont="1" applyFill="1" applyAlignment="1">
      <alignment horizontal="left" vertical="top"/>
    </xf>
    <xf numFmtId="168" fontId="32" fillId="0" borderId="0" xfId="2" applyNumberFormat="1" applyFont="1" applyFill="1" applyAlignment="1">
      <alignment vertical="top"/>
    </xf>
    <xf numFmtId="168" fontId="35" fillId="0" borderId="0" xfId="2" applyNumberFormat="1" applyFont="1" applyFill="1" applyAlignment="1">
      <alignment vertical="top"/>
    </xf>
    <xf numFmtId="0" fontId="5" fillId="0" borderId="0" xfId="28" quotePrefix="1" applyNumberFormat="1" applyFont="1" applyFill="1" applyAlignment="1">
      <alignment horizontal="left" vertical="center"/>
    </xf>
    <xf numFmtId="0" fontId="7" fillId="0" borderId="0" xfId="56" applyNumberFormat="1" applyFont="1" applyFill="1" applyAlignment="1">
      <alignment horizontal="justify" vertical="top" wrapText="1"/>
    </xf>
    <xf numFmtId="0" fontId="5" fillId="0" borderId="0" xfId="1" quotePrefix="1" applyFont="1" applyFill="1" applyAlignment="1">
      <alignment horizontal="left" vertical="top"/>
    </xf>
    <xf numFmtId="0" fontId="5" fillId="0" borderId="0" xfId="6" applyNumberFormat="1" applyFont="1" applyFill="1" applyAlignment="1" applyProtection="1">
      <alignment vertical="top"/>
    </xf>
    <xf numFmtId="0" fontId="5" fillId="0" borderId="0" xfId="56" applyNumberFormat="1" applyFont="1" applyFill="1" applyAlignment="1">
      <alignment horizontal="justify" vertical="top" wrapText="1"/>
    </xf>
    <xf numFmtId="168" fontId="44" fillId="0" borderId="0" xfId="2" applyNumberFormat="1" applyFont="1" applyFill="1" applyBorder="1"/>
    <xf numFmtId="168" fontId="7" fillId="0" borderId="0" xfId="2" applyNumberFormat="1" applyFont="1" applyFill="1" applyAlignment="1">
      <alignment horizontal="justify" vertical="top" wrapText="1"/>
    </xf>
    <xf numFmtId="0" fontId="7" fillId="0" borderId="0" xfId="56" applyNumberFormat="1" applyFont="1" applyFill="1" applyAlignment="1">
      <alignment horizontal="left" vertical="top" indent="1"/>
    </xf>
    <xf numFmtId="0" fontId="7" fillId="0" borderId="0" xfId="56" quotePrefix="1" applyNumberFormat="1" applyFont="1" applyFill="1" applyAlignment="1">
      <alignment horizontal="left" vertical="top"/>
    </xf>
    <xf numFmtId="0" fontId="7" fillId="0" borderId="0" xfId="56" applyNumberFormat="1" applyFont="1" applyFill="1" applyAlignment="1">
      <alignment horizontal="justify" vertical="center" wrapText="1"/>
    </xf>
    <xf numFmtId="168" fontId="7" fillId="0" borderId="4" xfId="2" applyNumberFormat="1" applyFont="1" applyFill="1" applyBorder="1" applyAlignment="1">
      <alignment horizontal="justify" vertical="center" wrapText="1"/>
    </xf>
    <xf numFmtId="168" fontId="44" fillId="0" borderId="0" xfId="2" applyNumberFormat="1" applyFont="1" applyFill="1" applyBorder="1" applyAlignment="1">
      <alignment vertical="center"/>
    </xf>
    <xf numFmtId="168" fontId="36" fillId="0" borderId="0" xfId="2" applyNumberFormat="1" applyFont="1" applyFill="1" applyBorder="1" applyAlignment="1">
      <alignment vertical="center"/>
    </xf>
    <xf numFmtId="0" fontId="7" fillId="0" borderId="0" xfId="1" quotePrefix="1" applyFont="1" applyFill="1" applyAlignment="1">
      <alignment horizontal="center" vertical="top"/>
    </xf>
    <xf numFmtId="168" fontId="5" fillId="0" borderId="0" xfId="2" applyNumberFormat="1" applyFont="1" applyFill="1" applyBorder="1" applyAlignment="1">
      <alignment horizontal="justify" vertical="top" wrapText="1"/>
    </xf>
    <xf numFmtId="168" fontId="7" fillId="0" borderId="0" xfId="2" applyNumberFormat="1" applyFont="1" applyFill="1" applyBorder="1" applyAlignment="1">
      <alignment horizontal="justify" vertical="top" wrapText="1"/>
    </xf>
    <xf numFmtId="0" fontId="5" fillId="0" borderId="0" xfId="1" applyNumberFormat="1" applyFont="1" applyFill="1" applyAlignment="1">
      <alignment vertical="top"/>
    </xf>
    <xf numFmtId="0" fontId="32" fillId="0" borderId="0" xfId="1" applyFont="1" applyFill="1" applyAlignment="1">
      <alignment vertical="top"/>
    </xf>
    <xf numFmtId="0" fontId="5" fillId="0" borderId="0" xfId="1" applyNumberFormat="1" applyFont="1" applyFill="1" applyAlignment="1">
      <alignment horizontal="left" vertical="top" indent="1"/>
    </xf>
    <xf numFmtId="168" fontId="33" fillId="0" borderId="0" xfId="2" applyNumberFormat="1" applyFont="1" applyFill="1" applyBorder="1" applyAlignment="1">
      <alignment vertical="top"/>
    </xf>
    <xf numFmtId="168" fontId="32" fillId="0" borderId="0" xfId="2" applyNumberFormat="1" applyFont="1" applyFill="1" applyBorder="1" applyAlignment="1">
      <alignment vertical="top"/>
    </xf>
    <xf numFmtId="49" fontId="5" fillId="0" borderId="0" xfId="2" applyNumberFormat="1" applyFont="1" applyFill="1" applyAlignment="1">
      <alignment horizontal="left"/>
    </xf>
    <xf numFmtId="177" fontId="7" fillId="0" borderId="0" xfId="1" quotePrefix="1" applyNumberFormat="1" applyFont="1" applyFill="1" applyAlignment="1">
      <alignment horizontal="center" vertical="top"/>
    </xf>
    <xf numFmtId="49" fontId="5" fillId="0" borderId="0" xfId="2" applyNumberFormat="1" applyFont="1" applyFill="1" applyAlignment="1">
      <alignment horizontal="left" vertical="center"/>
    </xf>
    <xf numFmtId="168" fontId="32" fillId="0" borderId="0" xfId="2" applyNumberFormat="1" applyFont="1" applyFill="1" applyAlignment="1">
      <alignment vertical="center"/>
    </xf>
    <xf numFmtId="168" fontId="33" fillId="0" borderId="0" xfId="2" applyNumberFormat="1" applyFont="1" applyFill="1" applyBorder="1" applyAlignment="1">
      <alignment vertical="center"/>
    </xf>
    <xf numFmtId="168" fontId="32" fillId="0" borderId="4" xfId="2" applyNumberFormat="1" applyFont="1" applyFill="1" applyBorder="1" applyAlignment="1">
      <alignment vertical="center"/>
    </xf>
    <xf numFmtId="0" fontId="32" fillId="0" borderId="0" xfId="1" quotePrefix="1" applyFont="1" applyFill="1" applyAlignment="1">
      <alignment vertical="top"/>
    </xf>
    <xf numFmtId="0" fontId="5" fillId="0" borderId="0" xfId="54" applyNumberFormat="1" applyFont="1" applyFill="1" applyAlignment="1">
      <alignment horizontal="left" vertical="top" indent="1"/>
    </xf>
    <xf numFmtId="0" fontId="33" fillId="0" borderId="0" xfId="1" quotePrefix="1" applyFont="1" applyFill="1" applyAlignment="1">
      <alignment horizontal="justify" vertical="top"/>
    </xf>
    <xf numFmtId="0" fontId="32" fillId="0" borderId="0" xfId="1" quotePrefix="1" applyFont="1" applyFill="1" applyAlignment="1">
      <alignment horizontal="center" vertical="top"/>
    </xf>
    <xf numFmtId="168" fontId="32" fillId="0" borderId="0" xfId="2" quotePrefix="1" applyNumberFormat="1" applyFont="1" applyFill="1" applyAlignment="1">
      <alignment vertical="top"/>
    </xf>
    <xf numFmtId="0" fontId="32" fillId="0" borderId="0" xfId="1" quotePrefix="1" applyFont="1" applyFill="1" applyAlignment="1">
      <alignment horizontal="justify" vertical="center"/>
    </xf>
    <xf numFmtId="168" fontId="32" fillId="0" borderId="0" xfId="2" quotePrefix="1" applyNumberFormat="1" applyFont="1" applyFill="1" applyAlignment="1">
      <alignment horizontal="justify" vertical="center"/>
    </xf>
    <xf numFmtId="168" fontId="32" fillId="0" borderId="4" xfId="2" quotePrefix="1" applyNumberFormat="1" applyFont="1" applyFill="1" applyBorder="1" applyAlignment="1">
      <alignment horizontal="justify" vertical="center"/>
    </xf>
    <xf numFmtId="168" fontId="32" fillId="0" borderId="0" xfId="2" quotePrefix="1" applyNumberFormat="1" applyFont="1" applyFill="1" applyBorder="1" applyAlignment="1">
      <alignment horizontal="justify" vertical="top"/>
    </xf>
    <xf numFmtId="168" fontId="32" fillId="0" borderId="0" xfId="2" quotePrefix="1" applyNumberFormat="1" applyFont="1" applyFill="1" applyAlignment="1">
      <alignment horizontal="justify" vertical="top"/>
    </xf>
    <xf numFmtId="168" fontId="45" fillId="0" borderId="0" xfId="2" applyNumberFormat="1" applyFont="1" applyFill="1" applyAlignment="1">
      <alignment vertical="top"/>
    </xf>
    <xf numFmtId="49" fontId="5" fillId="0" borderId="0" xfId="2" applyNumberFormat="1" applyFont="1" applyFill="1" applyAlignment="1">
      <alignment horizontal="left" vertical="top"/>
    </xf>
    <xf numFmtId="0" fontId="5" fillId="0" borderId="0" xfId="1" applyNumberFormat="1" applyFont="1" applyFill="1" applyAlignment="1" applyProtection="1">
      <alignment vertical="top"/>
      <protection locked="0"/>
    </xf>
    <xf numFmtId="168" fontId="32" fillId="0" borderId="1" xfId="2" quotePrefix="1" applyNumberFormat="1" applyFont="1" applyFill="1" applyBorder="1" applyAlignment="1">
      <alignment horizontal="justify" vertical="top"/>
    </xf>
    <xf numFmtId="0" fontId="32" fillId="0" borderId="0" xfId="1" quotePrefix="1" applyFont="1" applyFill="1" applyAlignment="1">
      <alignment vertical="top" wrapText="1"/>
    </xf>
    <xf numFmtId="168" fontId="7" fillId="0" borderId="0" xfId="6" quotePrefix="1" applyNumberFormat="1" applyFont="1" applyFill="1" applyAlignment="1">
      <alignment horizontal="center" vertical="top"/>
    </xf>
    <xf numFmtId="168" fontId="7" fillId="0" borderId="0" xfId="2" quotePrefix="1" applyNumberFormat="1" applyFont="1" applyFill="1" applyAlignment="1">
      <alignment horizontal="center" vertical="top"/>
    </xf>
    <xf numFmtId="0" fontId="5" fillId="0" borderId="0" xfId="2" applyNumberFormat="1" applyFont="1" applyFill="1" applyAlignment="1">
      <alignment vertical="top"/>
    </xf>
    <xf numFmtId="168" fontId="7" fillId="0" borderId="0" xfId="2" quotePrefix="1" applyNumberFormat="1" applyFont="1" applyFill="1" applyAlignment="1">
      <alignment horizontal="center"/>
    </xf>
    <xf numFmtId="168" fontId="7" fillId="0" borderId="0" xfId="6" quotePrefix="1" applyNumberFormat="1" applyFont="1" applyFill="1" applyAlignment="1">
      <alignment horizontal="center"/>
    </xf>
    <xf numFmtId="168" fontId="7" fillId="0" borderId="0" xfId="1" applyNumberFormat="1" applyFont="1" applyFill="1" applyAlignment="1">
      <alignment vertical="top"/>
    </xf>
    <xf numFmtId="168" fontId="5" fillId="0" borderId="0" xfId="2" applyNumberFormat="1" applyFont="1" applyFill="1" applyAlignment="1">
      <alignment vertical="center"/>
    </xf>
    <xf numFmtId="168" fontId="5" fillId="0" borderId="4" xfId="6" quotePrefix="1" applyNumberFormat="1" applyFont="1" applyFill="1" applyBorder="1" applyAlignment="1">
      <alignment horizontal="center" vertical="center"/>
    </xf>
    <xf numFmtId="168" fontId="5" fillId="0" borderId="0" xfId="6" quotePrefix="1" applyNumberFormat="1" applyFont="1" applyFill="1" applyAlignment="1">
      <alignment horizontal="center" vertical="center"/>
    </xf>
    <xf numFmtId="168" fontId="7" fillId="0" borderId="4" xfId="6" quotePrefix="1" applyNumberFormat="1" applyFont="1" applyFill="1" applyBorder="1" applyAlignment="1">
      <alignment horizontal="center" vertical="center"/>
    </xf>
    <xf numFmtId="168" fontId="7" fillId="0" borderId="0" xfId="6" quotePrefix="1" applyNumberFormat="1" applyFont="1" applyFill="1" applyBorder="1" applyAlignment="1">
      <alignment horizontal="center" vertical="center"/>
    </xf>
    <xf numFmtId="168" fontId="7" fillId="0" borderId="0" xfId="2" quotePrefix="1" applyNumberFormat="1" applyFont="1" applyFill="1" applyBorder="1" applyAlignment="1">
      <alignment horizontal="center" vertical="center"/>
    </xf>
    <xf numFmtId="168" fontId="7" fillId="0" borderId="0" xfId="2" applyNumberFormat="1" applyFont="1" applyFill="1" applyAlignment="1">
      <alignment vertical="center"/>
    </xf>
    <xf numFmtId="0" fontId="32" fillId="0" borderId="0" xfId="52" applyFont="1" applyFill="1" applyAlignment="1">
      <alignment vertical="top"/>
    </xf>
    <xf numFmtId="188" fontId="7" fillId="0" borderId="0" xfId="52" applyNumberFormat="1" applyFont="1" applyFill="1" applyBorder="1" applyAlignment="1">
      <alignment vertical="top"/>
    </xf>
    <xf numFmtId="10" fontId="7" fillId="0" borderId="0" xfId="4" applyNumberFormat="1" applyFont="1" applyFill="1" applyBorder="1" applyAlignment="1">
      <alignment vertical="top"/>
    </xf>
    <xf numFmtId="167" fontId="6" fillId="0" borderId="0" xfId="2" applyFont="1" applyFill="1" applyBorder="1"/>
    <xf numFmtId="0" fontId="5" fillId="0" borderId="0" xfId="2" applyNumberFormat="1" applyFont="1" applyFill="1" applyAlignment="1">
      <alignment horizontal="left" vertical="top"/>
    </xf>
    <xf numFmtId="1" fontId="5" fillId="0" borderId="0" xfId="2" applyNumberFormat="1" applyFont="1" applyFill="1" applyAlignment="1">
      <alignment horizontal="left" vertical="top"/>
    </xf>
    <xf numFmtId="43" fontId="7" fillId="0" borderId="0" xfId="2" applyNumberFormat="1" applyFont="1" applyFill="1" applyAlignment="1">
      <alignment vertical="top"/>
    </xf>
    <xf numFmtId="169" fontId="7" fillId="0" borderId="0" xfId="2" applyNumberFormat="1" applyFont="1" applyFill="1" applyAlignment="1">
      <alignment vertical="top"/>
    </xf>
    <xf numFmtId="0" fontId="5" fillId="0" borderId="0" xfId="2" quotePrefix="1" applyNumberFormat="1" applyFont="1" applyFill="1" applyAlignment="1">
      <alignment horizontal="left" vertical="top"/>
    </xf>
    <xf numFmtId="0" fontId="5" fillId="0" borderId="0" xfId="23" applyNumberFormat="1" applyFont="1" applyFill="1" applyBorder="1" applyAlignment="1">
      <alignment vertical="top"/>
    </xf>
    <xf numFmtId="0" fontId="7" fillId="0" borderId="0" xfId="58" applyNumberFormat="1" applyFont="1" applyFill="1" applyAlignment="1">
      <alignment vertical="top"/>
    </xf>
    <xf numFmtId="168" fontId="7" fillId="0" borderId="0" xfId="58" applyNumberFormat="1" applyFont="1" applyFill="1" applyAlignment="1">
      <alignment vertical="top"/>
    </xf>
    <xf numFmtId="168" fontId="7" fillId="0" borderId="0" xfId="58" applyNumberFormat="1" applyFont="1" applyFill="1" applyAlignment="1" applyProtection="1">
      <alignment vertical="top"/>
    </xf>
    <xf numFmtId="168" fontId="7" fillId="0" borderId="0" xfId="2" applyNumberFormat="1" applyFont="1" applyFill="1" applyAlignment="1">
      <alignment vertical="top" wrapText="1"/>
    </xf>
    <xf numFmtId="0" fontId="7" fillId="0" borderId="0" xfId="23" applyNumberFormat="1" applyFont="1" applyFill="1" applyBorder="1" applyAlignment="1">
      <alignment vertical="top"/>
    </xf>
    <xf numFmtId="168" fontId="46" fillId="0" borderId="0" xfId="2" applyNumberFormat="1" applyFont="1" applyFill="1" applyAlignment="1">
      <alignment vertical="top"/>
    </xf>
    <xf numFmtId="0" fontId="7" fillId="0" borderId="0" xfId="1" applyNumberFormat="1" applyFont="1" applyFill="1" applyAlignment="1">
      <alignment vertical="top"/>
    </xf>
    <xf numFmtId="168" fontId="7" fillId="0" borderId="0" xfId="1" applyNumberFormat="1" applyFont="1" applyFill="1" applyBorder="1" applyAlignment="1">
      <alignment vertical="top"/>
    </xf>
    <xf numFmtId="10" fontId="7" fillId="0" borderId="0" xfId="1" applyNumberFormat="1" applyFont="1" applyFill="1" applyAlignment="1">
      <alignment vertical="top"/>
    </xf>
    <xf numFmtId="0" fontId="5" fillId="0" borderId="0" xfId="1" applyFont="1" applyFill="1" applyAlignment="1">
      <alignment horizontal="left" vertical="top"/>
    </xf>
    <xf numFmtId="168" fontId="7" fillId="0" borderId="0" xfId="2" applyNumberFormat="1" applyFont="1" applyFill="1" applyAlignment="1">
      <alignment vertical="center" wrapText="1"/>
    </xf>
    <xf numFmtId="0" fontId="5" fillId="0" borderId="0" xfId="23" applyFont="1" applyFill="1" applyAlignment="1">
      <alignment vertical="top"/>
    </xf>
    <xf numFmtId="0" fontId="7" fillId="0" borderId="0" xfId="46" applyFont="1" applyFill="1" applyAlignment="1">
      <alignment vertical="top"/>
    </xf>
    <xf numFmtId="0" fontId="32" fillId="0" borderId="0" xfId="23" applyFont="1" applyFill="1" applyAlignment="1">
      <alignment horizontal="center" vertical="top" wrapText="1"/>
    </xf>
    <xf numFmtId="0" fontId="8" fillId="0" borderId="0" xfId="1" applyFont="1" applyFill="1" applyAlignment="1">
      <alignment horizontal="center" vertical="top"/>
    </xf>
    <xf numFmtId="0" fontId="33" fillId="0" borderId="0" xfId="23" applyFont="1" applyFill="1" applyAlignment="1">
      <alignment vertical="top"/>
    </xf>
    <xf numFmtId="0" fontId="5" fillId="0" borderId="0" xfId="1" applyNumberFormat="1" applyFont="1" applyFill="1" applyAlignment="1" applyProtection="1">
      <alignment horizontal="left" vertical="top" indent="1"/>
      <protection locked="0"/>
    </xf>
    <xf numFmtId="0" fontId="7" fillId="0" borderId="0" xfId="2" applyNumberFormat="1" applyFont="1" applyFill="1" applyAlignment="1">
      <alignment horizontal="left" vertical="top"/>
    </xf>
    <xf numFmtId="0" fontId="5" fillId="0" borderId="0" xfId="1" applyFont="1" applyFill="1" applyAlignment="1" applyProtection="1">
      <alignment vertical="top"/>
      <protection locked="0"/>
    </xf>
    <xf numFmtId="0" fontId="7" fillId="0" borderId="0" xfId="1" applyFont="1" applyFill="1" applyAlignment="1">
      <alignment horizontal="left" vertical="top"/>
    </xf>
    <xf numFmtId="0" fontId="6" fillId="0" borderId="0" xfId="1" applyFont="1" applyFill="1" applyAlignment="1">
      <alignment horizontal="center" vertical="top"/>
    </xf>
    <xf numFmtId="177" fontId="5" fillId="0" borderId="0" xfId="1" quotePrefix="1" applyNumberFormat="1" applyFont="1" applyFill="1" applyAlignment="1" applyProtection="1">
      <alignment horizontal="left" vertical="top"/>
      <protection locked="0"/>
    </xf>
    <xf numFmtId="168" fontId="7" fillId="0" borderId="0" xfId="1" applyNumberFormat="1" applyFont="1" applyFill="1" applyAlignment="1">
      <alignment horizontal="left" vertical="top"/>
    </xf>
    <xf numFmtId="37" fontId="5" fillId="0" borderId="0" xfId="59" quotePrefix="1" applyNumberFormat="1" applyFont="1" applyFill="1" applyAlignment="1" applyProtection="1">
      <alignment horizontal="left" vertical="top"/>
    </xf>
    <xf numFmtId="0" fontId="19" fillId="0" borderId="0" xfId="59" applyFont="1" applyFill="1" applyAlignment="1" applyProtection="1">
      <alignment vertical="top"/>
    </xf>
    <xf numFmtId="0" fontId="12" fillId="0" borderId="0" xfId="59" applyFont="1" applyFill="1" applyAlignment="1" applyProtection="1">
      <alignment vertical="top"/>
    </xf>
    <xf numFmtId="0" fontId="5" fillId="0" borderId="0" xfId="59" applyNumberFormat="1" applyFont="1" applyFill="1" applyAlignment="1" applyProtection="1">
      <alignment horizontal="left" vertical="top"/>
    </xf>
    <xf numFmtId="0" fontId="5" fillId="0" borderId="0" xfId="59" applyFont="1" applyFill="1" applyAlignment="1" applyProtection="1">
      <alignment vertical="top"/>
    </xf>
    <xf numFmtId="0" fontId="5" fillId="0" borderId="0" xfId="59" applyFont="1" applyFill="1" applyAlignment="1" applyProtection="1">
      <alignment horizontal="left" vertical="top"/>
    </xf>
    <xf numFmtId="0" fontId="7" fillId="0" borderId="0" xfId="59" applyFont="1" applyFill="1" applyAlignment="1" applyProtection="1">
      <alignment vertical="top"/>
    </xf>
    <xf numFmtId="0" fontId="13" fillId="0" borderId="0" xfId="59" applyFont="1" applyFill="1" applyAlignment="1" applyProtection="1">
      <alignment vertical="top"/>
    </xf>
    <xf numFmtId="0" fontId="5" fillId="0" borderId="0" xfId="55" applyFont="1" applyFill="1" applyAlignment="1">
      <alignment vertical="top"/>
    </xf>
    <xf numFmtId="168" fontId="19" fillId="0" borderId="0" xfId="2" applyNumberFormat="1" applyFont="1" applyFill="1" applyAlignment="1" applyProtection="1">
      <alignment vertical="top"/>
    </xf>
    <xf numFmtId="0" fontId="7" fillId="0" borderId="0" xfId="59" applyFont="1" applyFill="1" applyAlignment="1" applyProtection="1">
      <alignment horizontal="left" vertical="top"/>
    </xf>
    <xf numFmtId="168" fontId="7" fillId="0" borderId="0" xfId="61" applyNumberFormat="1" applyFont="1" applyFill="1" applyAlignment="1">
      <alignment vertical="top"/>
    </xf>
    <xf numFmtId="168" fontId="19" fillId="0" borderId="0" xfId="59" applyNumberFormat="1" applyFont="1" applyFill="1" applyAlignment="1" applyProtection="1">
      <alignment vertical="top"/>
    </xf>
    <xf numFmtId="0" fontId="7" fillId="0" borderId="0" xfId="59" applyFont="1" applyFill="1" applyAlignment="1" applyProtection="1">
      <alignment horizontal="left" vertical="center"/>
    </xf>
    <xf numFmtId="0" fontId="19" fillId="0" borderId="0" xfId="59" applyFont="1" applyFill="1" applyAlignment="1" applyProtection="1">
      <alignment vertical="center"/>
    </xf>
    <xf numFmtId="0" fontId="13" fillId="0" borderId="0" xfId="59" applyFont="1" applyFill="1" applyAlignment="1" applyProtection="1">
      <alignment vertical="center"/>
    </xf>
    <xf numFmtId="0" fontId="5" fillId="0" borderId="0" xfId="59" applyFont="1" applyFill="1" applyAlignment="1" applyProtection="1">
      <alignment horizontal="left" vertical="center"/>
    </xf>
    <xf numFmtId="177" fontId="5" fillId="0" borderId="0" xfId="59" applyNumberFormat="1" applyFont="1" applyFill="1" applyAlignment="1" applyProtection="1">
      <alignment horizontal="left" vertical="top"/>
    </xf>
    <xf numFmtId="0" fontId="47" fillId="0" borderId="0" xfId="1" applyFont="1" applyFill="1" applyAlignment="1">
      <alignment vertical="top"/>
    </xf>
    <xf numFmtId="0" fontId="7" fillId="0" borderId="0" xfId="63" applyNumberFormat="1" applyFont="1" applyFill="1" applyBorder="1" applyAlignment="1">
      <alignment vertical="top"/>
    </xf>
    <xf numFmtId="0" fontId="7" fillId="0" borderId="0" xfId="59" applyFont="1" applyFill="1" applyAlignment="1" applyProtection="1"/>
    <xf numFmtId="0" fontId="7" fillId="0" borderId="0" xfId="63" applyNumberFormat="1" applyFont="1" applyFill="1" applyBorder="1" applyAlignment="1">
      <alignment vertical="center"/>
    </xf>
    <xf numFmtId="0" fontId="7" fillId="0" borderId="0" xfId="59" applyFont="1" applyFill="1" applyAlignment="1" applyProtection="1">
      <alignment vertical="center"/>
    </xf>
    <xf numFmtId="168" fontId="7" fillId="0" borderId="0" xfId="2" applyNumberFormat="1" applyFont="1" applyFill="1" applyAlignment="1" applyProtection="1">
      <alignment vertical="center"/>
    </xf>
    <xf numFmtId="0" fontId="7" fillId="0" borderId="0" xfId="59" applyFont="1" applyFill="1" applyAlignment="1" applyProtection="1">
      <alignment vertical="top" wrapText="1"/>
    </xf>
    <xf numFmtId="167" fontId="7" fillId="0" borderId="0" xfId="2" applyFont="1" applyFill="1" applyAlignment="1" applyProtection="1">
      <alignment vertical="top" wrapText="1"/>
    </xf>
    <xf numFmtId="0" fontId="47" fillId="0" borderId="0" xfId="46" applyNumberFormat="1" applyFont="1" applyFill="1" applyAlignment="1">
      <alignment horizontal="justify" vertical="top"/>
    </xf>
    <xf numFmtId="37" fontId="7" fillId="0" borderId="0" xfId="59" applyNumberFormat="1" applyFont="1" applyFill="1" applyAlignment="1" applyProtection="1">
      <alignment vertical="top"/>
    </xf>
    <xf numFmtId="0" fontId="49" fillId="0" borderId="0" xfId="59" applyFont="1" applyFill="1" applyBorder="1" applyAlignment="1" applyProtection="1">
      <alignment vertical="top"/>
    </xf>
    <xf numFmtId="0" fontId="27" fillId="0" borderId="0" xfId="59" applyFont="1" applyFill="1" applyBorder="1" applyAlignment="1" applyProtection="1">
      <alignment vertical="top"/>
    </xf>
    <xf numFmtId="0" fontId="15" fillId="0" borderId="0" xfId="59" applyFont="1" applyFill="1" applyAlignment="1" applyProtection="1">
      <alignment vertical="top"/>
    </xf>
    <xf numFmtId="0" fontId="15" fillId="0" borderId="0" xfId="59" applyFont="1" applyFill="1" applyAlignment="1" applyProtection="1">
      <alignment horizontal="center" vertical="top"/>
    </xf>
    <xf numFmtId="10" fontId="13" fillId="0" borderId="0" xfId="4" applyNumberFormat="1" applyFont="1" applyFill="1" applyAlignment="1" applyProtection="1">
      <alignment vertical="top"/>
    </xf>
    <xf numFmtId="0" fontId="25" fillId="0" borderId="0" xfId="59" applyFont="1" applyFill="1" applyAlignment="1" applyProtection="1">
      <alignment horizontal="left" vertical="top"/>
    </xf>
    <xf numFmtId="0" fontId="25" fillId="0" borderId="0" xfId="59" applyFont="1" applyFill="1" applyAlignment="1" applyProtection="1">
      <alignment vertical="top"/>
    </xf>
    <xf numFmtId="0" fontId="21" fillId="0" borderId="0" xfId="59" applyFont="1" applyFill="1" applyAlignment="1" applyProtection="1">
      <alignment vertical="top"/>
    </xf>
    <xf numFmtId="0" fontId="49" fillId="0" borderId="0" xfId="59" applyFont="1" applyFill="1" applyAlignment="1" applyProtection="1">
      <alignment vertical="top"/>
    </xf>
    <xf numFmtId="0" fontId="12" fillId="0" borderId="0" xfId="59" applyFont="1" applyFill="1" applyAlignment="1" applyProtection="1">
      <alignment horizontal="left" vertical="top"/>
    </xf>
    <xf numFmtId="0" fontId="19" fillId="0" borderId="0" xfId="59" applyFont="1" applyFill="1" applyAlignment="1" applyProtection="1">
      <alignment horizontal="left" vertical="top"/>
    </xf>
    <xf numFmtId="0" fontId="16" fillId="0" borderId="0" xfId="59" applyFont="1" applyFill="1" applyAlignment="1" applyProtection="1">
      <alignment vertical="top"/>
    </xf>
    <xf numFmtId="167" fontId="13" fillId="0" borderId="0" xfId="2" applyFont="1" applyFill="1" applyAlignment="1" applyProtection="1">
      <alignment vertical="top"/>
    </xf>
    <xf numFmtId="167" fontId="13" fillId="0" borderId="0" xfId="2" applyFont="1" applyFill="1" applyAlignment="1" applyProtection="1">
      <alignment vertical="center"/>
    </xf>
    <xf numFmtId="168" fontId="13" fillId="0" borderId="0" xfId="59" applyNumberFormat="1" applyFont="1" applyFill="1" applyAlignment="1" applyProtection="1">
      <alignment vertical="center"/>
    </xf>
    <xf numFmtId="168" fontId="7" fillId="0" borderId="0" xfId="2" applyNumberFormat="1" applyFont="1" applyFill="1" applyBorder="1" applyAlignment="1" applyProtection="1">
      <alignment vertical="top"/>
    </xf>
    <xf numFmtId="0" fontId="5" fillId="0" borderId="0" xfId="59" applyFont="1" applyFill="1" applyAlignment="1" applyProtection="1">
      <alignment horizontal="center" vertical="top"/>
    </xf>
    <xf numFmtId="10" fontId="13" fillId="0" borderId="0" xfId="4" applyNumberFormat="1" applyFont="1" applyFill="1" applyAlignment="1" applyProtection="1">
      <alignment vertical="center"/>
    </xf>
    <xf numFmtId="37" fontId="6" fillId="0" borderId="0" xfId="70" applyFont="1" applyFill="1" applyBorder="1" applyAlignment="1">
      <alignment horizontal="justify" vertical="top"/>
    </xf>
    <xf numFmtId="37" fontId="15" fillId="0" borderId="0" xfId="70" applyFont="1" applyFill="1" applyBorder="1" applyAlignment="1">
      <alignment horizontal="justify" vertical="top"/>
    </xf>
    <xf numFmtId="168" fontId="13" fillId="0" borderId="0" xfId="59" applyNumberFormat="1" applyFont="1" applyFill="1" applyAlignment="1" applyProtection="1">
      <alignment vertical="top"/>
    </xf>
    <xf numFmtId="168" fontId="13" fillId="0" borderId="0" xfId="2" applyNumberFormat="1" applyFont="1" applyFill="1" applyAlignment="1" applyProtection="1">
      <alignment vertical="top"/>
    </xf>
    <xf numFmtId="168" fontId="13" fillId="0" borderId="4" xfId="2" applyNumberFormat="1" applyFont="1" applyFill="1" applyBorder="1" applyAlignment="1" applyProtection="1">
      <alignment vertical="top"/>
    </xf>
    <xf numFmtId="168" fontId="12" fillId="0" borderId="0" xfId="2" applyNumberFormat="1" applyFont="1" applyFill="1" applyAlignment="1" applyProtection="1">
      <alignment vertical="top"/>
    </xf>
    <xf numFmtId="0" fontId="15" fillId="0" borderId="0" xfId="72" applyFont="1" applyFill="1"/>
    <xf numFmtId="0" fontId="6" fillId="0" borderId="0" xfId="75" applyFont="1" applyFill="1" applyAlignment="1">
      <alignment vertical="top"/>
    </xf>
    <xf numFmtId="0" fontId="21" fillId="0" borderId="0" xfId="75" applyFont="1" applyFill="1" applyAlignment="1">
      <alignment vertical="top"/>
    </xf>
    <xf numFmtId="0" fontId="12" fillId="0" borderId="0" xfId="59" applyFont="1" applyFill="1" applyAlignment="1" applyProtection="1">
      <alignment horizontal="justify" vertical="top" wrapText="1"/>
    </xf>
    <xf numFmtId="0" fontId="6" fillId="0" borderId="0" xfId="59" applyFont="1" applyFill="1" applyAlignment="1" applyProtection="1">
      <alignment vertical="top"/>
    </xf>
    <xf numFmtId="0" fontId="6" fillId="0" borderId="0" xfId="59" applyFont="1" applyFill="1" applyAlignment="1" applyProtection="1">
      <alignment vertical="top" wrapText="1"/>
    </xf>
    <xf numFmtId="0" fontId="14" fillId="0" borderId="12" xfId="1" applyFont="1" applyFill="1" applyBorder="1" applyAlignment="1" applyProtection="1">
      <alignment horizontal="center" vertical="center" wrapText="1"/>
    </xf>
    <xf numFmtId="0" fontId="14" fillId="0" borderId="0" xfId="1" applyFont="1" applyFill="1" applyBorder="1" applyAlignment="1" applyProtection="1">
      <alignment vertical="top"/>
    </xf>
    <xf numFmtId="0" fontId="14" fillId="0" borderId="0" xfId="1" applyFont="1" applyFill="1" applyBorder="1" applyAlignment="1" applyProtection="1">
      <alignment horizontal="center" vertical="top"/>
    </xf>
    <xf numFmtId="0" fontId="7" fillId="0" borderId="0" xfId="1" applyFont="1" applyFill="1" applyAlignment="1" applyProtection="1">
      <alignment horizontal="centerContinuous" vertical="top"/>
    </xf>
    <xf numFmtId="0" fontId="15" fillId="0" borderId="0" xfId="1" applyFont="1" applyFill="1" applyAlignment="1" applyProtection="1">
      <alignment vertical="top"/>
    </xf>
    <xf numFmtId="0" fontId="15" fillId="0" borderId="0" xfId="1" applyFont="1" applyFill="1" applyAlignment="1" applyProtection="1">
      <alignment horizontal="centerContinuous" vertical="top"/>
    </xf>
    <xf numFmtId="0" fontId="15" fillId="0" borderId="0" xfId="1" applyFont="1" applyFill="1" applyAlignment="1" applyProtection="1">
      <alignment horizontal="center" vertical="top"/>
    </xf>
    <xf numFmtId="0" fontId="15" fillId="0" borderId="0" xfId="1" applyFont="1" applyFill="1" applyAlignment="1" applyProtection="1">
      <alignment horizontal="left" vertical="top"/>
    </xf>
    <xf numFmtId="0" fontId="7" fillId="0" borderId="0" xfId="59" applyFont="1" applyFill="1" applyAlignment="1" applyProtection="1">
      <alignment horizontal="center" vertical="top"/>
    </xf>
    <xf numFmtId="0" fontId="20" fillId="0" borderId="0" xfId="59" applyFont="1" applyFill="1" applyAlignment="1" applyProtection="1">
      <alignment horizontal="left" vertical="top"/>
    </xf>
    <xf numFmtId="0" fontId="7" fillId="0" borderId="0" xfId="83" applyFont="1" applyFill="1" applyAlignment="1">
      <alignment vertical="top"/>
    </xf>
    <xf numFmtId="0" fontId="5" fillId="0" borderId="0" xfId="83" applyFont="1" applyFill="1" applyAlignment="1">
      <alignment vertical="top"/>
    </xf>
    <xf numFmtId="0" fontId="19" fillId="0" borderId="0" xfId="59" applyFont="1" applyFill="1" applyBorder="1" applyAlignment="1" applyProtection="1">
      <alignment horizontal="left" vertical="top"/>
    </xf>
    <xf numFmtId="11" fontId="20" fillId="0" borderId="11" xfId="59" applyNumberFormat="1" applyFont="1" applyFill="1" applyBorder="1" applyAlignment="1" applyProtection="1">
      <alignment vertical="top"/>
    </xf>
    <xf numFmtId="11" fontId="5" fillId="0" borderId="13" xfId="38" applyNumberFormat="1" applyFont="1" applyFill="1" applyBorder="1" applyAlignment="1">
      <alignment horizontal="center" vertical="top"/>
    </xf>
    <xf numFmtId="11" fontId="8" fillId="0" borderId="0" xfId="38" applyNumberFormat="1" applyFont="1" applyFill="1" applyBorder="1" applyAlignment="1">
      <alignment vertical="top"/>
    </xf>
    <xf numFmtId="11" fontId="8" fillId="0" borderId="0" xfId="38" applyNumberFormat="1" applyFont="1" applyFill="1" applyBorder="1" applyAlignment="1">
      <alignment horizontal="center" vertical="top"/>
    </xf>
    <xf numFmtId="0" fontId="12" fillId="0" borderId="0" xfId="59" applyFont="1" applyFill="1" applyBorder="1" applyAlignment="1" applyProtection="1">
      <alignment vertical="top"/>
    </xf>
    <xf numFmtId="0" fontId="20" fillId="0" borderId="0" xfId="59" applyFont="1" applyFill="1" applyBorder="1" applyAlignment="1" applyProtection="1">
      <alignment vertical="top"/>
    </xf>
    <xf numFmtId="0" fontId="20" fillId="0" borderId="0" xfId="59" applyFont="1" applyFill="1" applyBorder="1" applyAlignment="1" applyProtection="1">
      <alignment horizontal="center" vertical="top"/>
    </xf>
    <xf numFmtId="3" fontId="5" fillId="0" borderId="0" xfId="38" applyNumberFormat="1" applyFont="1" applyFill="1" applyBorder="1" applyAlignment="1">
      <alignment horizontal="center" vertical="top" wrapText="1"/>
    </xf>
    <xf numFmtId="3" fontId="8" fillId="0" borderId="0" xfId="38" applyNumberFormat="1" applyFont="1" applyFill="1" applyBorder="1" applyAlignment="1">
      <alignment vertical="top"/>
    </xf>
    <xf numFmtId="3" fontId="8" fillId="0" borderId="0" xfId="38" applyNumberFormat="1" applyFont="1" applyFill="1" applyBorder="1" applyAlignment="1">
      <alignment horizontal="center" vertical="top" wrapText="1"/>
    </xf>
    <xf numFmtId="0" fontId="5" fillId="0" borderId="0" xfId="59" quotePrefix="1" applyFont="1" applyFill="1" applyAlignment="1" applyProtection="1">
      <alignment horizontal="center" vertical="top"/>
    </xf>
    <xf numFmtId="0" fontId="8" fillId="0" borderId="0" xfId="59" quotePrefix="1" applyFont="1" applyFill="1" applyAlignment="1" applyProtection="1">
      <alignment vertical="top"/>
    </xf>
    <xf numFmtId="0" fontId="8" fillId="0" borderId="0" xfId="59" quotePrefix="1" applyFont="1" applyFill="1" applyAlignment="1" applyProtection="1">
      <alignment horizontal="center" vertical="top"/>
    </xf>
    <xf numFmtId="0" fontId="7" fillId="0" borderId="0" xfId="59" applyNumberFormat="1" applyFont="1" applyFill="1" applyBorder="1" applyAlignment="1" applyProtection="1">
      <alignment horizontal="left" vertical="top"/>
    </xf>
    <xf numFmtId="3" fontId="5" fillId="0" borderId="13" xfId="38" applyNumberFormat="1" applyFont="1" applyFill="1" applyBorder="1" applyAlignment="1">
      <alignment horizontal="center" vertical="top"/>
    </xf>
    <xf numFmtId="3" fontId="8" fillId="0" borderId="0" xfId="38" applyNumberFormat="1" applyFont="1" applyFill="1" applyBorder="1" applyAlignment="1">
      <alignment horizontal="center" vertical="top"/>
    </xf>
    <xf numFmtId="10" fontId="6" fillId="0" borderId="0" xfId="4" applyNumberFormat="1" applyFont="1" applyFill="1" applyAlignment="1">
      <alignment vertical="top"/>
    </xf>
    <xf numFmtId="10" fontId="6" fillId="0" borderId="0" xfId="4" applyNumberFormat="1" applyFont="1" applyFill="1" applyAlignment="1">
      <alignment horizontal="center" vertical="top" wrapText="1"/>
    </xf>
    <xf numFmtId="10" fontId="7" fillId="0" borderId="0" xfId="84" applyNumberFormat="1" applyFont="1" applyFill="1" applyBorder="1" applyAlignment="1">
      <alignment horizontal="center" vertical="top" wrapText="1"/>
    </xf>
    <xf numFmtId="10" fontId="6" fillId="0" borderId="0" xfId="84" applyNumberFormat="1" applyFont="1" applyFill="1" applyBorder="1" applyAlignment="1">
      <alignment vertical="top"/>
    </xf>
    <xf numFmtId="10" fontId="6" fillId="0" borderId="0" xfId="84" applyNumberFormat="1" applyFont="1" applyFill="1" applyBorder="1" applyAlignment="1">
      <alignment horizontal="center" vertical="top" wrapText="1"/>
    </xf>
    <xf numFmtId="0" fontId="14" fillId="0" borderId="0" xfId="59" quotePrefix="1" applyFont="1" applyFill="1" applyBorder="1" applyAlignment="1" applyProtection="1">
      <alignment vertical="center"/>
    </xf>
    <xf numFmtId="0" fontId="14" fillId="0" borderId="0" xfId="59" quotePrefix="1" applyFont="1" applyFill="1" applyBorder="1" applyAlignment="1" applyProtection="1">
      <alignment horizontal="center" vertical="center"/>
    </xf>
    <xf numFmtId="0" fontId="13" fillId="0" borderId="0" xfId="59" applyFont="1" applyFill="1" applyBorder="1" applyAlignment="1" applyProtection="1">
      <alignment vertical="top"/>
    </xf>
    <xf numFmtId="0" fontId="14" fillId="0" borderId="0" xfId="59" applyFont="1" applyFill="1" applyBorder="1" applyAlignment="1" applyProtection="1">
      <alignment vertical="center"/>
    </xf>
    <xf numFmtId="0" fontId="14" fillId="0" borderId="0" xfId="59" applyFont="1" applyFill="1" applyBorder="1" applyAlignment="1" applyProtection="1">
      <alignment horizontal="center" vertical="center" wrapText="1"/>
    </xf>
    <xf numFmtId="0" fontId="7" fillId="0" borderId="0" xfId="59" applyFont="1" applyFill="1" applyBorder="1" applyAlignment="1" applyProtection="1">
      <alignment vertical="top"/>
    </xf>
    <xf numFmtId="0" fontId="5" fillId="0" borderId="0" xfId="59" applyNumberFormat="1" applyFont="1" applyFill="1" applyBorder="1" applyAlignment="1" applyProtection="1">
      <alignment horizontal="center" vertical="top"/>
    </xf>
    <xf numFmtId="168" fontId="15" fillId="0" borderId="0" xfId="2" applyNumberFormat="1" applyFont="1" applyFill="1" applyBorder="1" applyAlignment="1">
      <alignment vertical="top"/>
    </xf>
    <xf numFmtId="0" fontId="7" fillId="0" borderId="0" xfId="59" applyFont="1" applyFill="1" applyAlignment="1" applyProtection="1">
      <alignment horizontal="centerContinuous" vertical="top"/>
    </xf>
    <xf numFmtId="168" fontId="15" fillId="0" borderId="0" xfId="2" applyNumberFormat="1" applyFont="1" applyFill="1" applyAlignment="1">
      <alignment vertical="top"/>
    </xf>
    <xf numFmtId="168" fontId="15" fillId="0" borderId="0" xfId="2" applyNumberFormat="1" applyFont="1" applyFill="1" applyAlignment="1">
      <alignment horizontal="center" vertical="top"/>
    </xf>
    <xf numFmtId="10" fontId="15" fillId="0" borderId="0" xfId="85" applyNumberFormat="1" applyFont="1" applyFill="1" applyAlignment="1">
      <alignment horizontal="center" vertical="top"/>
    </xf>
    <xf numFmtId="168" fontId="15" fillId="0" borderId="0" xfId="4" applyNumberFormat="1" applyFont="1" applyFill="1" applyBorder="1" applyAlignment="1">
      <alignment vertical="top"/>
    </xf>
    <xf numFmtId="168" fontId="15" fillId="0" borderId="0" xfId="4" applyNumberFormat="1" applyFont="1" applyFill="1" applyBorder="1" applyAlignment="1">
      <alignment horizontal="center" vertical="top"/>
    </xf>
    <xf numFmtId="10" fontId="15" fillId="0" borderId="0" xfId="4" applyNumberFormat="1" applyFont="1" applyFill="1" applyBorder="1" applyAlignment="1">
      <alignment horizontal="center" vertical="top"/>
    </xf>
    <xf numFmtId="0" fontId="5" fillId="0" borderId="0" xfId="59" applyNumberFormat="1" applyFont="1" applyFill="1" applyAlignment="1" applyProtection="1">
      <alignment horizontal="center" vertical="top"/>
    </xf>
    <xf numFmtId="169" fontId="15" fillId="0" borderId="0" xfId="2" applyNumberFormat="1" applyFont="1" applyFill="1" applyAlignment="1">
      <alignment vertical="top"/>
    </xf>
    <xf numFmtId="168" fontId="12" fillId="0" borderId="0" xfId="59" applyNumberFormat="1" applyFont="1" applyFill="1" applyAlignment="1" applyProtection="1">
      <alignment vertical="top"/>
    </xf>
    <xf numFmtId="1" fontId="5" fillId="0" borderId="0" xfId="55" applyNumberFormat="1" applyFont="1" applyFill="1" applyAlignment="1" applyProtection="1">
      <alignment horizontal="left" vertical="top"/>
    </xf>
    <xf numFmtId="0" fontId="6" fillId="0" borderId="0" xfId="86" applyNumberFormat="1" applyFont="1" applyFill="1" applyAlignment="1">
      <alignment vertical="top"/>
    </xf>
    <xf numFmtId="0" fontId="6" fillId="0" borderId="0" xfId="86" applyNumberFormat="1" applyFont="1" applyFill="1" applyAlignment="1">
      <alignment horizontal="justify" vertical="top"/>
    </xf>
    <xf numFmtId="0" fontId="7" fillId="0" borderId="0" xfId="86" applyFont="1" applyFill="1" applyAlignment="1">
      <alignment horizontal="justify" vertical="top"/>
    </xf>
    <xf numFmtId="0" fontId="6" fillId="0" borderId="0" xfId="86" applyFont="1" applyFill="1" applyAlignment="1">
      <alignment vertical="top"/>
    </xf>
    <xf numFmtId="0" fontId="6" fillId="0" borderId="0" xfId="86" applyFont="1" applyFill="1" applyAlignment="1">
      <alignment horizontal="justify" vertical="top"/>
    </xf>
    <xf numFmtId="1" fontId="5" fillId="0" borderId="0" xfId="55" applyNumberFormat="1" applyFont="1" applyFill="1" applyBorder="1" applyAlignment="1" applyProtection="1">
      <alignment horizontal="left" vertical="top"/>
    </xf>
    <xf numFmtId="0" fontId="5" fillId="0" borderId="14" xfId="88" applyFont="1" applyFill="1" applyBorder="1" applyAlignment="1">
      <alignment horizontal="center" vertical="top" wrapText="1"/>
    </xf>
    <xf numFmtId="1" fontId="7" fillId="0" borderId="0" xfId="55" applyNumberFormat="1" applyFont="1" applyFill="1" applyBorder="1" applyAlignment="1" applyProtection="1">
      <alignment horizontal="left" vertical="top"/>
    </xf>
    <xf numFmtId="0" fontId="5" fillId="0" borderId="0" xfId="86" applyFont="1" applyFill="1" applyBorder="1" applyAlignment="1">
      <alignment vertical="top"/>
    </xf>
    <xf numFmtId="0" fontId="5" fillId="0" borderId="0" xfId="88" applyFont="1" applyFill="1" applyBorder="1" applyAlignment="1">
      <alignment horizontal="center" vertical="top" wrapText="1"/>
    </xf>
    <xf numFmtId="0" fontId="5" fillId="0" borderId="0" xfId="88" applyFont="1" applyFill="1" applyBorder="1" applyAlignment="1">
      <alignment horizontal="center" vertical="top"/>
    </xf>
    <xf numFmtId="0" fontId="5" fillId="0" borderId="0" xfId="86" applyFont="1" applyFill="1" applyBorder="1" applyAlignment="1">
      <alignment horizontal="center" vertical="top" wrapText="1"/>
    </xf>
    <xf numFmtId="0" fontId="7" fillId="0" borderId="0" xfId="86" applyFont="1" applyFill="1" applyBorder="1" applyAlignment="1">
      <alignment vertical="top" wrapText="1"/>
    </xf>
    <xf numFmtId="0" fontId="7" fillId="0" borderId="0" xfId="86" applyFont="1" applyFill="1" applyBorder="1" applyAlignment="1">
      <alignment vertical="top"/>
    </xf>
    <xf numFmtId="0" fontId="15" fillId="0" borderId="0" xfId="86" applyFont="1" applyFill="1" applyBorder="1" applyAlignment="1">
      <alignment vertical="top" wrapText="1"/>
    </xf>
    <xf numFmtId="1" fontId="7" fillId="0" borderId="0" xfId="55" applyNumberFormat="1" applyFont="1" applyFill="1" applyBorder="1" applyAlignment="1" applyProtection="1">
      <alignment vertical="top"/>
    </xf>
    <xf numFmtId="0" fontId="5" fillId="0" borderId="0" xfId="86" applyFont="1" applyFill="1" applyAlignment="1">
      <alignment vertical="top"/>
    </xf>
    <xf numFmtId="0" fontId="5" fillId="0" borderId="0" xfId="42" applyFont="1" applyFill="1" applyAlignment="1">
      <alignment vertical="top"/>
    </xf>
    <xf numFmtId="185" fontId="7" fillId="0" borderId="0" xfId="89" applyFont="1" applyFill="1" applyAlignment="1">
      <alignment vertical="top"/>
    </xf>
    <xf numFmtId="168" fontId="7" fillId="0" borderId="0" xfId="90" applyNumberFormat="1" applyFont="1" applyFill="1" applyAlignment="1">
      <alignment vertical="top"/>
    </xf>
    <xf numFmtId="0" fontId="7" fillId="0" borderId="0" xfId="86" applyFont="1" applyFill="1" applyAlignment="1">
      <alignment vertical="top"/>
    </xf>
    <xf numFmtId="168" fontId="15" fillId="0" borderId="0" xfId="90" applyNumberFormat="1" applyFont="1" applyFill="1" applyAlignment="1">
      <alignment vertical="top"/>
    </xf>
    <xf numFmtId="0" fontId="7" fillId="0" borderId="0" xfId="86" applyNumberFormat="1" applyFont="1" applyFill="1" applyAlignment="1">
      <alignment horizontal="center" vertical="top"/>
    </xf>
    <xf numFmtId="0" fontId="7" fillId="0" borderId="0" xfId="88" applyFont="1" applyFill="1" applyAlignment="1">
      <alignment horizontal="center" vertical="top"/>
    </xf>
    <xf numFmtId="0" fontId="15" fillId="0" borderId="0" xfId="14" applyFont="1" applyFill="1" applyAlignment="1">
      <alignment horizontal="center" vertical="top" wrapText="1"/>
    </xf>
    <xf numFmtId="0" fontId="7" fillId="0" borderId="0" xfId="87" applyNumberFormat="1" applyFont="1" applyFill="1" applyAlignment="1">
      <alignment horizontal="center" vertical="center"/>
    </xf>
    <xf numFmtId="0" fontId="15" fillId="0" borderId="0" xfId="14" applyFont="1" applyFill="1" applyAlignment="1">
      <alignment horizontal="center" vertical="top"/>
    </xf>
    <xf numFmtId="190" fontId="7" fillId="0" borderId="0" xfId="87" applyNumberFormat="1" applyFont="1" applyFill="1" applyAlignment="1">
      <alignment horizontal="center" vertical="top"/>
    </xf>
    <xf numFmtId="1" fontId="5" fillId="0" borderId="0" xfId="59" quotePrefix="1" applyNumberFormat="1" applyFont="1" applyFill="1" applyAlignment="1" applyProtection="1">
      <alignment horizontal="left" vertical="top"/>
    </xf>
    <xf numFmtId="0" fontId="20" fillId="0" borderId="0" xfId="59" applyFont="1" applyFill="1" applyAlignment="1" applyProtection="1">
      <alignment vertical="top"/>
    </xf>
    <xf numFmtId="37" fontId="6" fillId="0" borderId="0" xfId="59" applyNumberFormat="1" applyFont="1" applyFill="1" applyAlignment="1" applyProtection="1">
      <alignment vertical="top"/>
    </xf>
    <xf numFmtId="0" fontId="6" fillId="0" borderId="0" xfId="91" applyFont="1" applyFill="1" applyAlignment="1" applyProtection="1">
      <alignment vertical="top"/>
    </xf>
    <xf numFmtId="0" fontId="6" fillId="0" borderId="0" xfId="91" applyFont="1" applyFill="1" applyAlignment="1" applyProtection="1">
      <alignment horizontal="justify" vertical="top"/>
    </xf>
    <xf numFmtId="0" fontId="7" fillId="0" borderId="0" xfId="91" applyFont="1" applyFill="1" applyAlignment="1" applyProtection="1">
      <alignment horizontal="left" vertical="top" wrapText="1"/>
    </xf>
    <xf numFmtId="0" fontId="6" fillId="0" borderId="0" xfId="91" applyFont="1" applyFill="1" applyAlignment="1" applyProtection="1">
      <alignment horizontal="left" vertical="top" wrapText="1"/>
    </xf>
    <xf numFmtId="0" fontId="6" fillId="0" borderId="0" xfId="59" applyNumberFormat="1" applyFont="1" applyFill="1" applyAlignment="1" applyProtection="1">
      <alignment vertical="top"/>
    </xf>
    <xf numFmtId="0" fontId="6" fillId="0" borderId="0" xfId="59" applyNumberFormat="1" applyFont="1" applyFill="1" applyAlignment="1" applyProtection="1">
      <alignment horizontal="justify" vertical="top"/>
    </xf>
    <xf numFmtId="49" fontId="5" fillId="0" borderId="0" xfId="59" applyNumberFormat="1" applyFont="1" applyFill="1" applyAlignment="1" applyProtection="1">
      <alignment horizontal="centerContinuous" vertical="top"/>
    </xf>
    <xf numFmtId="49" fontId="8" fillId="0" borderId="0" xfId="59" applyNumberFormat="1" applyFont="1" applyFill="1" applyAlignment="1" applyProtection="1">
      <alignment vertical="top"/>
    </xf>
    <xf numFmtId="49" fontId="8" fillId="0" borderId="0" xfId="59" applyNumberFormat="1" applyFont="1" applyFill="1" applyAlignment="1" applyProtection="1">
      <alignment horizontal="centerContinuous" vertical="top"/>
    </xf>
    <xf numFmtId="49" fontId="5" fillId="0" borderId="0" xfId="59" applyNumberFormat="1" applyFont="1" applyFill="1" applyAlignment="1" applyProtection="1">
      <alignment vertical="top"/>
    </xf>
    <xf numFmtId="0" fontId="11" fillId="0" borderId="0" xfId="59" applyFont="1" applyFill="1" applyAlignment="1" applyProtection="1">
      <alignment vertical="top"/>
    </xf>
    <xf numFmtId="37" fontId="5" fillId="0" borderId="0" xfId="59" applyNumberFormat="1" applyFont="1" applyFill="1" applyAlignment="1" applyProtection="1">
      <alignment vertical="top"/>
    </xf>
    <xf numFmtId="37" fontId="8" fillId="0" borderId="0" xfId="59" applyNumberFormat="1" applyFont="1" applyFill="1" applyAlignment="1" applyProtection="1">
      <alignment vertical="top"/>
    </xf>
    <xf numFmtId="0" fontId="20" fillId="0" borderId="0" xfId="1" applyFont="1" applyFill="1" applyAlignment="1">
      <alignment vertical="top"/>
    </xf>
    <xf numFmtId="0" fontId="52" fillId="0" borderId="0" xfId="46" applyFont="1" applyFill="1" applyAlignment="1">
      <alignment horizontal="centerContinuous" vertical="top"/>
    </xf>
    <xf numFmtId="0" fontId="53" fillId="0" borderId="0" xfId="46" applyFont="1" applyFill="1" applyAlignment="1">
      <alignment vertical="top"/>
    </xf>
    <xf numFmtId="0" fontId="53" fillId="0" borderId="0" xfId="46" applyFont="1" applyFill="1" applyAlignment="1">
      <alignment horizontal="centerContinuous" vertical="top"/>
    </xf>
    <xf numFmtId="0" fontId="7" fillId="0" borderId="0" xfId="55" applyNumberFormat="1" applyFont="1" applyFill="1" applyAlignment="1">
      <alignment horizontal="center" vertical="top"/>
    </xf>
    <xf numFmtId="0" fontId="7" fillId="0" borderId="0" xfId="55" applyFont="1" applyFill="1" applyBorder="1" applyAlignment="1">
      <alignment vertical="top"/>
    </xf>
    <xf numFmtId="0" fontId="7" fillId="0" borderId="0" xfId="55" applyFont="1" applyFill="1" applyBorder="1" applyAlignment="1">
      <alignment horizontal="centerContinuous" vertical="top"/>
    </xf>
    <xf numFmtId="0" fontId="6" fillId="0" borderId="0" xfId="55" applyFont="1" applyFill="1" applyBorder="1" applyAlignment="1">
      <alignment horizontal="centerContinuous" vertical="top"/>
    </xf>
    <xf numFmtId="191" fontId="0" fillId="0" borderId="0" xfId="0" applyNumberFormat="1" applyFont="1" applyAlignment="1">
      <alignment horizontal="left"/>
    </xf>
    <xf numFmtId="164" fontId="0" fillId="0" borderId="0" xfId="0" applyNumberFormat="1" applyFont="1" applyAlignment="1">
      <alignment horizontal="left"/>
    </xf>
    <xf numFmtId="37" fontId="0" fillId="0" borderId="0" xfId="0" applyNumberFormat="1" applyFont="1" applyFill="1" applyBorder="1" applyAlignment="1">
      <alignment horizontal="right"/>
    </xf>
    <xf numFmtId="0" fontId="1" fillId="0" borderId="0" xfId="0" applyFont="1" applyFill="1" applyAlignment="1">
      <alignment horizontal="center"/>
    </xf>
    <xf numFmtId="164" fontId="0" fillId="0" borderId="0" xfId="0" applyNumberFormat="1" applyFont="1" applyFill="1" applyBorder="1" applyAlignment="1">
      <alignment horizontal="left"/>
    </xf>
    <xf numFmtId="191" fontId="0" fillId="0" borderId="0" xfId="0" applyNumberFormat="1" applyFont="1" applyFill="1" applyBorder="1" applyAlignment="1">
      <alignment horizontal="left"/>
    </xf>
    <xf numFmtId="37" fontId="0" fillId="0" borderId="3" xfId="0" applyNumberFormat="1" applyFont="1" applyFill="1" applyBorder="1" applyAlignment="1">
      <alignment horizontal="right"/>
    </xf>
    <xf numFmtId="0" fontId="0" fillId="0" borderId="0" xfId="0" applyFont="1" applyFill="1"/>
    <xf numFmtId="49" fontId="1" fillId="0" borderId="2" xfId="0" applyNumberFormat="1" applyFont="1" applyFill="1" applyBorder="1" applyAlignment="1">
      <alignment horizontal="center"/>
    </xf>
    <xf numFmtId="165" fontId="0" fillId="0" borderId="2" xfId="0" applyNumberFormat="1" applyFont="1" applyFill="1" applyBorder="1" applyAlignment="1">
      <alignment horizontal="center"/>
    </xf>
    <xf numFmtId="166" fontId="0" fillId="0" borderId="2" xfId="0" applyNumberFormat="1" applyFont="1" applyFill="1" applyBorder="1" applyAlignment="1">
      <alignment horizontal="center"/>
    </xf>
    <xf numFmtId="0" fontId="0" fillId="0" borderId="0" xfId="0" applyFont="1" applyFill="1" applyAlignment="1">
      <alignment horizontal="center"/>
    </xf>
    <xf numFmtId="49" fontId="0" fillId="0" borderId="0" xfId="0" applyNumberFormat="1" applyFont="1" applyFill="1" applyAlignment="1">
      <alignment horizontal="right"/>
    </xf>
    <xf numFmtId="49" fontId="0" fillId="0" borderId="0" xfId="0" applyNumberFormat="1" applyFont="1" applyAlignment="1">
      <alignment horizontal="right"/>
    </xf>
    <xf numFmtId="49" fontId="0" fillId="0" borderId="0" xfId="0" applyNumberFormat="1" applyFont="1" applyFill="1" applyAlignment="1">
      <alignment horizontal="left"/>
    </xf>
    <xf numFmtId="49" fontId="0" fillId="0" borderId="0" xfId="0" applyNumberFormat="1" applyFont="1" applyAlignment="1">
      <alignment horizontal="left"/>
    </xf>
    <xf numFmtId="49" fontId="1" fillId="0" borderId="0" xfId="0" applyNumberFormat="1" applyFont="1" applyFill="1" applyAlignment="1">
      <alignment horizontal="left"/>
    </xf>
    <xf numFmtId="37" fontId="0" fillId="0" borderId="19" xfId="0" applyNumberFormat="1" applyFont="1" applyFill="1" applyBorder="1" applyAlignment="1">
      <alignment horizontal="right"/>
    </xf>
    <xf numFmtId="49" fontId="1" fillId="0" borderId="0" xfId="0" applyNumberFormat="1" applyFont="1" applyFill="1" applyAlignment="1">
      <alignment horizontal="center"/>
    </xf>
    <xf numFmtId="0" fontId="0" fillId="0" borderId="0" xfId="0" applyFont="1" applyFill="1" applyAlignment="1">
      <alignment horizontal="right" wrapText="1"/>
    </xf>
    <xf numFmtId="49" fontId="0" fillId="0" borderId="0" xfId="0" applyNumberFormat="1" applyFont="1" applyFill="1" applyAlignment="1">
      <alignment horizontal="right" wrapText="1"/>
    </xf>
    <xf numFmtId="49" fontId="1" fillId="0" borderId="0" xfId="0" applyNumberFormat="1" applyFont="1" applyFill="1" applyAlignment="1">
      <alignment horizontal="right" wrapText="1"/>
    </xf>
    <xf numFmtId="37" fontId="0" fillId="0" borderId="20" xfId="0" applyNumberFormat="1" applyFont="1" applyFill="1" applyBorder="1" applyAlignment="1">
      <alignment horizontal="right"/>
    </xf>
    <xf numFmtId="43" fontId="36" fillId="0" borderId="0" xfId="92" applyFont="1" applyFill="1" applyAlignment="1">
      <alignment horizontal="center" vertical="top"/>
    </xf>
    <xf numFmtId="43" fontId="40" fillId="0" borderId="4" xfId="92" applyFont="1" applyFill="1" applyBorder="1" applyAlignment="1">
      <alignment horizontal="center" vertical="top"/>
    </xf>
    <xf numFmtId="43" fontId="36" fillId="0" borderId="0" xfId="92" applyFont="1" applyFill="1" applyAlignment="1">
      <alignment vertical="top"/>
    </xf>
    <xf numFmtId="0" fontId="5" fillId="0" borderId="0" xfId="46" applyFont="1" applyFill="1" applyAlignment="1"/>
    <xf numFmtId="37" fontId="0" fillId="0" borderId="0" xfId="0" applyNumberFormat="1" applyFont="1" applyFill="1"/>
    <xf numFmtId="0" fontId="5" fillId="0" borderId="14" xfId="93" applyNumberFormat="1" applyFont="1" applyFill="1" applyBorder="1" applyAlignment="1" applyProtection="1">
      <alignment horizontal="center" vertical="top" wrapText="1"/>
      <protection locked="0"/>
    </xf>
    <xf numFmtId="0" fontId="5" fillId="0" borderId="14" xfId="93" applyNumberFormat="1" applyFont="1" applyFill="1" applyBorder="1" applyAlignment="1" applyProtection="1">
      <alignment horizontal="center" vertical="top"/>
      <protection locked="0"/>
    </xf>
    <xf numFmtId="168" fontId="7" fillId="0" borderId="14" xfId="92" applyNumberFormat="1" applyFont="1" applyFill="1" applyBorder="1" applyAlignment="1" applyProtection="1">
      <alignment horizontal="center" vertical="top" wrapText="1"/>
      <protection locked="0"/>
    </xf>
    <xf numFmtId="168" fontId="7" fillId="0" borderId="14" xfId="93" applyNumberFormat="1" applyFont="1" applyFill="1" applyBorder="1" applyAlignment="1" applyProtection="1">
      <alignment horizontal="center" vertical="top" wrapText="1"/>
      <protection locked="0"/>
    </xf>
    <xf numFmtId="175" fontId="7" fillId="0" borderId="14" xfId="93" applyNumberFormat="1" applyFont="1" applyFill="1" applyBorder="1" applyAlignment="1" applyProtection="1">
      <alignment horizontal="center" vertical="top" wrapText="1"/>
      <protection locked="0"/>
    </xf>
    <xf numFmtId="43" fontId="7" fillId="0" borderId="14" xfId="93" applyNumberFormat="1" applyFont="1" applyFill="1" applyBorder="1" applyAlignment="1" applyProtection="1">
      <alignment horizontal="center" vertical="top" wrapText="1"/>
      <protection locked="0"/>
    </xf>
    <xf numFmtId="169" fontId="7" fillId="0" borderId="14" xfId="93" applyNumberFormat="1" applyFont="1" applyFill="1" applyBorder="1" applyAlignment="1" applyProtection="1">
      <alignment horizontal="center" vertical="top" wrapText="1"/>
      <protection locked="0"/>
    </xf>
    <xf numFmtId="0" fontId="7" fillId="0" borderId="0" xfId="93" applyNumberFormat="1" applyFont="1" applyFill="1" applyAlignment="1" applyProtection="1">
      <alignment vertical="top" wrapText="1"/>
      <protection locked="0"/>
    </xf>
    <xf numFmtId="0" fontId="7" fillId="0" borderId="0" xfId="1" applyFont="1" applyFill="1" applyAlignment="1">
      <alignment horizontal="right"/>
    </xf>
    <xf numFmtId="3" fontId="7" fillId="0" borderId="0" xfId="54" applyNumberFormat="1" applyFont="1" applyFill="1" applyAlignment="1">
      <alignment vertical="top"/>
    </xf>
    <xf numFmtId="3" fontId="7" fillId="0" borderId="0" xfId="54" applyNumberFormat="1" applyFont="1" applyFill="1" applyBorder="1" applyAlignment="1">
      <alignment vertical="top"/>
    </xf>
    <xf numFmtId="168" fontId="5" fillId="0" borderId="0" xfId="1" applyNumberFormat="1" applyFont="1" applyFill="1" applyBorder="1" applyAlignment="1">
      <alignment horizontal="center" vertical="top"/>
    </xf>
    <xf numFmtId="37" fontId="7" fillId="0" borderId="0" xfId="1" applyNumberFormat="1" applyFont="1" applyFill="1" applyBorder="1" applyAlignment="1">
      <alignment horizontal="center" vertical="top"/>
    </xf>
    <xf numFmtId="168" fontId="7" fillId="0" borderId="0" xfId="1" applyNumberFormat="1" applyFont="1" applyFill="1" applyBorder="1" applyAlignment="1">
      <alignment horizontal="center" vertical="top"/>
    </xf>
    <xf numFmtId="37" fontId="7" fillId="0" borderId="0" xfId="1" applyNumberFormat="1" applyFont="1" applyFill="1" applyBorder="1" applyAlignment="1">
      <alignment vertical="top"/>
    </xf>
    <xf numFmtId="43" fontId="5" fillId="0" borderId="0" xfId="92" applyFont="1" applyFill="1" applyBorder="1"/>
    <xf numFmtId="168" fontId="7" fillId="0" borderId="0" xfId="92" applyNumberFormat="1" applyFont="1" applyFill="1"/>
    <xf numFmtId="43" fontId="7" fillId="0" borderId="0" xfId="92" applyFont="1" applyFill="1"/>
    <xf numFmtId="174" fontId="7" fillId="0" borderId="0" xfId="92" applyNumberFormat="1" applyFont="1" applyFill="1"/>
    <xf numFmtId="0" fontId="19" fillId="0" borderId="0" xfId="0" applyFont="1" applyFill="1"/>
    <xf numFmtId="10" fontId="8" fillId="0" borderId="0" xfId="84" applyNumberFormat="1" applyFont="1" applyFill="1" applyAlignment="1">
      <alignment vertical="top"/>
    </xf>
    <xf numFmtId="10" fontId="8" fillId="0" borderId="0" xfId="84" applyNumberFormat="1" applyFont="1" applyFill="1" applyAlignment="1">
      <alignment horizontal="center" vertical="top" wrapText="1"/>
    </xf>
    <xf numFmtId="0" fontId="8" fillId="0" borderId="0" xfId="1" applyFont="1"/>
    <xf numFmtId="168" fontId="7" fillId="0" borderId="0" xfId="92" applyNumberFormat="1" applyFont="1" applyFill="1" applyBorder="1" applyAlignment="1" applyProtection="1">
      <alignment horizontal="center" vertical="top" wrapText="1"/>
      <protection locked="0"/>
    </xf>
    <xf numFmtId="168" fontId="7" fillId="0" borderId="0" xfId="93" applyNumberFormat="1" applyFont="1" applyFill="1" applyBorder="1" applyAlignment="1" applyProtection="1">
      <alignment horizontal="center" vertical="top" wrapText="1"/>
      <protection locked="0"/>
    </xf>
    <xf numFmtId="175" fontId="7" fillId="0" borderId="0" xfId="93" applyNumberFormat="1" applyFont="1" applyFill="1" applyBorder="1" applyAlignment="1" applyProtection="1">
      <alignment horizontal="center" vertical="top" wrapText="1"/>
      <protection locked="0"/>
    </xf>
    <xf numFmtId="43" fontId="7" fillId="0" borderId="0" xfId="93" applyNumberFormat="1" applyFont="1" applyFill="1" applyBorder="1" applyAlignment="1" applyProtection="1">
      <alignment horizontal="center" vertical="top" wrapText="1"/>
      <protection locked="0"/>
    </xf>
    <xf numFmtId="169" fontId="7" fillId="0" borderId="0" xfId="93" applyNumberFormat="1" applyFont="1" applyFill="1" applyBorder="1" applyAlignment="1" applyProtection="1">
      <alignment horizontal="center" vertical="top" wrapText="1"/>
      <protection locked="0"/>
    </xf>
    <xf numFmtId="0" fontId="6" fillId="0" borderId="0" xfId="0" applyFont="1" applyFill="1" applyAlignment="1">
      <alignment vertical="top"/>
    </xf>
    <xf numFmtId="0" fontId="32" fillId="0" borderId="0" xfId="23" applyFont="1" applyFill="1" applyAlignment="1">
      <alignment vertical="top"/>
    </xf>
    <xf numFmtId="11" fontId="8" fillId="0" borderId="0" xfId="38" applyNumberFormat="1" applyFont="1" applyFill="1" applyBorder="1" applyAlignment="1">
      <alignment horizontal="left" vertical="top"/>
    </xf>
    <xf numFmtId="3" fontId="6" fillId="0" borderId="0" xfId="38" applyNumberFormat="1" applyFont="1" applyFill="1" applyBorder="1" applyAlignment="1">
      <alignment horizontal="left" vertical="top"/>
    </xf>
    <xf numFmtId="10" fontId="6" fillId="0" borderId="0" xfId="84" applyNumberFormat="1" applyFont="1" applyFill="1" applyAlignment="1">
      <alignment horizontal="left" vertical="top"/>
    </xf>
    <xf numFmtId="168" fontId="6" fillId="0" borderId="0" xfId="92" applyNumberFormat="1" applyFont="1" applyFill="1" applyBorder="1" applyAlignment="1">
      <alignment horizontal="center" vertical="top" wrapText="1"/>
    </xf>
    <xf numFmtId="168" fontId="6" fillId="0" borderId="0" xfId="92" applyNumberFormat="1" applyFont="1" applyFill="1" applyAlignment="1">
      <alignment horizontal="center" vertical="top" wrapText="1"/>
    </xf>
    <xf numFmtId="10" fontId="12" fillId="0" borderId="0" xfId="95" applyNumberFormat="1" applyFont="1" applyFill="1" applyAlignment="1" applyProtection="1">
      <alignment vertical="top"/>
    </xf>
    <xf numFmtId="0" fontId="33" fillId="0" borderId="0" xfId="1" applyNumberFormat="1" applyFont="1" applyFill="1" applyBorder="1" applyAlignment="1" applyProtection="1">
      <alignment vertical="top"/>
    </xf>
    <xf numFmtId="1" fontId="5" fillId="0" borderId="0" xfId="55" quotePrefix="1" applyNumberFormat="1" applyFont="1" applyFill="1" applyAlignment="1">
      <alignment horizontal="left" vertical="top"/>
    </xf>
    <xf numFmtId="0" fontId="7" fillId="0" borderId="0" xfId="34" applyFont="1" applyFill="1" applyBorder="1" applyAlignment="1">
      <alignment vertical="top"/>
    </xf>
    <xf numFmtId="0" fontId="5" fillId="0" borderId="0" xfId="54" quotePrefix="1" applyNumberFormat="1" applyFont="1" applyFill="1" applyAlignment="1">
      <alignment horizontal="center" vertical="center"/>
    </xf>
    <xf numFmtId="0" fontId="5" fillId="0" borderId="0" xfId="63" applyNumberFormat="1" applyFont="1" applyFill="1" applyBorder="1" applyAlignment="1">
      <alignment vertical="top"/>
    </xf>
    <xf numFmtId="3" fontId="7" fillId="0" borderId="0" xfId="59" applyNumberFormat="1" applyFont="1" applyFill="1" applyAlignment="1">
      <alignment horizontal="center" vertical="top"/>
      <protection locked="0"/>
    </xf>
    <xf numFmtId="167" fontId="5" fillId="0" borderId="0" xfId="65" applyNumberFormat="1" applyFont="1" applyFill="1" applyBorder="1" applyAlignment="1">
      <alignment vertical="top"/>
    </xf>
    <xf numFmtId="167" fontId="7" fillId="0" borderId="0" xfId="65" applyNumberFormat="1" applyFont="1" applyFill="1" applyBorder="1" applyAlignment="1">
      <alignment vertical="top"/>
    </xf>
    <xf numFmtId="177" fontId="7" fillId="0" borderId="0" xfId="63" applyNumberFormat="1" applyFont="1" applyFill="1" applyBorder="1" applyAlignment="1">
      <alignment horizontal="center" vertical="top"/>
    </xf>
    <xf numFmtId="167" fontId="7" fillId="0" borderId="0" xfId="65" applyNumberFormat="1" applyFont="1" applyFill="1" applyBorder="1" applyAlignment="1">
      <alignment vertical="center"/>
    </xf>
    <xf numFmtId="167" fontId="7" fillId="0" borderId="4" xfId="65" applyNumberFormat="1" applyFont="1" applyFill="1" applyBorder="1" applyAlignment="1">
      <alignment vertical="center"/>
    </xf>
    <xf numFmtId="0" fontId="7" fillId="0" borderId="0" xfId="63" applyNumberFormat="1" applyFont="1" applyFill="1" applyBorder="1" applyAlignment="1">
      <alignment horizontal="center" vertical="top"/>
    </xf>
    <xf numFmtId="0" fontId="7" fillId="0" borderId="0" xfId="66" applyNumberFormat="1" applyFont="1" applyFill="1" applyAlignment="1">
      <alignment vertical="center"/>
    </xf>
    <xf numFmtId="176" fontId="7" fillId="0" borderId="0" xfId="59" applyNumberFormat="1" applyFont="1" applyFill="1" applyAlignment="1">
      <alignment horizontal="center" vertical="center"/>
      <protection locked="0"/>
    </xf>
    <xf numFmtId="43" fontId="7" fillId="0" borderId="0" xfId="92" applyFont="1" applyFill="1" applyAlignment="1" applyProtection="1">
      <alignment vertical="top" wrapText="1"/>
    </xf>
    <xf numFmtId="0" fontId="5" fillId="0" borderId="0" xfId="67" applyFont="1" applyFill="1" applyAlignment="1">
      <alignment vertical="top"/>
    </xf>
    <xf numFmtId="0" fontId="5" fillId="0" borderId="0" xfId="68" applyNumberFormat="1" applyFont="1" applyFill="1" applyAlignment="1">
      <alignment vertical="top"/>
    </xf>
    <xf numFmtId="0" fontId="7" fillId="0" borderId="0" xfId="10" applyFont="1" applyFill="1" applyAlignment="1">
      <alignment vertical="top"/>
    </xf>
    <xf numFmtId="0" fontId="8" fillId="0" borderId="0" xfId="59" applyFont="1" applyFill="1" applyAlignment="1" applyProtection="1">
      <alignment horizontal="left" vertical="top"/>
    </xf>
    <xf numFmtId="0" fontId="25" fillId="0" borderId="0" xfId="59" applyFont="1" applyFill="1" applyBorder="1" applyAlignment="1" applyProtection="1">
      <alignment horizontal="left" vertical="top"/>
    </xf>
    <xf numFmtId="0" fontId="25" fillId="0" borderId="0" xfId="59" applyFont="1" applyFill="1" applyBorder="1" applyAlignment="1" applyProtection="1">
      <alignment vertical="top"/>
    </xf>
    <xf numFmtId="0" fontId="25" fillId="0" borderId="0" xfId="59" applyFont="1" applyFill="1" applyBorder="1" applyAlignment="1" applyProtection="1">
      <alignment horizontal="center" vertical="top"/>
    </xf>
    <xf numFmtId="0" fontId="14" fillId="0" borderId="0" xfId="59" applyFont="1" applyFill="1" applyAlignment="1" applyProtection="1">
      <alignment horizontal="left" vertical="top"/>
    </xf>
    <xf numFmtId="0" fontId="14" fillId="0" borderId="0" xfId="59" applyFont="1" applyFill="1" applyAlignment="1" applyProtection="1">
      <alignment vertical="top"/>
    </xf>
    <xf numFmtId="0" fontId="15" fillId="0" borderId="0" xfId="55" applyFont="1" applyFill="1" applyAlignment="1">
      <alignment vertical="top"/>
    </xf>
    <xf numFmtId="0" fontId="15" fillId="0" borderId="0" xfId="59" applyFont="1" applyFill="1" applyAlignment="1" applyProtection="1">
      <alignment horizontal="left" vertical="top"/>
    </xf>
    <xf numFmtId="0" fontId="15" fillId="0" borderId="0" xfId="59" applyFont="1" applyFill="1" applyAlignment="1" applyProtection="1">
      <alignment horizontal="centerContinuous" vertical="top"/>
    </xf>
    <xf numFmtId="0" fontId="14" fillId="0" borderId="0" xfId="59" applyFont="1" applyFill="1" applyAlignment="1" applyProtection="1">
      <alignment horizontal="centerContinuous" vertical="top"/>
    </xf>
    <xf numFmtId="0" fontId="21" fillId="0" borderId="0" xfId="59" applyFont="1" applyFill="1" applyBorder="1" applyAlignment="1" applyProtection="1">
      <alignment horizontal="left" vertical="top"/>
    </xf>
    <xf numFmtId="0" fontId="5" fillId="0" borderId="0" xfId="59" applyFont="1" applyFill="1" applyAlignment="1" applyProtection="1">
      <alignment vertical="center"/>
    </xf>
    <xf numFmtId="168" fontId="7" fillId="0" borderId="4" xfId="2" applyNumberFormat="1" applyFont="1" applyFill="1" applyBorder="1" applyAlignment="1" applyProtection="1">
      <alignment vertical="center"/>
    </xf>
    <xf numFmtId="10" fontId="7" fillId="0" borderId="0" xfId="4" applyNumberFormat="1" applyFont="1" applyFill="1" applyBorder="1" applyAlignment="1" applyProtection="1">
      <alignment vertical="top"/>
    </xf>
    <xf numFmtId="0" fontId="5" fillId="0" borderId="0" xfId="59" applyFont="1" applyFill="1" applyAlignment="1" applyProtection="1">
      <alignment horizontal="center" vertical="top" wrapText="1"/>
    </xf>
    <xf numFmtId="10" fontId="7" fillId="0" borderId="0" xfId="4" applyNumberFormat="1" applyFont="1" applyFill="1" applyAlignment="1" applyProtection="1">
      <alignment vertical="top"/>
    </xf>
    <xf numFmtId="168" fontId="7" fillId="0" borderId="4" xfId="2" applyNumberFormat="1" applyFont="1" applyFill="1" applyBorder="1" applyAlignment="1" applyProtection="1">
      <alignment vertical="top"/>
    </xf>
    <xf numFmtId="10" fontId="7" fillId="0" borderId="4" xfId="4" applyNumberFormat="1" applyFont="1" applyFill="1" applyBorder="1" applyAlignment="1" applyProtection="1">
      <alignment vertical="top"/>
    </xf>
    <xf numFmtId="168" fontId="7" fillId="0" borderId="0" xfId="59" applyNumberFormat="1" applyFont="1" applyFill="1" applyAlignment="1" applyProtection="1">
      <alignment vertical="top"/>
    </xf>
    <xf numFmtId="0" fontId="7" fillId="0" borderId="0" xfId="72" applyFont="1" applyFill="1"/>
    <xf numFmtId="0" fontId="7" fillId="0" borderId="0" xfId="33" applyFont="1" applyFill="1"/>
    <xf numFmtId="37" fontId="7" fillId="0" borderId="0" xfId="70" applyFont="1" applyFill="1" applyBorder="1" applyAlignment="1">
      <alignment horizontal="left" vertical="top"/>
    </xf>
    <xf numFmtId="37" fontId="5" fillId="0" borderId="0" xfId="70" applyFont="1" applyFill="1" applyBorder="1" applyAlignment="1">
      <alignment vertical="top"/>
    </xf>
    <xf numFmtId="37" fontId="7" fillId="0" borderId="0" xfId="70" applyFont="1" applyFill="1" applyBorder="1" applyAlignment="1">
      <alignment vertical="top"/>
    </xf>
    <xf numFmtId="168" fontId="5" fillId="0" borderId="0" xfId="65" quotePrefix="1" applyNumberFormat="1" applyFont="1" applyFill="1" applyBorder="1" applyAlignment="1">
      <alignment horizontal="center" vertical="top"/>
    </xf>
    <xf numFmtId="168" fontId="7" fillId="0" borderId="0" xfId="65" quotePrefix="1" applyNumberFormat="1" applyFont="1" applyFill="1" applyBorder="1" applyAlignment="1">
      <alignment horizontal="center" vertical="top"/>
    </xf>
    <xf numFmtId="0" fontId="7" fillId="0" borderId="0" xfId="73" applyFont="1" applyFill="1" applyAlignment="1">
      <alignment horizontal="left" wrapText="1"/>
    </xf>
    <xf numFmtId="168" fontId="5" fillId="0" borderId="0" xfId="74" applyNumberFormat="1" applyFont="1" applyFill="1" applyAlignment="1">
      <alignment vertical="top"/>
    </xf>
    <xf numFmtId="0" fontId="5" fillId="0" borderId="0" xfId="76" quotePrefix="1" applyFont="1" applyFill="1" applyAlignment="1">
      <alignment horizontal="left" vertical="top"/>
    </xf>
    <xf numFmtId="168" fontId="7" fillId="0" borderId="0" xfId="77" applyNumberFormat="1" applyFont="1" applyFill="1" applyAlignment="1">
      <alignment horizontal="left" vertical="top"/>
    </xf>
    <xf numFmtId="168" fontId="7" fillId="0" borderId="0" xfId="77" applyNumberFormat="1" applyFont="1" applyFill="1" applyBorder="1" applyAlignment="1">
      <alignment horizontal="left" vertical="top"/>
    </xf>
    <xf numFmtId="0" fontId="7" fillId="0" borderId="0" xfId="73" applyFont="1" applyFill="1" applyBorder="1" applyAlignment="1">
      <alignment horizontal="centerContinuous" vertical="top"/>
    </xf>
    <xf numFmtId="41" fontId="32" fillId="0" borderId="0" xfId="78" applyNumberFormat="1" applyFont="1" applyFill="1" applyBorder="1" applyAlignment="1" applyProtection="1">
      <alignment vertical="top"/>
    </xf>
    <xf numFmtId="0" fontId="7" fillId="0" borderId="0" xfId="73" applyFont="1" applyFill="1" applyBorder="1" applyAlignment="1">
      <alignment vertical="top"/>
    </xf>
    <xf numFmtId="0" fontId="7" fillId="0" borderId="0" xfId="79" applyFont="1" applyFill="1" applyAlignment="1">
      <alignment horizontal="left" vertical="top"/>
    </xf>
    <xf numFmtId="168" fontId="7" fillId="0" borderId="0" xfId="80" applyNumberFormat="1" applyFont="1" applyFill="1" applyBorder="1" applyAlignment="1">
      <alignment vertical="top"/>
    </xf>
    <xf numFmtId="0" fontId="7" fillId="0" borderId="0" xfId="75" quotePrefix="1" applyFont="1" applyFill="1" applyAlignment="1">
      <alignment vertical="top"/>
    </xf>
    <xf numFmtId="0" fontId="7" fillId="0" borderId="0" xfId="23" quotePrefix="1" applyFont="1" applyFill="1" applyAlignment="1">
      <alignment vertical="top"/>
    </xf>
    <xf numFmtId="0" fontId="7" fillId="0" borderId="0" xfId="82" applyFont="1" applyFill="1" applyAlignment="1">
      <alignment vertical="top"/>
    </xf>
    <xf numFmtId="0" fontId="5" fillId="0" borderId="0" xfId="59" applyFont="1" applyFill="1" applyAlignment="1" applyProtection="1">
      <alignment vertical="top"/>
      <protection locked="0"/>
    </xf>
    <xf numFmtId="0" fontId="7" fillId="0" borderId="0" xfId="76" quotePrefix="1" applyFont="1" applyFill="1" applyAlignment="1">
      <alignment horizontal="left" vertical="top"/>
    </xf>
    <xf numFmtId="0" fontId="7" fillId="0" borderId="0" xfId="59" applyFont="1" applyFill="1" applyAlignment="1" applyProtection="1">
      <alignment horizontal="center" vertical="top" wrapText="1"/>
    </xf>
    <xf numFmtId="0" fontId="7" fillId="0" borderId="0" xfId="33"/>
    <xf numFmtId="168" fontId="5" fillId="0" borderId="4" xfId="2" applyNumberFormat="1" applyFont="1" applyFill="1" applyBorder="1" applyAlignment="1" applyProtection="1">
      <alignment vertical="center"/>
    </xf>
    <xf numFmtId="168" fontId="5" fillId="0" borderId="0" xfId="2" applyNumberFormat="1" applyFont="1" applyFill="1" applyAlignment="1" applyProtection="1">
      <alignment vertical="center"/>
    </xf>
    <xf numFmtId="168" fontId="21" fillId="0" borderId="0" xfId="75" applyNumberFormat="1" applyFont="1" applyFill="1" applyAlignment="1">
      <alignment vertical="top"/>
    </xf>
    <xf numFmtId="168" fontId="21" fillId="0" borderId="0" xfId="92" applyNumberFormat="1" applyFont="1" applyFill="1" applyAlignment="1">
      <alignment vertical="top"/>
    </xf>
    <xf numFmtId="168" fontId="8" fillId="0" borderId="0" xfId="84" applyNumberFormat="1" applyFont="1" applyFill="1" applyAlignment="1">
      <alignment horizontal="center" vertical="top" wrapText="1"/>
    </xf>
    <xf numFmtId="0" fontId="7" fillId="0" borderId="0" xfId="88" applyFont="1" applyFill="1" applyAlignment="1">
      <alignment horizontal="center" vertical="center"/>
    </xf>
    <xf numFmtId="0" fontId="7" fillId="0" borderId="0" xfId="86" quotePrefix="1" applyNumberFormat="1" applyFont="1" applyFill="1" applyAlignment="1">
      <alignment horizontal="left" vertical="top"/>
    </xf>
    <xf numFmtId="168" fontId="6" fillId="0" borderId="0" xfId="92" applyNumberFormat="1" applyFont="1"/>
    <xf numFmtId="37" fontId="8" fillId="0" borderId="0" xfId="1" applyNumberFormat="1" applyFont="1"/>
    <xf numFmtId="168" fontId="51" fillId="0" borderId="0" xfId="2" applyNumberFormat="1" applyFont="1" applyFill="1" applyBorder="1"/>
    <xf numFmtId="168" fontId="13" fillId="0" borderId="0" xfId="2" applyNumberFormat="1" applyFont="1" applyFill="1" applyBorder="1" applyAlignment="1" applyProtection="1">
      <alignment vertical="top"/>
    </xf>
    <xf numFmtId="0" fontId="8" fillId="0" borderId="0" xfId="1" applyFont="1" applyAlignment="1">
      <alignment horizontal="center"/>
    </xf>
    <xf numFmtId="37" fontId="0" fillId="0" borderId="23" xfId="0" applyNumberFormat="1" applyFont="1" applyFill="1" applyBorder="1" applyAlignment="1">
      <alignment horizontal="right"/>
    </xf>
    <xf numFmtId="37" fontId="0" fillId="0" borderId="2" xfId="0" applyNumberFormat="1" applyFont="1" applyFill="1" applyBorder="1" applyAlignment="1">
      <alignment horizontal="right"/>
    </xf>
    <xf numFmtId="37" fontId="0" fillId="0" borderId="4" xfId="0" applyNumberFormat="1" applyFont="1" applyFill="1" applyBorder="1" applyAlignment="1">
      <alignment horizontal="right"/>
    </xf>
    <xf numFmtId="37" fontId="0" fillId="0" borderId="24" xfId="0" applyNumberFormat="1" applyFont="1" applyFill="1" applyBorder="1" applyAlignment="1">
      <alignment horizontal="right"/>
    </xf>
    <xf numFmtId="168" fontId="7" fillId="0" borderId="0" xfId="92" applyNumberFormat="1" applyFont="1" applyFill="1" applyAlignment="1">
      <alignment vertical="top"/>
    </xf>
    <xf numFmtId="0" fontId="54" fillId="0" borderId="0" xfId="0" applyFont="1"/>
    <xf numFmtId="0" fontId="55" fillId="0" borderId="0" xfId="0" applyFont="1"/>
    <xf numFmtId="0" fontId="56" fillId="4" borderId="25" xfId="0" applyFont="1" applyFill="1" applyBorder="1" applyAlignment="1">
      <alignment horizontal="center"/>
    </xf>
    <xf numFmtId="15" fontId="57" fillId="0" borderId="26" xfId="0" applyNumberFormat="1" applyFont="1" applyBorder="1" applyAlignment="1">
      <alignment horizontal="center"/>
    </xf>
    <xf numFmtId="193" fontId="57" fillId="0" borderId="26" xfId="0" applyNumberFormat="1" applyFont="1" applyBorder="1" applyAlignment="1">
      <alignment horizontal="right"/>
    </xf>
    <xf numFmtId="194" fontId="57" fillId="0" borderId="26" xfId="0" applyNumberFormat="1" applyFont="1" applyBorder="1" applyAlignment="1">
      <alignment horizontal="right"/>
    </xf>
    <xf numFmtId="169" fontId="57" fillId="0" borderId="26" xfId="92" applyNumberFormat="1" applyFont="1" applyBorder="1" applyAlignment="1">
      <alignment horizontal="right"/>
    </xf>
    <xf numFmtId="169" fontId="57" fillId="0" borderId="26" xfId="92" applyNumberFormat="1" applyFont="1" applyBorder="1"/>
    <xf numFmtId="168" fontId="57" fillId="0" borderId="26" xfId="92" applyNumberFormat="1" applyFont="1" applyBorder="1"/>
    <xf numFmtId="0" fontId="54" fillId="0" borderId="0" xfId="1" applyFont="1" applyFill="1" applyAlignment="1">
      <alignment vertical="top"/>
    </xf>
    <xf numFmtId="168" fontId="47" fillId="0" borderId="0" xfId="92" applyNumberFormat="1" applyFont="1" applyFill="1" applyAlignment="1">
      <alignment vertical="top"/>
    </xf>
    <xf numFmtId="0" fontId="57" fillId="0" borderId="0" xfId="0" applyFont="1"/>
    <xf numFmtId="0" fontId="57" fillId="0" borderId="0" xfId="0" applyFont="1" applyFill="1"/>
    <xf numFmtId="0" fontId="60" fillId="0" borderId="0" xfId="0" applyFont="1"/>
    <xf numFmtId="10" fontId="57" fillId="0" borderId="0" xfId="95" applyNumberFormat="1" applyFont="1"/>
    <xf numFmtId="10" fontId="57" fillId="0" borderId="0" xfId="0" applyNumberFormat="1" applyFont="1"/>
    <xf numFmtId="0" fontId="61" fillId="0" borderId="0" xfId="0" applyFont="1"/>
    <xf numFmtId="192" fontId="57" fillId="0" borderId="0" xfId="95" applyNumberFormat="1" applyFont="1" applyAlignment="1">
      <alignment horizontal="right" vertical="center"/>
    </xf>
    <xf numFmtId="0" fontId="62" fillId="0" borderId="0" xfId="0" applyFont="1"/>
    <xf numFmtId="10" fontId="57" fillId="0" borderId="0" xfId="95" applyNumberFormat="1" applyFont="1" applyAlignment="1">
      <alignment horizontal="right" vertical="center"/>
    </xf>
    <xf numFmtId="193" fontId="57" fillId="0" borderId="0" xfId="0" applyNumberFormat="1" applyFont="1"/>
    <xf numFmtId="193" fontId="60" fillId="0" borderId="0" xfId="0" applyNumberFormat="1" applyFont="1"/>
    <xf numFmtId="10" fontId="60" fillId="0" borderId="0" xfId="95" applyNumberFormat="1" applyFont="1"/>
    <xf numFmtId="0" fontId="58" fillId="0" borderId="0" xfId="0" applyFont="1" applyAlignment="1">
      <alignment horizontal="left"/>
    </xf>
    <xf numFmtId="192" fontId="60" fillId="0" borderId="0" xfId="95" applyNumberFormat="1" applyFont="1" applyAlignment="1">
      <alignment horizontal="right" vertical="center"/>
    </xf>
    <xf numFmtId="0" fontId="63" fillId="0" borderId="0" xfId="0" applyFont="1" applyFill="1"/>
    <xf numFmtId="0" fontId="57" fillId="0" borderId="0" xfId="0" applyFont="1" applyAlignment="1">
      <alignment horizontal="left" vertical="top" wrapText="1"/>
    </xf>
    <xf numFmtId="168" fontId="57" fillId="0" borderId="0" xfId="92" applyNumberFormat="1" applyFont="1" applyFill="1"/>
    <xf numFmtId="10" fontId="60" fillId="2" borderId="5" xfId="95" applyNumberFormat="1" applyFont="1" applyFill="1" applyBorder="1"/>
    <xf numFmtId="10" fontId="57" fillId="2" borderId="6" xfId="95" applyNumberFormat="1" applyFont="1" applyFill="1" applyBorder="1"/>
    <xf numFmtId="10" fontId="57" fillId="2" borderId="7" xfId="0" applyNumberFormat="1" applyFont="1" applyFill="1" applyBorder="1"/>
    <xf numFmtId="0" fontId="60" fillId="0" borderId="0" xfId="0" applyFont="1" applyFill="1"/>
    <xf numFmtId="0" fontId="57" fillId="0" borderId="0" xfId="0" quotePrefix="1" applyFont="1" applyFill="1" applyAlignment="1"/>
    <xf numFmtId="0" fontId="5" fillId="0" borderId="0" xfId="76" quotePrefix="1" applyFont="1" applyFill="1" applyAlignment="1">
      <alignment horizontal="left" vertical="center"/>
    </xf>
    <xf numFmtId="0" fontId="7" fillId="0" borderId="0" xfId="23" quotePrefix="1" applyFont="1" applyFill="1" applyAlignment="1">
      <alignment vertical="center"/>
    </xf>
    <xf numFmtId="0" fontId="7" fillId="0" borderId="0" xfId="82" applyFont="1" applyFill="1" applyAlignment="1">
      <alignment vertical="center"/>
    </xf>
    <xf numFmtId="0" fontId="21" fillId="0" borderId="0" xfId="75" applyFont="1" applyFill="1" applyAlignment="1">
      <alignment vertical="center"/>
    </xf>
    <xf numFmtId="0" fontId="5" fillId="0" borderId="0" xfId="7" applyNumberFormat="1" applyFont="1" applyFill="1" applyAlignment="1" applyProtection="1">
      <alignment horizontal="center" vertical="top"/>
    </xf>
    <xf numFmtId="168" fontId="5" fillId="0" borderId="0" xfId="2" applyNumberFormat="1" applyFont="1" applyFill="1" applyAlignment="1">
      <alignment horizontal="center"/>
    </xf>
    <xf numFmtId="0" fontId="5" fillId="0" borderId="0" xfId="1" applyFont="1" applyFill="1" applyAlignment="1">
      <alignment horizontal="center"/>
    </xf>
    <xf numFmtId="0" fontId="7" fillId="0" borderId="0" xfId="59" applyNumberFormat="1" applyFont="1" applyFill="1" applyAlignment="1" applyProtection="1">
      <alignment horizontal="left" vertical="top"/>
    </xf>
    <xf numFmtId="0" fontId="7" fillId="0" borderId="0" xfId="34" applyFont="1" applyFill="1" applyBorder="1" applyAlignment="1">
      <alignment horizontal="justify" vertical="top"/>
    </xf>
    <xf numFmtId="0" fontId="7" fillId="0" borderId="0" xfId="1" applyFont="1" applyFill="1" applyBorder="1" applyAlignment="1">
      <alignment horizontal="justify" vertical="top"/>
    </xf>
    <xf numFmtId="0" fontId="32" fillId="0" borderId="0" xfId="52" applyFont="1" applyFill="1" applyAlignment="1">
      <alignment vertical="top" wrapText="1"/>
    </xf>
    <xf numFmtId="0" fontId="6" fillId="0" borderId="0" xfId="59" applyFont="1" applyFill="1" applyAlignment="1" applyProtection="1">
      <alignment horizontal="justify" vertical="top"/>
    </xf>
    <xf numFmtId="37" fontId="7" fillId="0" borderId="0" xfId="70" applyFont="1" applyFill="1" applyBorder="1" applyAlignment="1">
      <alignment horizontal="justify" vertical="top"/>
    </xf>
    <xf numFmtId="49" fontId="36" fillId="0" borderId="0" xfId="42" applyNumberFormat="1" applyFont="1" applyFill="1" applyAlignment="1"/>
    <xf numFmtId="37" fontId="15" fillId="0" borderId="0" xfId="59" applyNumberFormat="1" applyFont="1" applyFill="1" applyAlignment="1" applyProtection="1">
      <alignment vertical="top"/>
    </xf>
    <xf numFmtId="0" fontId="19" fillId="0" borderId="0" xfId="1" applyFont="1" applyFill="1" applyAlignment="1">
      <alignment vertical="top"/>
    </xf>
    <xf numFmtId="168" fontId="20" fillId="0" borderId="0" xfId="2" applyNumberFormat="1" applyFont="1" applyFill="1" applyAlignment="1">
      <alignment vertical="top"/>
    </xf>
    <xf numFmtId="0" fontId="19" fillId="0" borderId="0" xfId="1" applyFont="1" applyFill="1" applyBorder="1" applyAlignment="1">
      <alignment vertical="top"/>
    </xf>
    <xf numFmtId="168" fontId="20" fillId="0" borderId="0" xfId="2" applyNumberFormat="1" applyFont="1" applyFill="1" applyAlignment="1">
      <alignment horizontal="center" vertical="top"/>
    </xf>
    <xf numFmtId="0" fontId="19" fillId="0" borderId="0" xfId="1" applyFont="1" applyFill="1" applyBorder="1" applyAlignment="1">
      <alignment horizontal="center" vertical="top"/>
    </xf>
    <xf numFmtId="3" fontId="19" fillId="0" borderId="0" xfId="1" applyNumberFormat="1" applyFont="1" applyFill="1" applyAlignment="1">
      <alignment vertical="top"/>
    </xf>
    <xf numFmtId="0" fontId="7" fillId="0" borderId="0" xfId="1" applyFont="1" applyFill="1" applyAlignment="1">
      <alignment horizontal="center"/>
    </xf>
    <xf numFmtId="168" fontId="19" fillId="0" borderId="0" xfId="1" applyNumberFormat="1" applyFont="1" applyFill="1" applyAlignment="1">
      <alignment vertical="top"/>
    </xf>
    <xf numFmtId="0" fontId="19" fillId="0" borderId="0" xfId="1" applyFont="1" applyFill="1" applyAlignment="1">
      <alignment horizontal="left" vertical="top" indent="1"/>
    </xf>
    <xf numFmtId="0" fontId="19" fillId="0" borderId="0" xfId="1" quotePrefix="1" applyFont="1" applyFill="1" applyAlignment="1">
      <alignment vertical="top"/>
    </xf>
    <xf numFmtId="168" fontId="7" fillId="0" borderId="0" xfId="2" applyNumberFormat="1" applyFont="1" applyFill="1" applyBorder="1" applyAlignment="1">
      <alignment horizontal="center"/>
    </xf>
    <xf numFmtId="168" fontId="5" fillId="0" borderId="8" xfId="2" applyNumberFormat="1" applyFont="1" applyFill="1" applyBorder="1" applyAlignment="1">
      <alignment horizontal="center"/>
    </xf>
    <xf numFmtId="168" fontId="7" fillId="0" borderId="8" xfId="2" applyNumberFormat="1" applyFont="1" applyFill="1" applyBorder="1" applyAlignment="1">
      <alignment horizontal="center"/>
    </xf>
    <xf numFmtId="168" fontId="19" fillId="0" borderId="0" xfId="2" applyNumberFormat="1" applyFont="1" applyFill="1" applyAlignment="1">
      <alignment vertical="top"/>
    </xf>
    <xf numFmtId="0" fontId="7" fillId="0" borderId="0" xfId="1" quotePrefix="1" applyFont="1" applyFill="1" applyAlignment="1">
      <alignment horizontal="center"/>
    </xf>
    <xf numFmtId="0" fontId="20" fillId="0" borderId="0" xfId="1" applyFont="1" applyAlignment="1">
      <alignment horizontal="left" vertical="top" indent="1"/>
    </xf>
    <xf numFmtId="168" fontId="5" fillId="0" borderId="0" xfId="2" applyNumberFormat="1" applyFont="1" applyFill="1" applyBorder="1" applyAlignment="1">
      <alignment horizontal="center"/>
    </xf>
    <xf numFmtId="168" fontId="5" fillId="0" borderId="9" xfId="2" applyNumberFormat="1" applyFont="1" applyFill="1" applyBorder="1" applyAlignment="1">
      <alignment horizontal="center"/>
    </xf>
    <xf numFmtId="0" fontId="20" fillId="0" borderId="15" xfId="1" applyFont="1" applyFill="1" applyBorder="1" applyAlignment="1">
      <alignment vertical="top"/>
    </xf>
    <xf numFmtId="0" fontId="19" fillId="0" borderId="0" xfId="1" quotePrefix="1" applyFont="1" applyFill="1" applyAlignment="1">
      <alignment horizontal="left" vertical="top" indent="1"/>
    </xf>
    <xf numFmtId="168" fontId="5" fillId="0" borderId="15" xfId="2" applyNumberFormat="1" applyFont="1" applyFill="1" applyBorder="1" applyAlignment="1">
      <alignment horizontal="center"/>
    </xf>
    <xf numFmtId="168" fontId="5" fillId="0" borderId="17" xfId="2" applyNumberFormat="1" applyFont="1" applyFill="1" applyBorder="1" applyAlignment="1">
      <alignment horizontal="center"/>
    </xf>
    <xf numFmtId="168" fontId="7" fillId="0" borderId="2" xfId="2" applyNumberFormat="1" applyFont="1" applyFill="1" applyBorder="1" applyAlignment="1">
      <alignment horizontal="center"/>
    </xf>
    <xf numFmtId="0" fontId="19" fillId="0" borderId="0" xfId="1" applyFont="1" applyFill="1" applyAlignment="1">
      <alignment horizontal="center" vertical="top"/>
    </xf>
    <xf numFmtId="168" fontId="20" fillId="0" borderId="0" xfId="2" applyNumberFormat="1" applyFont="1" applyFill="1" applyBorder="1" applyAlignment="1">
      <alignment vertical="top"/>
    </xf>
    <xf numFmtId="43" fontId="19" fillId="0" borderId="0" xfId="1" applyNumberFormat="1" applyFont="1" applyFill="1" applyAlignment="1">
      <alignment vertical="top"/>
    </xf>
    <xf numFmtId="0" fontId="20" fillId="0" borderId="0" xfId="1" applyFont="1" applyFill="1" applyBorder="1" applyAlignment="1">
      <alignment vertical="top"/>
    </xf>
    <xf numFmtId="37" fontId="5" fillId="0" borderId="0" xfId="11" applyNumberFormat="1" applyFont="1" applyFill="1" applyAlignment="1">
      <alignment vertical="top"/>
      <protection locked="0"/>
    </xf>
    <xf numFmtId="0" fontId="5" fillId="0" borderId="0" xfId="11" applyNumberFormat="1" applyFont="1" applyFill="1" applyAlignment="1">
      <alignment vertical="top"/>
      <protection locked="0"/>
    </xf>
    <xf numFmtId="0" fontId="5" fillId="0" borderId="0" xfId="11" applyFont="1" applyFill="1" applyBorder="1" applyAlignment="1">
      <alignment vertical="center"/>
      <protection locked="0"/>
    </xf>
    <xf numFmtId="0" fontId="18" fillId="0" borderId="0" xfId="1" applyFont="1" applyBorder="1" applyAlignment="1">
      <alignment vertical="center"/>
    </xf>
    <xf numFmtId="0" fontId="5" fillId="0" borderId="0" xfId="11" applyFont="1" applyFill="1" applyAlignment="1" applyProtection="1">
      <alignment horizontal="center" vertical="top"/>
    </xf>
    <xf numFmtId="0" fontId="5" fillId="0" borderId="0" xfId="12" applyNumberFormat="1" applyFont="1" applyFill="1" applyAlignment="1">
      <alignment horizontal="center" vertical="center" wrapText="1"/>
    </xf>
    <xf numFmtId="0" fontId="7" fillId="0" borderId="0" xfId="13" applyNumberFormat="1" applyFont="1" applyFill="1" applyAlignment="1">
      <alignment vertical="top"/>
    </xf>
    <xf numFmtId="0" fontId="7" fillId="0" borderId="0" xfId="13" applyNumberFormat="1" applyFont="1" applyFill="1" applyBorder="1" applyAlignment="1">
      <alignment vertical="top"/>
    </xf>
    <xf numFmtId="0" fontId="7" fillId="0" borderId="0" xfId="12" applyNumberFormat="1" applyFont="1" applyFill="1" applyBorder="1" applyAlignment="1">
      <alignment vertical="top"/>
    </xf>
    <xf numFmtId="0" fontId="7" fillId="0" borderId="0" xfId="12" applyNumberFormat="1" applyFont="1" applyFill="1" applyBorder="1" applyAlignment="1">
      <alignment vertical="top" wrapText="1"/>
    </xf>
    <xf numFmtId="167" fontId="7" fillId="0" borderId="5" xfId="11" applyNumberFormat="1" applyFont="1" applyFill="1" applyBorder="1" applyAlignment="1">
      <alignment vertical="top"/>
      <protection locked="0"/>
    </xf>
    <xf numFmtId="167" fontId="7" fillId="0" borderId="0" xfId="11" applyNumberFormat="1" applyFont="1" applyFill="1" applyBorder="1" applyAlignment="1">
      <alignment vertical="top"/>
      <protection locked="0"/>
    </xf>
    <xf numFmtId="167" fontId="7" fillId="0" borderId="6" xfId="11" applyNumberFormat="1" applyFont="1" applyFill="1" applyBorder="1" applyAlignment="1">
      <alignment vertical="top"/>
      <protection locked="0"/>
    </xf>
    <xf numFmtId="168" fontId="7" fillId="0" borderId="0" xfId="2" applyNumberFormat="1" applyFont="1" applyFill="1" applyBorder="1" applyAlignment="1" applyProtection="1">
      <alignment vertical="top"/>
      <protection locked="0"/>
    </xf>
    <xf numFmtId="167" fontId="7" fillId="0" borderId="7" xfId="11" applyNumberFormat="1" applyFont="1" applyFill="1" applyBorder="1" applyAlignment="1">
      <alignment vertical="top"/>
      <protection locked="0"/>
    </xf>
    <xf numFmtId="0" fontId="5" fillId="0" borderId="0" xfId="12" applyNumberFormat="1" applyFont="1" applyFill="1" applyBorder="1" applyAlignment="1">
      <alignment horizontal="center" vertical="center" wrapText="1"/>
    </xf>
    <xf numFmtId="167" fontId="7" fillId="0" borderId="0" xfId="15" applyFont="1" applyFill="1"/>
    <xf numFmtId="41" fontId="7" fillId="0" borderId="0" xfId="11" applyNumberFormat="1" applyFont="1" applyFill="1" applyAlignment="1">
      <alignment horizontal="left" vertical="top"/>
      <protection locked="0"/>
    </xf>
    <xf numFmtId="168" fontId="7" fillId="0" borderId="0" xfId="12" applyNumberFormat="1" applyFont="1" applyFill="1" applyBorder="1" applyAlignment="1">
      <alignment horizontal="center" vertical="top"/>
    </xf>
    <xf numFmtId="167" fontId="7" fillId="0" borderId="0" xfId="11" applyNumberFormat="1" applyFont="1" applyFill="1" applyAlignment="1">
      <alignment vertical="top"/>
      <protection locked="0"/>
    </xf>
    <xf numFmtId="0" fontId="7" fillId="0" borderId="0" xfId="16" applyFont="1" applyFill="1" applyBorder="1" applyAlignment="1">
      <alignment horizontal="center"/>
    </xf>
    <xf numFmtId="168" fontId="7" fillId="0" borderId="0" xfId="16" applyNumberFormat="1" applyFont="1" applyFill="1" applyBorder="1" applyAlignment="1">
      <alignment horizontal="center"/>
    </xf>
    <xf numFmtId="0" fontId="7" fillId="0" borderId="0" xfId="16" applyFont="1" applyFill="1" applyBorder="1"/>
    <xf numFmtId="167" fontId="5" fillId="0" borderId="0" xfId="15" applyFont="1" applyFill="1" applyBorder="1"/>
    <xf numFmtId="167" fontId="7" fillId="0" borderId="0" xfId="15" applyFont="1" applyFill="1" applyBorder="1"/>
    <xf numFmtId="168" fontId="5" fillId="0" borderId="0" xfId="11" applyNumberFormat="1" applyFont="1" applyFill="1" applyBorder="1" applyAlignment="1">
      <alignment vertical="top"/>
      <protection locked="0"/>
    </xf>
    <xf numFmtId="168" fontId="7" fillId="0" borderId="0" xfId="17" applyNumberFormat="1" applyFont="1" applyFill="1" applyBorder="1"/>
    <xf numFmtId="167" fontId="7" fillId="0" borderId="0" xfId="15" applyFont="1" applyFill="1" applyProtection="1">
      <protection locked="0"/>
    </xf>
    <xf numFmtId="167" fontId="7" fillId="0" borderId="0" xfId="15" applyFont="1" applyFill="1" applyBorder="1" applyProtection="1">
      <protection locked="0"/>
    </xf>
    <xf numFmtId="0" fontId="7" fillId="0" borderId="0" xfId="11" quotePrefix="1" applyFont="1" applyFill="1" applyAlignment="1" applyProtection="1">
      <alignment horizontal="left" vertical="top" indent="1"/>
    </xf>
    <xf numFmtId="168" fontId="7" fillId="0" borderId="5" xfId="11" applyNumberFormat="1" applyFont="1" applyFill="1" applyBorder="1" applyAlignment="1">
      <alignment vertical="top"/>
      <protection locked="0"/>
    </xf>
    <xf numFmtId="168" fontId="7" fillId="0" borderId="5" xfId="13" applyNumberFormat="1" applyFont="1" applyFill="1" applyBorder="1" applyAlignment="1">
      <alignment vertical="top"/>
    </xf>
    <xf numFmtId="168" fontId="7" fillId="0" borderId="7" xfId="12" applyNumberFormat="1" applyFont="1" applyFill="1" applyBorder="1" applyAlignment="1" applyProtection="1">
      <alignment vertical="top"/>
      <protection locked="0"/>
    </xf>
    <xf numFmtId="168" fontId="7" fillId="0" borderId="7" xfId="13" applyNumberFormat="1" applyFont="1" applyFill="1" applyBorder="1" applyAlignment="1">
      <alignment vertical="top"/>
    </xf>
    <xf numFmtId="0" fontId="7" fillId="0" borderId="0" xfId="11" applyFont="1" applyFill="1" applyProtection="1"/>
    <xf numFmtId="3" fontId="7" fillId="0" borderId="0" xfId="11" applyNumberFormat="1" applyFont="1" applyFill="1" applyBorder="1" applyAlignment="1">
      <alignment vertical="top"/>
      <protection locked="0"/>
    </xf>
    <xf numFmtId="169" fontId="7" fillId="0" borderId="0" xfId="17" applyNumberFormat="1" applyFont="1" applyFill="1" applyBorder="1"/>
    <xf numFmtId="168" fontId="7" fillId="0" borderId="0" xfId="16" applyNumberFormat="1" applyFont="1" applyFill="1" applyBorder="1"/>
    <xf numFmtId="168" fontId="7" fillId="0" borderId="6" xfId="11" applyNumberFormat="1" applyFont="1" applyFill="1" applyBorder="1" applyAlignment="1">
      <alignment vertical="top"/>
      <protection locked="0"/>
    </xf>
    <xf numFmtId="168" fontId="7" fillId="0" borderId="6" xfId="13" applyNumberFormat="1" applyFont="1" applyFill="1" applyBorder="1" applyAlignment="1">
      <alignment vertical="top"/>
    </xf>
    <xf numFmtId="168" fontId="7" fillId="0" borderId="0" xfId="12" applyNumberFormat="1" applyFont="1" applyFill="1" applyBorder="1" applyAlignment="1" applyProtection="1">
      <alignment vertical="top"/>
      <protection locked="0"/>
    </xf>
    <xf numFmtId="171" fontId="7" fillId="0" borderId="0" xfId="18" applyFont="1" applyFill="1" applyAlignment="1" applyProtection="1">
      <alignment vertical="top"/>
      <protection locked="0"/>
    </xf>
    <xf numFmtId="0" fontId="7" fillId="0" borderId="0" xfId="11" quotePrefix="1" applyFont="1" applyFill="1" applyAlignment="1" applyProtection="1">
      <alignment horizontal="left" vertical="top"/>
    </xf>
    <xf numFmtId="168" fontId="7" fillId="0" borderId="0" xfId="12" applyNumberFormat="1" applyFont="1" applyFill="1" applyBorder="1" applyAlignment="1">
      <alignment horizontal="center"/>
    </xf>
    <xf numFmtId="168" fontId="7" fillId="0" borderId="7" xfId="12" applyNumberFormat="1" applyFont="1" applyFill="1" applyBorder="1" applyAlignment="1">
      <alignment horizontal="center"/>
    </xf>
    <xf numFmtId="168" fontId="7" fillId="0" borderId="0" xfId="2" applyNumberFormat="1" applyFont="1" applyFill="1" applyAlignment="1" applyProtection="1">
      <alignment vertical="top"/>
      <protection locked="0"/>
    </xf>
    <xf numFmtId="173" fontId="7" fillId="0" borderId="0" xfId="11" applyNumberFormat="1" applyFont="1" applyFill="1" applyAlignment="1">
      <alignment vertical="top"/>
      <protection locked="0"/>
    </xf>
    <xf numFmtId="169" fontId="7" fillId="0" borderId="0" xfId="11" applyNumberFormat="1" applyFont="1" applyFill="1" applyBorder="1" applyAlignment="1">
      <alignment vertical="top"/>
      <protection locked="0"/>
    </xf>
    <xf numFmtId="168" fontId="7" fillId="0" borderId="0" xfId="11" applyNumberFormat="1" applyFont="1" applyFill="1" applyBorder="1" applyAlignment="1">
      <alignment vertical="top"/>
      <protection locked="0"/>
    </xf>
    <xf numFmtId="41" fontId="7" fillId="0" borderId="0" xfId="11" applyNumberFormat="1" applyFont="1" applyFill="1" applyBorder="1" applyAlignment="1">
      <alignment vertical="top"/>
      <protection locked="0"/>
    </xf>
    <xf numFmtId="168" fontId="65" fillId="0" borderId="0" xfId="12" applyNumberFormat="1" applyFont="1" applyFill="1" applyBorder="1" applyAlignment="1">
      <alignment vertical="top"/>
    </xf>
    <xf numFmtId="0" fontId="7" fillId="0" borderId="0" xfId="11" quotePrefix="1" applyFont="1" applyFill="1" applyAlignment="1">
      <alignment vertical="top"/>
      <protection locked="0"/>
    </xf>
    <xf numFmtId="0" fontId="7" fillId="0" borderId="0" xfId="19" applyFont="1" applyFill="1" applyAlignment="1">
      <alignment vertical="top"/>
      <protection locked="0"/>
    </xf>
    <xf numFmtId="174" fontId="7" fillId="0" borderId="0" xfId="11" applyNumberFormat="1" applyFont="1" applyFill="1" applyBorder="1" applyAlignment="1">
      <alignment vertical="top"/>
      <protection locked="0"/>
    </xf>
    <xf numFmtId="172" fontId="7" fillId="0" borderId="0" xfId="11" applyNumberFormat="1" applyFont="1" applyFill="1" applyAlignment="1">
      <alignment vertical="top"/>
      <protection locked="0"/>
    </xf>
    <xf numFmtId="0" fontId="7" fillId="0" borderId="0" xfId="11" applyFont="1" applyFill="1" applyAlignment="1">
      <alignment horizontal="left" vertical="top" indent="1"/>
      <protection locked="0"/>
    </xf>
    <xf numFmtId="171" fontId="7" fillId="0" borderId="0" xfId="11" applyNumberFormat="1" applyFont="1" applyFill="1" applyBorder="1" applyAlignment="1">
      <alignment vertical="top"/>
      <protection locked="0"/>
    </xf>
    <xf numFmtId="37" fontId="7" fillId="0" borderId="6" xfId="11" applyNumberFormat="1" applyFont="1" applyFill="1" applyBorder="1" applyAlignment="1">
      <alignment vertical="top"/>
      <protection locked="0"/>
    </xf>
    <xf numFmtId="37" fontId="7" fillId="0" borderId="5" xfId="11" applyNumberFormat="1" applyFont="1" applyFill="1" applyBorder="1" applyAlignment="1">
      <alignment vertical="top"/>
      <protection locked="0"/>
    </xf>
    <xf numFmtId="0" fontId="5" fillId="0" borderId="0" xfId="11" applyFont="1" applyFill="1" applyBorder="1" applyAlignment="1">
      <alignment vertical="top"/>
      <protection locked="0"/>
    </xf>
    <xf numFmtId="0" fontId="7" fillId="0" borderId="0" xfId="19" applyFont="1" applyFill="1" applyAlignment="1" applyProtection="1">
      <alignment vertical="top"/>
    </xf>
    <xf numFmtId="168" fontId="7" fillId="0" borderId="0" xfId="20" applyNumberFormat="1" applyFont="1" applyFill="1" applyBorder="1" applyAlignment="1">
      <alignment vertical="top"/>
    </xf>
    <xf numFmtId="168" fontId="5" fillId="0" borderId="0" xfId="13" applyNumberFormat="1" applyFont="1" applyFill="1" applyBorder="1" applyAlignment="1">
      <alignment vertical="top"/>
    </xf>
    <xf numFmtId="0" fontId="5" fillId="0" borderId="0" xfId="11" applyFont="1" applyFill="1" applyAlignment="1">
      <alignment vertical="top"/>
      <protection locked="0"/>
    </xf>
    <xf numFmtId="167" fontId="5" fillId="0" borderId="0" xfId="11" applyNumberFormat="1" applyFont="1" applyFill="1" applyBorder="1" applyAlignment="1">
      <alignment vertical="top"/>
      <protection locked="0"/>
    </xf>
    <xf numFmtId="168" fontId="5" fillId="0" borderId="0" xfId="11" applyNumberFormat="1" applyFont="1" applyFill="1" applyAlignment="1">
      <alignment vertical="top"/>
      <protection locked="0"/>
    </xf>
    <xf numFmtId="0" fontId="7" fillId="0" borderId="0" xfId="19" applyFont="1" applyFill="1" applyAlignment="1">
      <alignment horizontal="left" vertical="top" indent="1"/>
      <protection locked="0"/>
    </xf>
    <xf numFmtId="168" fontId="7" fillId="0" borderId="0" xfId="11" applyNumberFormat="1" applyFont="1" applyFill="1" applyAlignment="1">
      <alignment horizontal="center" vertical="top"/>
      <protection locked="0"/>
    </xf>
    <xf numFmtId="37" fontId="7" fillId="0" borderId="0" xfId="11" applyNumberFormat="1" applyFont="1" applyFill="1" applyBorder="1" applyAlignment="1">
      <alignment vertical="top"/>
      <protection locked="0"/>
    </xf>
    <xf numFmtId="37" fontId="7" fillId="0" borderId="8" xfId="11" applyNumberFormat="1" applyFont="1" applyFill="1" applyBorder="1" applyAlignment="1">
      <alignment vertical="top"/>
      <protection locked="0"/>
    </xf>
    <xf numFmtId="168" fontId="7" fillId="0" borderId="0" xfId="13" applyNumberFormat="1" applyFont="1" applyFill="1" applyBorder="1" applyAlignment="1">
      <alignment horizontal="left" vertical="top"/>
    </xf>
    <xf numFmtId="37" fontId="7" fillId="0" borderId="0" xfId="11" applyNumberFormat="1" applyFont="1" applyFill="1" applyBorder="1" applyAlignment="1" applyProtection="1">
      <alignment vertical="top"/>
    </xf>
    <xf numFmtId="0" fontId="7" fillId="0" borderId="0" xfId="11" applyFont="1" applyFill="1" applyAlignment="1" applyProtection="1">
      <alignment vertical="top"/>
    </xf>
    <xf numFmtId="168" fontId="7" fillId="0" borderId="4" xfId="12" applyNumberFormat="1" applyFont="1" applyFill="1" applyBorder="1" applyAlignment="1">
      <alignment vertical="top"/>
    </xf>
    <xf numFmtId="0" fontId="7" fillId="0" borderId="0" xfId="11" applyFont="1" applyFill="1" applyAlignment="1">
      <alignment horizontal="left"/>
      <protection locked="0"/>
    </xf>
    <xf numFmtId="0" fontId="5" fillId="0" borderId="0" xfId="11" applyFont="1" applyFill="1">
      <protection locked="0"/>
    </xf>
    <xf numFmtId="168" fontId="7" fillId="0" borderId="0" xfId="11" applyNumberFormat="1" applyFont="1" applyFill="1" applyBorder="1" applyAlignment="1">
      <alignment horizontal="center" vertical="top"/>
      <protection locked="0"/>
    </xf>
    <xf numFmtId="169" fontId="7" fillId="0" borderId="0" xfId="12" applyNumberFormat="1" applyFont="1" applyFill="1" applyBorder="1" applyAlignment="1">
      <alignment vertical="top"/>
    </xf>
    <xf numFmtId="0" fontId="7" fillId="0" borderId="0" xfId="14" applyFont="1" applyFill="1" applyAlignment="1"/>
    <xf numFmtId="168" fontId="7" fillId="0" borderId="0" xfId="18" applyNumberFormat="1" applyFont="1" applyFill="1" applyAlignment="1"/>
    <xf numFmtId="171" fontId="7" fillId="0" borderId="0" xfId="18" applyFont="1" applyFill="1" applyAlignment="1"/>
    <xf numFmtId="168" fontId="7" fillId="0" borderId="0" xfId="14" applyNumberFormat="1" applyFont="1" applyFill="1" applyAlignment="1"/>
    <xf numFmtId="37" fontId="7" fillId="0" borderId="0" xfId="14" applyNumberFormat="1" applyFont="1" applyFill="1" applyAlignment="1" applyProtection="1">
      <alignment vertical="top"/>
    </xf>
    <xf numFmtId="37" fontId="7" fillId="0" borderId="0" xfId="14" applyNumberFormat="1" applyFont="1" applyFill="1" applyAlignment="1" applyProtection="1">
      <alignment horizontal="centerContinuous" vertical="top"/>
    </xf>
    <xf numFmtId="37" fontId="7" fillId="0" borderId="0" xfId="21" applyFont="1" applyFill="1" applyAlignment="1">
      <alignment vertical="top"/>
    </xf>
    <xf numFmtId="37" fontId="5" fillId="0" borderId="0" xfId="21" applyFont="1" applyFill="1" applyAlignment="1">
      <alignment vertical="top"/>
    </xf>
    <xf numFmtId="0" fontId="6" fillId="0" borderId="0" xfId="100" applyFont="1" applyFill="1">
      <protection locked="0"/>
    </xf>
    <xf numFmtId="168" fontId="8" fillId="0" borderId="27" xfId="92" applyNumberFormat="1" applyFont="1" applyFill="1" applyBorder="1" applyAlignment="1">
      <alignment horizontal="center" vertical="center" wrapText="1"/>
    </xf>
    <xf numFmtId="0" fontId="6" fillId="0" borderId="0" xfId="100" applyFont="1" applyFill="1" applyAlignment="1">
      <alignment vertical="center"/>
      <protection locked="0"/>
    </xf>
    <xf numFmtId="0" fontId="5" fillId="0" borderId="0" xfId="11" applyFont="1" applyFill="1" applyBorder="1" applyAlignment="1" applyProtection="1">
      <alignment horizontal="center" vertical="top"/>
    </xf>
    <xf numFmtId="0" fontId="7" fillId="0" borderId="0" xfId="100" applyFont="1" applyFill="1" applyAlignment="1">
      <alignment vertical="top"/>
      <protection locked="0"/>
    </xf>
    <xf numFmtId="0" fontId="7" fillId="0" borderId="0" xfId="11" applyFont="1" applyFill="1" applyAlignment="1">
      <alignment horizontal="left" vertical="top" indent="2"/>
      <protection locked="0"/>
    </xf>
    <xf numFmtId="0" fontId="7" fillId="0" borderId="0" xfId="100" quotePrefix="1" applyFont="1" applyFill="1" applyAlignment="1" applyProtection="1">
      <alignment horizontal="left" vertical="top" indent="1"/>
    </xf>
    <xf numFmtId="0" fontId="7" fillId="0" borderId="0" xfId="100" quotePrefix="1" applyFont="1" applyFill="1" applyAlignment="1" applyProtection="1">
      <alignment horizontal="left" vertical="top" indent="2"/>
    </xf>
    <xf numFmtId="0" fontId="5" fillId="0" borderId="0" xfId="100" applyFont="1" applyFill="1" applyAlignment="1" applyProtection="1">
      <alignment vertical="top"/>
    </xf>
    <xf numFmtId="179" fontId="5" fillId="0" borderId="0" xfId="58" applyNumberFormat="1" applyFont="1" applyFill="1" applyAlignment="1"/>
    <xf numFmtId="0" fontId="5" fillId="0" borderId="0" xfId="1" applyFont="1" applyFill="1" applyAlignment="1" applyProtection="1">
      <alignment horizontal="left" vertical="top" indent="2"/>
      <protection locked="0"/>
    </xf>
    <xf numFmtId="0" fontId="32" fillId="0" borderId="0" xfId="23" applyFont="1" applyFill="1" applyAlignment="1">
      <alignment horizontal="left" vertical="top" indent="1"/>
    </xf>
    <xf numFmtId="0" fontId="7" fillId="0" borderId="0" xfId="59" applyNumberFormat="1" applyFont="1" applyFill="1" applyAlignment="1" applyProtection="1">
      <alignment vertical="top"/>
    </xf>
    <xf numFmtId="167" fontId="5" fillId="0" borderId="0" xfId="65" applyNumberFormat="1" applyFont="1" applyFill="1" applyBorder="1" applyAlignment="1">
      <alignment vertical="center"/>
    </xf>
    <xf numFmtId="0" fontId="15" fillId="0" borderId="0" xfId="55" quotePrefix="1" applyFont="1" applyFill="1" applyAlignment="1">
      <alignment horizontal="left" vertical="top" indent="1"/>
    </xf>
    <xf numFmtId="0" fontId="15" fillId="0" borderId="0" xfId="100" applyFont="1" applyFill="1" applyAlignment="1" applyProtection="1">
      <alignment vertical="top"/>
    </xf>
    <xf numFmtId="0" fontId="21" fillId="0" borderId="0" xfId="59" applyFont="1" applyFill="1" applyBorder="1" applyAlignment="1" applyProtection="1">
      <alignment vertical="top"/>
    </xf>
    <xf numFmtId="0" fontId="5" fillId="0" borderId="0" xfId="102" applyFont="1" applyFill="1" applyAlignment="1">
      <alignment vertical="top"/>
    </xf>
    <xf numFmtId="0" fontId="5" fillId="0" borderId="0" xfId="33" applyFont="1" applyFill="1" applyBorder="1" applyAlignment="1">
      <alignment horizontal="center" vertical="top"/>
    </xf>
    <xf numFmtId="0" fontId="5" fillId="0" borderId="0" xfId="33" applyFont="1" applyFill="1" applyAlignment="1">
      <alignment horizontal="center"/>
    </xf>
    <xf numFmtId="37" fontId="5" fillId="0" borderId="0" xfId="70" applyFont="1" applyFill="1" applyBorder="1" applyAlignment="1">
      <alignment horizontal="center" vertical="top"/>
    </xf>
    <xf numFmtId="0" fontId="5" fillId="0" borderId="0" xfId="65" applyNumberFormat="1" applyFont="1" applyFill="1" applyBorder="1" applyAlignment="1">
      <alignment horizontal="center" vertical="top"/>
    </xf>
    <xf numFmtId="0" fontId="21" fillId="0" borderId="0" xfId="72" applyFont="1" applyFill="1"/>
    <xf numFmtId="0" fontId="5" fillId="0" borderId="0" xfId="33" quotePrefix="1" applyFont="1" applyFill="1" applyBorder="1" applyAlignment="1">
      <alignment horizontal="left" vertical="top"/>
    </xf>
    <xf numFmtId="37" fontId="5" fillId="0" borderId="2" xfId="70" applyFont="1" applyFill="1" applyBorder="1" applyAlignment="1">
      <alignment horizontal="center" vertical="top"/>
    </xf>
    <xf numFmtId="168" fontId="5" fillId="0" borderId="2" xfId="65" quotePrefix="1" applyNumberFormat="1" applyFont="1" applyFill="1" applyBorder="1" applyAlignment="1">
      <alignment horizontal="center" vertical="top"/>
    </xf>
    <xf numFmtId="0" fontId="5" fillId="0" borderId="2" xfId="65" applyNumberFormat="1" applyFont="1" applyFill="1" applyBorder="1" applyAlignment="1">
      <alignment horizontal="center" vertical="top"/>
    </xf>
    <xf numFmtId="168" fontId="5" fillId="0" borderId="2" xfId="65" applyNumberFormat="1" applyFont="1" applyFill="1" applyBorder="1" applyAlignment="1">
      <alignment horizontal="center" vertical="top"/>
    </xf>
    <xf numFmtId="0" fontId="5" fillId="0" borderId="0" xfId="33" quotePrefix="1" applyFont="1" applyFill="1" applyBorder="1" applyAlignment="1">
      <alignment horizontal="center" vertical="top"/>
    </xf>
    <xf numFmtId="0" fontId="5" fillId="0" borderId="0" xfId="59" applyFont="1" applyFill="1" applyAlignment="1" applyProtection="1"/>
    <xf numFmtId="167" fontId="7" fillId="0" borderId="0" xfId="2" quotePrefix="1" applyFont="1" applyFill="1" applyBorder="1"/>
    <xf numFmtId="167" fontId="7" fillId="0" borderId="0" xfId="2" applyFont="1" applyFill="1"/>
    <xf numFmtId="37" fontId="7" fillId="0" borderId="0" xfId="70" applyFont="1" applyFill="1" applyBorder="1" applyAlignment="1"/>
    <xf numFmtId="167" fontId="7" fillId="0" borderId="0" xfId="2" applyFont="1" applyFill="1" applyBorder="1"/>
    <xf numFmtId="37" fontId="5" fillId="0" borderId="0" xfId="70" applyFont="1" applyFill="1" applyBorder="1" applyAlignment="1">
      <alignment horizontal="left" vertical="top"/>
    </xf>
    <xf numFmtId="37" fontId="5" fillId="0" borderId="0" xfId="70" applyFont="1" applyFill="1" applyBorder="1" applyAlignment="1"/>
    <xf numFmtId="167" fontId="5" fillId="0" borderId="4" xfId="2" quotePrefix="1" applyFont="1" applyFill="1" applyBorder="1"/>
    <xf numFmtId="167" fontId="5" fillId="0" borderId="0" xfId="2" quotePrefix="1" applyFont="1" applyFill="1" applyBorder="1"/>
    <xf numFmtId="167" fontId="5" fillId="0" borderId="0" xfId="2" applyFont="1" applyFill="1"/>
    <xf numFmtId="0" fontId="25" fillId="0" borderId="0" xfId="72" applyFont="1" applyFill="1"/>
    <xf numFmtId="0" fontId="7" fillId="0" borderId="0" xfId="33" applyFont="1" applyFill="1" applyAlignment="1"/>
    <xf numFmtId="0" fontId="19" fillId="0" borderId="13" xfId="59" applyFont="1" applyFill="1" applyBorder="1" applyAlignment="1" applyProtection="1">
      <alignment horizontal="center" vertical="top"/>
    </xf>
    <xf numFmtId="0" fontId="7" fillId="0" borderId="0" xfId="100" applyFont="1" applyFill="1" applyAlignment="1" applyProtection="1">
      <alignment vertical="top"/>
    </xf>
    <xf numFmtId="0" fontId="5" fillId="0" borderId="0" xfId="59" applyFont="1" applyFill="1" applyBorder="1" applyAlignment="1" applyProtection="1"/>
    <xf numFmtId="0" fontId="21" fillId="0" borderId="0" xfId="72" applyFont="1" applyFill="1" applyBorder="1"/>
    <xf numFmtId="0" fontId="5" fillId="0" borderId="0" xfId="104" applyFont="1" applyFill="1" applyAlignment="1">
      <alignment horizontal="left" vertical="top"/>
    </xf>
    <xf numFmtId="0" fontId="5" fillId="0" borderId="0" xfId="46" applyNumberFormat="1" applyFont="1" applyFill="1" applyAlignment="1">
      <alignment vertical="top"/>
    </xf>
    <xf numFmtId="0" fontId="7" fillId="0" borderId="0" xfId="104" applyFont="1" applyFill="1" applyAlignment="1">
      <alignment vertical="top"/>
    </xf>
    <xf numFmtId="0" fontId="7" fillId="0" borderId="0" xfId="0" applyFont="1" applyFill="1" applyAlignment="1">
      <alignment vertical="top"/>
    </xf>
    <xf numFmtId="168" fontId="7" fillId="0" borderId="0" xfId="54" applyNumberFormat="1" applyFont="1" applyFill="1" applyBorder="1" applyAlignment="1">
      <alignment vertical="top"/>
    </xf>
    <xf numFmtId="0" fontId="7" fillId="0" borderId="0" xfId="46" applyNumberFormat="1" applyFont="1" applyFill="1" applyAlignment="1">
      <alignment vertical="top"/>
    </xf>
    <xf numFmtId="0" fontId="7" fillId="0" borderId="0" xfId="104" applyFont="1" applyFill="1" applyAlignment="1">
      <alignment horizontal="left" vertical="top"/>
    </xf>
    <xf numFmtId="41" fontId="5" fillId="0" borderId="0" xfId="54" applyNumberFormat="1" applyFont="1" applyFill="1" applyBorder="1" applyAlignment="1">
      <alignment horizontal="center" vertical="center" wrapText="1"/>
    </xf>
    <xf numFmtId="0" fontId="7" fillId="0" borderId="0" xfId="0" applyFont="1" applyFill="1" applyAlignment="1">
      <alignment horizontal="center" vertical="center"/>
    </xf>
    <xf numFmtId="41" fontId="5" fillId="0" borderId="0" xfId="54" quotePrefix="1" applyNumberFormat="1" applyFont="1" applyFill="1" applyBorder="1" applyAlignment="1">
      <alignment horizontal="center" vertical="center" wrapText="1"/>
    </xf>
    <xf numFmtId="0" fontId="5" fillId="0" borderId="0" xfId="46" applyFont="1" applyFill="1" applyBorder="1" applyAlignment="1">
      <alignment horizontal="center" vertical="center" wrapText="1"/>
    </xf>
    <xf numFmtId="0" fontId="5" fillId="0" borderId="0" xfId="46" applyFont="1" applyFill="1" applyAlignment="1">
      <alignment vertical="top"/>
    </xf>
    <xf numFmtId="168" fontId="5" fillId="0" borderId="0" xfId="71" applyNumberFormat="1" applyFont="1" applyFill="1" applyAlignment="1">
      <alignment vertical="top"/>
    </xf>
    <xf numFmtId="168" fontId="5" fillId="0" borderId="0" xfId="71" applyNumberFormat="1" applyFont="1" applyFill="1" applyBorder="1" applyAlignment="1">
      <alignment vertical="top"/>
    </xf>
    <xf numFmtId="168" fontId="5" fillId="0" borderId="4" xfId="71" applyNumberFormat="1" applyFont="1" applyFill="1" applyBorder="1" applyAlignment="1">
      <alignment vertical="top"/>
    </xf>
    <xf numFmtId="0" fontId="5" fillId="0" borderId="0" xfId="104" applyFont="1" applyFill="1" applyAlignment="1">
      <alignment horizontal="center" vertical="top"/>
    </xf>
    <xf numFmtId="171" fontId="5" fillId="0" borderId="0" xfId="54" applyNumberFormat="1" applyFont="1" applyFill="1" applyAlignment="1">
      <alignment horizontal="center" vertical="top"/>
    </xf>
    <xf numFmtId="0" fontId="5" fillId="0" borderId="0" xfId="0" applyFont="1" applyFill="1" applyAlignment="1">
      <alignment vertical="top"/>
    </xf>
    <xf numFmtId="171" fontId="5" fillId="0" borderId="0" xfId="54" applyNumberFormat="1" applyFont="1" applyFill="1" applyBorder="1" applyAlignment="1">
      <alignment horizontal="center" vertical="top"/>
    </xf>
    <xf numFmtId="0" fontId="5" fillId="0" borderId="0" xfId="104" applyFont="1" applyFill="1" applyAlignment="1">
      <alignment vertical="top"/>
    </xf>
    <xf numFmtId="171" fontId="7" fillId="0" borderId="0" xfId="54" applyNumberFormat="1" applyFont="1" applyFill="1" applyAlignment="1">
      <alignment vertical="top"/>
    </xf>
    <xf numFmtId="171" fontId="7" fillId="0" borderId="0" xfId="54" applyNumberFormat="1" applyFont="1" applyFill="1" applyBorder="1" applyAlignment="1">
      <alignment vertical="top"/>
    </xf>
    <xf numFmtId="168" fontId="5" fillId="0" borderId="0" xfId="54" applyNumberFormat="1" applyFont="1" applyFill="1" applyAlignment="1">
      <alignment vertical="top"/>
    </xf>
    <xf numFmtId="168" fontId="5" fillId="0" borderId="0" xfId="0" applyNumberFormat="1" applyFont="1" applyFill="1" applyAlignment="1">
      <alignment vertical="top"/>
    </xf>
    <xf numFmtId="168" fontId="5" fillId="0" borderId="0" xfId="54" applyNumberFormat="1" applyFont="1" applyFill="1" applyBorder="1" applyAlignment="1">
      <alignment vertical="top"/>
    </xf>
    <xf numFmtId="0" fontId="7" fillId="0" borderId="0" xfId="104" applyNumberFormat="1" applyFont="1" applyFill="1" applyAlignment="1">
      <alignment vertical="top"/>
    </xf>
    <xf numFmtId="168" fontId="5" fillId="0" borderId="4" xfId="104" applyNumberFormat="1" applyFont="1" applyFill="1" applyBorder="1" applyAlignment="1">
      <alignment vertical="top"/>
    </xf>
    <xf numFmtId="171" fontId="7" fillId="0" borderId="0" xfId="46" applyNumberFormat="1" applyFont="1" applyFill="1" applyBorder="1" applyAlignment="1">
      <alignment horizontal="center" vertical="center" wrapText="1"/>
    </xf>
    <xf numFmtId="0" fontId="7" fillId="0" borderId="0" xfId="0" applyFont="1" applyFill="1" applyAlignment="1">
      <alignment vertical="center"/>
    </xf>
    <xf numFmtId="171" fontId="7" fillId="0" borderId="0" xfId="54" quotePrefix="1" applyNumberFormat="1" applyFont="1" applyFill="1" applyBorder="1" applyAlignment="1">
      <alignment horizontal="center" vertical="center" wrapText="1"/>
    </xf>
    <xf numFmtId="171" fontId="7" fillId="0" borderId="0" xfId="54" applyNumberFormat="1" applyFont="1" applyFill="1" applyBorder="1" applyAlignment="1">
      <alignment horizontal="center" vertical="center" wrapText="1"/>
    </xf>
    <xf numFmtId="171" fontId="7" fillId="0" borderId="0" xfId="104" applyNumberFormat="1" applyFont="1" applyFill="1" applyAlignment="1">
      <alignment vertical="top"/>
    </xf>
    <xf numFmtId="171" fontId="5" fillId="0" borderId="0" xfId="54" applyNumberFormat="1" applyFont="1" applyFill="1" applyBorder="1" applyAlignment="1">
      <alignment vertical="top"/>
    </xf>
    <xf numFmtId="168" fontId="7" fillId="0" borderId="0" xfId="71" applyNumberFormat="1" applyFont="1" applyFill="1" applyAlignment="1">
      <alignment vertical="top"/>
    </xf>
    <xf numFmtId="168" fontId="7" fillId="0" borderId="0" xfId="71" applyNumberFormat="1" applyFont="1" applyFill="1" applyBorder="1" applyAlignment="1">
      <alignment vertical="top"/>
    </xf>
    <xf numFmtId="0" fontId="7" fillId="0" borderId="0" xfId="104" applyFont="1" applyFill="1" applyBorder="1" applyAlignment="1">
      <alignment vertical="top"/>
    </xf>
    <xf numFmtId="168" fontId="7" fillId="0" borderId="4" xfId="71" applyNumberFormat="1" applyFont="1" applyFill="1" applyBorder="1" applyAlignment="1">
      <alignment vertical="top"/>
    </xf>
    <xf numFmtId="168" fontId="7" fillId="0" borderId="0" xfId="0" applyNumberFormat="1" applyFont="1" applyFill="1" applyAlignment="1">
      <alignment vertical="top"/>
    </xf>
    <xf numFmtId="168" fontId="7" fillId="0" borderId="4" xfId="104" applyNumberFormat="1" applyFont="1" applyFill="1" applyBorder="1" applyAlignment="1">
      <alignment vertical="top"/>
    </xf>
    <xf numFmtId="167" fontId="5" fillId="0" borderId="0" xfId="2" applyFont="1" applyFill="1" applyBorder="1"/>
    <xf numFmtId="0" fontId="5" fillId="0" borderId="0" xfId="105" quotePrefix="1" applyFont="1" applyFill="1" applyAlignment="1"/>
    <xf numFmtId="0" fontId="7" fillId="0" borderId="0" xfId="59" applyFont="1" applyFill="1" applyAlignment="1" applyProtection="1">
      <alignment horizontal="left" vertical="top" indent="1"/>
      <protection locked="0"/>
    </xf>
    <xf numFmtId="0" fontId="7" fillId="0" borderId="0" xfId="55" applyFont="1" applyFill="1" applyAlignment="1">
      <alignment horizontal="left" vertical="top" indent="1"/>
    </xf>
    <xf numFmtId="168" fontId="5" fillId="0" borderId="0" xfId="61" applyNumberFormat="1" applyFont="1" applyFill="1" applyBorder="1" applyAlignment="1">
      <alignment vertical="center"/>
    </xf>
    <xf numFmtId="43" fontId="5" fillId="0" borderId="0" xfId="92" applyFont="1" applyFill="1" applyBorder="1" applyAlignment="1">
      <alignment vertical="center"/>
    </xf>
    <xf numFmtId="0" fontId="7" fillId="0" borderId="0" xfId="1" applyFont="1" applyFill="1" applyBorder="1" applyAlignment="1">
      <alignment vertical="top" wrapText="1"/>
    </xf>
    <xf numFmtId="11" fontId="7" fillId="0" borderId="0" xfId="59" applyNumberFormat="1" applyFont="1" applyFill="1" applyAlignment="1" applyProtection="1">
      <alignment vertical="top"/>
    </xf>
    <xf numFmtId="0" fontId="7" fillId="0" borderId="0" xfId="96" applyFont="1" applyFill="1" applyAlignment="1">
      <alignment vertical="center"/>
    </xf>
    <xf numFmtId="0" fontId="19" fillId="0" borderId="0" xfId="100" applyFont="1" applyFill="1" applyAlignment="1" applyProtection="1">
      <alignment vertical="top"/>
    </xf>
    <xf numFmtId="1" fontId="5" fillId="0" borderId="0" xfId="100" quotePrefix="1" applyNumberFormat="1" applyFont="1" applyFill="1" applyAlignment="1" applyProtection="1">
      <alignment horizontal="left" vertical="top"/>
    </xf>
    <xf numFmtId="0" fontId="5" fillId="0" borderId="0" xfId="100" applyFont="1" applyFill="1" applyAlignment="1" applyProtection="1">
      <alignment horizontal="left" vertical="top"/>
    </xf>
    <xf numFmtId="177" fontId="5" fillId="0" borderId="0" xfId="1" quotePrefix="1" applyNumberFormat="1" applyFont="1" applyFill="1" applyAlignment="1" applyProtection="1">
      <alignment horizontal="right" vertical="top"/>
      <protection locked="0"/>
    </xf>
    <xf numFmtId="0" fontId="7" fillId="0" borderId="0" xfId="96" applyFont="1" applyFill="1" applyProtection="1"/>
    <xf numFmtId="10" fontId="51" fillId="0" borderId="0" xfId="4" applyNumberFormat="1" applyFont="1" applyFill="1" applyBorder="1" applyAlignment="1"/>
    <xf numFmtId="168" fontId="5" fillId="0" borderId="4" xfId="26" applyNumberFormat="1" applyFont="1" applyFill="1" applyBorder="1" applyAlignment="1">
      <alignment horizontal="center" vertical="top"/>
    </xf>
    <xf numFmtId="0" fontId="5" fillId="0" borderId="0" xfId="55" applyFont="1" applyFill="1" applyBorder="1" applyAlignment="1">
      <alignment vertical="top"/>
    </xf>
    <xf numFmtId="0" fontId="5" fillId="0" borderId="0" xfId="55" applyFont="1" applyFill="1" applyBorder="1" applyAlignment="1">
      <alignment horizontal="left" vertical="top" indent="1"/>
    </xf>
    <xf numFmtId="168" fontId="44" fillId="0" borderId="0" xfId="2" applyNumberFormat="1" applyFont="1" applyFill="1" applyBorder="1" applyAlignment="1"/>
    <xf numFmtId="168" fontId="51" fillId="0" borderId="0" xfId="2" applyNumberFormat="1" applyFont="1" applyFill="1" applyBorder="1" applyAlignment="1"/>
    <xf numFmtId="0" fontId="5" fillId="0" borderId="0" xfId="23" applyFont="1" applyFill="1" applyAlignment="1">
      <alignment horizontal="centerContinuous" vertical="top" readingOrder="1"/>
    </xf>
    <xf numFmtId="0" fontId="7" fillId="0" borderId="0" xfId="55" applyFont="1" applyFill="1" applyBorder="1" applyAlignment="1">
      <alignment horizontal="justify" vertical="top"/>
    </xf>
    <xf numFmtId="185" fontId="7" fillId="0" borderId="0" xfId="55" applyNumberFormat="1" applyFont="1" applyFill="1" applyBorder="1" applyAlignment="1">
      <alignment horizontal="left" vertical="top"/>
    </xf>
    <xf numFmtId="168" fontId="7" fillId="0" borderId="0" xfId="26" applyNumberFormat="1" applyFont="1" applyFill="1" applyBorder="1" applyAlignment="1">
      <alignment horizontal="center" vertical="top"/>
    </xf>
    <xf numFmtId="168" fontId="5" fillId="0" borderId="0" xfId="26" applyNumberFormat="1" applyFont="1" applyFill="1" applyBorder="1" applyAlignment="1">
      <alignment horizontal="center" vertical="top"/>
    </xf>
    <xf numFmtId="168" fontId="5" fillId="0" borderId="8" xfId="26" applyNumberFormat="1" applyFont="1" applyFill="1" applyBorder="1" applyAlignment="1">
      <alignment horizontal="center" vertical="top"/>
    </xf>
    <xf numFmtId="168" fontId="7" fillId="0" borderId="8" xfId="26" applyNumberFormat="1" applyFont="1" applyFill="1" applyBorder="1" applyAlignment="1">
      <alignment horizontal="center" vertical="top"/>
    </xf>
    <xf numFmtId="0" fontId="7" fillId="0" borderId="0" xfId="55" applyFont="1" applyFill="1" applyBorder="1" applyAlignment="1">
      <alignment horizontal="left" vertical="top" indent="1"/>
    </xf>
    <xf numFmtId="168" fontId="7" fillId="0" borderId="4" xfId="26" applyNumberFormat="1" applyFont="1" applyFill="1" applyBorder="1" applyAlignment="1">
      <alignment horizontal="center" vertical="top"/>
    </xf>
    <xf numFmtId="0" fontId="7" fillId="0" borderId="0" xfId="1" applyFont="1" applyFill="1" applyAlignment="1" applyProtection="1">
      <alignment horizontal="left" vertical="top" indent="2"/>
    </xf>
    <xf numFmtId="168" fontId="5" fillId="0" borderId="0" xfId="2" applyNumberFormat="1" applyFont="1" applyFill="1" applyBorder="1" applyAlignment="1">
      <alignment horizontal="center" vertical="top"/>
    </xf>
    <xf numFmtId="0" fontId="20" fillId="0" borderId="0" xfId="100" applyFont="1" applyFill="1" applyAlignment="1" applyProtection="1">
      <alignment vertical="top"/>
    </xf>
    <xf numFmtId="167" fontId="7" fillId="0" borderId="0" xfId="65" applyNumberFormat="1" applyFont="1" applyFill="1" applyBorder="1" applyAlignment="1">
      <alignment horizontal="center" vertical="top"/>
    </xf>
    <xf numFmtId="177" fontId="5" fillId="0" borderId="0" xfId="28" quotePrefix="1" applyNumberFormat="1" applyFont="1" applyFill="1" applyAlignment="1">
      <alignment horizontal="left" vertical="top"/>
    </xf>
    <xf numFmtId="0" fontId="7" fillId="0" borderId="0" xfId="96" applyNumberFormat="1" applyFont="1" applyFill="1" applyAlignment="1"/>
    <xf numFmtId="0" fontId="0" fillId="0" borderId="0" xfId="0" applyFill="1" applyAlignment="1">
      <alignment vertical="top"/>
    </xf>
    <xf numFmtId="0" fontId="7" fillId="0" borderId="0" xfId="73" applyFont="1" applyFill="1" applyAlignment="1">
      <alignment vertical="top"/>
    </xf>
    <xf numFmtId="0" fontId="7" fillId="0" borderId="0" xfId="56" quotePrefix="1" applyNumberFormat="1" applyFont="1" applyFill="1" applyAlignment="1">
      <alignment horizontal="left" vertical="top" indent="1"/>
    </xf>
    <xf numFmtId="0" fontId="7" fillId="0" borderId="0" xfId="1" quotePrefix="1" applyNumberFormat="1" applyFont="1" applyFill="1" applyAlignment="1" applyProtection="1">
      <alignment horizontal="left" indent="1"/>
      <protection locked="0"/>
    </xf>
    <xf numFmtId="0" fontId="7" fillId="0" borderId="0" xfId="56" applyNumberFormat="1" applyFont="1" applyFill="1" applyAlignment="1">
      <alignment horizontal="left" vertical="top" indent="2"/>
    </xf>
    <xf numFmtId="0" fontId="7" fillId="0" borderId="0" xfId="104" applyFont="1" applyFill="1" applyAlignment="1">
      <alignment horizontal="left" vertical="top" indent="1"/>
    </xf>
    <xf numFmtId="0" fontId="20" fillId="0" borderId="0" xfId="1" applyFont="1" applyFill="1" applyAlignment="1">
      <alignment vertical="center"/>
    </xf>
    <xf numFmtId="0" fontId="19" fillId="0" borderId="0" xfId="1" applyFont="1" applyFill="1" applyAlignment="1">
      <alignment vertical="center"/>
    </xf>
    <xf numFmtId="0" fontId="7" fillId="0" borderId="0" xfId="1" applyFont="1" applyFill="1" applyAlignment="1">
      <alignment horizontal="center" vertical="center"/>
    </xf>
    <xf numFmtId="168" fontId="19" fillId="0" borderId="0" xfId="1" applyNumberFormat="1" applyFont="1" applyFill="1" applyAlignment="1">
      <alignment vertical="center"/>
    </xf>
    <xf numFmtId="168" fontId="19" fillId="0" borderId="0" xfId="2" applyNumberFormat="1" applyFont="1" applyFill="1" applyAlignment="1">
      <alignment vertical="center"/>
    </xf>
    <xf numFmtId="0" fontId="19" fillId="0" borderId="0" xfId="1" applyFont="1" applyFill="1" applyAlignment="1">
      <alignment horizontal="center" vertical="center"/>
    </xf>
    <xf numFmtId="0" fontId="19" fillId="0" borderId="0" xfId="1" applyFont="1" applyFill="1" applyBorder="1" applyAlignment="1">
      <alignment vertical="center"/>
    </xf>
    <xf numFmtId="0" fontId="36" fillId="0" borderId="0" xfId="42" applyFont="1" applyFill="1" applyAlignment="1">
      <alignment vertical="center"/>
    </xf>
    <xf numFmtId="41" fontId="8" fillId="0" borderId="0" xfId="45" applyNumberFormat="1" applyFont="1" applyFill="1" applyBorder="1" applyAlignment="1">
      <alignment vertical="center"/>
    </xf>
    <xf numFmtId="0" fontId="6" fillId="0" borderId="0" xfId="42" applyFont="1" applyFill="1" applyAlignment="1">
      <alignment vertical="center"/>
    </xf>
    <xf numFmtId="0" fontId="6" fillId="0" borderId="0" xfId="42" applyFont="1" applyFill="1" applyBorder="1" applyAlignment="1">
      <alignment vertical="center"/>
    </xf>
    <xf numFmtId="167" fontId="24" fillId="0" borderId="0" xfId="45" applyNumberFormat="1" applyFont="1" applyFill="1" applyAlignment="1">
      <alignment vertical="center"/>
    </xf>
    <xf numFmtId="167" fontId="24" fillId="0" borderId="0" xfId="42" applyNumberFormat="1" applyFont="1" applyFill="1" applyAlignment="1">
      <alignment vertical="center"/>
    </xf>
    <xf numFmtId="0" fontId="24" fillId="0" borderId="0" xfId="42" applyFont="1" applyFill="1" applyAlignment="1">
      <alignment vertical="center"/>
    </xf>
    <xf numFmtId="182" fontId="22" fillId="0" borderId="0" xfId="42" applyNumberFormat="1" applyFont="1" applyFill="1" applyBorder="1" applyAlignment="1">
      <alignment horizontal="left" vertical="center"/>
    </xf>
    <xf numFmtId="0" fontId="40" fillId="0" borderId="0" xfId="42" applyFont="1" applyFill="1" applyAlignment="1">
      <alignment vertical="center"/>
    </xf>
    <xf numFmtId="10" fontId="24" fillId="0" borderId="0" xfId="4" applyNumberFormat="1" applyFont="1" applyFill="1" applyBorder="1" applyAlignment="1">
      <alignment vertical="center"/>
    </xf>
    <xf numFmtId="0" fontId="24" fillId="0" borderId="0" xfId="42" applyFont="1" applyFill="1" applyBorder="1" applyAlignment="1">
      <alignment vertical="center"/>
    </xf>
    <xf numFmtId="168" fontId="6" fillId="0" borderId="0" xfId="46" applyNumberFormat="1" applyFont="1" applyFill="1" applyBorder="1" applyAlignment="1">
      <alignment vertical="center"/>
    </xf>
    <xf numFmtId="0" fontId="68" fillId="0" borderId="0" xfId="96" applyFont="1" applyFill="1"/>
    <xf numFmtId="0" fontId="5" fillId="0" borderId="0" xfId="61" applyNumberFormat="1" applyFont="1" applyFill="1" applyAlignment="1">
      <alignment horizontal="left" vertical="center"/>
    </xf>
    <xf numFmtId="0" fontId="5" fillId="0" borderId="0" xfId="61" applyNumberFormat="1" applyFont="1" applyFill="1" applyAlignment="1">
      <alignment vertical="top"/>
    </xf>
    <xf numFmtId="196" fontId="7" fillId="0" borderId="0" xfId="114" applyNumberFormat="1" applyFont="1" applyFill="1" applyAlignment="1">
      <alignment vertical="top"/>
    </xf>
    <xf numFmtId="0" fontId="7" fillId="0" borderId="0" xfId="96" applyFont="1" applyFill="1"/>
    <xf numFmtId="0" fontId="7" fillId="0" borderId="0" xfId="61" applyNumberFormat="1" applyFont="1" applyFill="1" applyAlignment="1">
      <alignment vertical="top" wrapText="1"/>
    </xf>
    <xf numFmtId="0" fontId="7" fillId="0" borderId="0" xfId="96" applyFont="1" applyFill="1" applyBorder="1" applyAlignment="1">
      <alignment horizontal="left" vertical="top" wrapText="1"/>
    </xf>
    <xf numFmtId="0" fontId="7" fillId="0" borderId="0" xfId="96" applyFont="1" applyFill="1" applyBorder="1" applyAlignment="1">
      <alignment vertical="top" wrapText="1"/>
    </xf>
    <xf numFmtId="168" fontId="68" fillId="0" borderId="0" xfId="96" applyNumberFormat="1" applyFont="1" applyFill="1"/>
    <xf numFmtId="168" fontId="7" fillId="0" borderId="0" xfId="116" applyNumberFormat="1" applyFont="1" applyFill="1" applyAlignment="1">
      <alignment vertical="top"/>
    </xf>
    <xf numFmtId="0" fontId="7" fillId="0" borderId="0" xfId="96" applyFont="1" applyFill="1" applyAlignment="1">
      <alignment vertical="top"/>
    </xf>
    <xf numFmtId="0" fontId="32" fillId="0" borderId="0" xfId="96" applyFont="1" applyFill="1" applyAlignment="1">
      <alignment vertical="top"/>
    </xf>
    <xf numFmtId="0" fontId="5" fillId="0" borderId="0" xfId="96" applyFont="1" applyFill="1" applyAlignment="1">
      <alignment horizontal="left" vertical="top"/>
    </xf>
    <xf numFmtId="43" fontId="68" fillId="0" borderId="0" xfId="96" applyNumberFormat="1" applyFont="1" applyFill="1"/>
    <xf numFmtId="43" fontId="7" fillId="0" borderId="0" xfId="92" applyFont="1" applyFill="1" applyBorder="1" applyAlignment="1" applyProtection="1">
      <alignment vertical="top"/>
    </xf>
    <xf numFmtId="43" fontId="7" fillId="0" borderId="4" xfId="92" applyFont="1" applyFill="1" applyBorder="1" applyAlignment="1" applyProtection="1">
      <alignment vertical="center"/>
    </xf>
    <xf numFmtId="0" fontId="12" fillId="0" borderId="0" xfId="1" applyFont="1" applyFill="1" applyAlignment="1">
      <alignment vertical="top"/>
    </xf>
    <xf numFmtId="0" fontId="19" fillId="0" borderId="0" xfId="1" applyFont="1" applyFill="1" applyAlignment="1">
      <alignment horizontal="left" vertical="top"/>
    </xf>
    <xf numFmtId="168" fontId="12" fillId="0" borderId="0" xfId="2" applyNumberFormat="1" applyFont="1" applyFill="1" applyAlignment="1">
      <alignment vertical="top"/>
    </xf>
    <xf numFmtId="37" fontId="19" fillId="0" borderId="0" xfId="1" applyNumberFormat="1" applyFont="1" applyFill="1" applyAlignment="1">
      <alignment vertical="top"/>
    </xf>
    <xf numFmtId="168" fontId="12" fillId="0" borderId="0" xfId="1" applyNumberFormat="1" applyFont="1" applyFill="1" applyAlignment="1">
      <alignment vertical="top"/>
    </xf>
    <xf numFmtId="0" fontId="12" fillId="0" borderId="0" xfId="1" quotePrefix="1" applyFont="1" applyFill="1" applyAlignment="1">
      <alignment vertical="top"/>
    </xf>
    <xf numFmtId="168" fontId="12" fillId="0" borderId="0" xfId="1" applyNumberFormat="1" applyFont="1" applyFill="1" applyAlignment="1">
      <alignment vertical="center"/>
    </xf>
    <xf numFmtId="0" fontId="12" fillId="0" borderId="0" xfId="1" applyFont="1" applyFill="1" applyAlignment="1">
      <alignment vertical="center"/>
    </xf>
    <xf numFmtId="168" fontId="20" fillId="0" borderId="0" xfId="1" applyNumberFormat="1" applyFont="1" applyFill="1" applyAlignment="1">
      <alignment vertical="top"/>
    </xf>
    <xf numFmtId="168" fontId="12" fillId="0" borderId="0" xfId="92" applyNumberFormat="1" applyFont="1" applyFill="1" applyAlignment="1">
      <alignment vertical="top"/>
    </xf>
    <xf numFmtId="0" fontId="12" fillId="0" borderId="0" xfId="1" applyFont="1" applyFill="1" applyBorder="1" applyAlignment="1">
      <alignment vertical="top"/>
    </xf>
    <xf numFmtId="0" fontId="11" fillId="0" borderId="0" xfId="1" applyFont="1" applyFill="1" applyAlignment="1">
      <alignment vertical="top"/>
    </xf>
    <xf numFmtId="0" fontId="11" fillId="0" borderId="0" xfId="1" applyFont="1" applyFill="1" applyBorder="1" applyAlignment="1">
      <alignment vertical="top"/>
    </xf>
    <xf numFmtId="168" fontId="5" fillId="0" borderId="0" xfId="2" applyNumberFormat="1" applyFont="1" applyFill="1" applyAlignment="1">
      <alignment horizontal="center"/>
    </xf>
    <xf numFmtId="168" fontId="5" fillId="0" borderId="0" xfId="2" applyNumberFormat="1" applyFont="1" applyFill="1" applyAlignment="1">
      <alignment horizontal="center"/>
    </xf>
    <xf numFmtId="168" fontId="5" fillId="0" borderId="5" xfId="2" applyNumberFormat="1" applyFont="1" applyFill="1" applyBorder="1" applyAlignment="1">
      <alignment horizontal="center"/>
    </xf>
    <xf numFmtId="168" fontId="5" fillId="0" borderId="6" xfId="2" applyNumberFormat="1" applyFont="1" applyFill="1" applyBorder="1" applyAlignment="1">
      <alignment horizontal="center"/>
    </xf>
    <xf numFmtId="191" fontId="0" fillId="0" borderId="0" xfId="0" applyNumberFormat="1" applyFont="1" applyFill="1" applyAlignment="1">
      <alignment horizontal="left"/>
    </xf>
    <xf numFmtId="191" fontId="0" fillId="0" borderId="0" xfId="0" applyNumberFormat="1" applyFont="1" applyFill="1" applyBorder="1" applyAlignment="1">
      <alignment horizontal="left" wrapText="1"/>
    </xf>
    <xf numFmtId="164" fontId="0" fillId="0" borderId="0" xfId="0" applyNumberFormat="1" applyFont="1" applyFill="1" applyAlignment="1">
      <alignment horizontal="left"/>
    </xf>
    <xf numFmtId="164" fontId="0" fillId="0" borderId="0" xfId="0" applyNumberFormat="1" applyFont="1" applyFill="1" applyBorder="1" applyAlignment="1">
      <alignment horizontal="left" wrapText="1"/>
    </xf>
    <xf numFmtId="191" fontId="1" fillId="0" borderId="0" xfId="0" applyNumberFormat="1" applyFont="1" applyFill="1" applyAlignment="1">
      <alignment horizontal="left"/>
    </xf>
    <xf numFmtId="164" fontId="1" fillId="0" borderId="0" xfId="0" applyNumberFormat="1" applyFont="1" applyFill="1" applyAlignment="1">
      <alignment horizontal="left"/>
    </xf>
    <xf numFmtId="37" fontId="0" fillId="0" borderId="1" xfId="0" applyNumberFormat="1" applyFont="1" applyFill="1" applyBorder="1" applyAlignment="1">
      <alignment horizontal="right"/>
    </xf>
    <xf numFmtId="168" fontId="5" fillId="0" borderId="7" xfId="2" applyNumberFormat="1" applyFont="1" applyFill="1" applyBorder="1" applyAlignment="1">
      <alignment horizontal="center"/>
    </xf>
    <xf numFmtId="43" fontId="7" fillId="0" borderId="0" xfId="1" applyNumberFormat="1" applyFont="1" applyFill="1" applyAlignment="1">
      <alignment vertical="top"/>
    </xf>
    <xf numFmtId="168" fontId="5" fillId="0" borderId="0" xfId="2" applyNumberFormat="1" applyFont="1" applyFill="1" applyAlignment="1">
      <alignment horizontal="center"/>
    </xf>
    <xf numFmtId="43" fontId="19" fillId="0" borderId="0" xfId="92" applyFont="1" applyFill="1" applyAlignment="1">
      <alignment vertical="top"/>
    </xf>
    <xf numFmtId="168" fontId="5" fillId="0" borderId="0" xfId="2" applyNumberFormat="1" applyFont="1" applyFill="1" applyAlignment="1">
      <alignment horizontal="justify" vertical="top" wrapText="1"/>
    </xf>
    <xf numFmtId="168" fontId="5" fillId="0" borderId="4" xfId="2" applyNumberFormat="1" applyFont="1" applyFill="1" applyBorder="1" applyAlignment="1">
      <alignment horizontal="justify" vertical="center" wrapText="1"/>
    </xf>
    <xf numFmtId="43" fontId="44" fillId="0" borderId="0" xfId="2" applyNumberFormat="1" applyFont="1" applyFill="1" applyBorder="1"/>
    <xf numFmtId="168" fontId="5" fillId="0" borderId="6" xfId="2" applyNumberFormat="1" applyFont="1" applyFill="1" applyBorder="1"/>
    <xf numFmtId="176" fontId="7" fillId="0" borderId="0" xfId="6" quotePrefix="1" applyNumberFormat="1" applyFont="1" applyFill="1" applyBorder="1" applyAlignment="1" applyProtection="1">
      <alignment horizontal="center" vertical="center"/>
    </xf>
    <xf numFmtId="168" fontId="5" fillId="0" borderId="5" xfId="2" applyNumberFormat="1" applyFont="1" applyFill="1" applyBorder="1"/>
    <xf numFmtId="49" fontId="0" fillId="3" borderId="0" xfId="0" applyNumberFormat="1" applyFont="1" applyFill="1" applyAlignment="1">
      <alignment horizontal="left"/>
    </xf>
    <xf numFmtId="168" fontId="5" fillId="0" borderId="7" xfId="2" applyNumberFormat="1" applyFont="1" applyFill="1" applyBorder="1"/>
    <xf numFmtId="168" fontId="5" fillId="0" borderId="0" xfId="9" applyNumberFormat="1" applyFont="1" applyFill="1" applyBorder="1" applyAlignment="1">
      <alignment vertical="top"/>
    </xf>
    <xf numFmtId="168" fontId="5" fillId="0" borderId="0" xfId="9" applyNumberFormat="1" applyFont="1" applyFill="1" applyBorder="1" applyAlignment="1">
      <alignment horizontal="center" vertical="top"/>
    </xf>
    <xf numFmtId="168" fontId="5" fillId="0" borderId="4" xfId="9" applyNumberFormat="1" applyFont="1" applyFill="1" applyBorder="1" applyAlignment="1" applyProtection="1">
      <alignment vertical="center"/>
    </xf>
    <xf numFmtId="168" fontId="33" fillId="0" borderId="0" xfId="2" quotePrefix="1" applyNumberFormat="1" applyFont="1" applyFill="1" applyAlignment="1">
      <alignment vertical="top"/>
    </xf>
    <xf numFmtId="168" fontId="33" fillId="0" borderId="4" xfId="2" quotePrefix="1" applyNumberFormat="1" applyFont="1" applyFill="1" applyBorder="1" applyAlignment="1">
      <alignment horizontal="justify" vertical="center"/>
    </xf>
    <xf numFmtId="168" fontId="7" fillId="0" borderId="5" xfId="2" applyNumberFormat="1" applyFont="1" applyFill="1" applyBorder="1"/>
    <xf numFmtId="168" fontId="7" fillId="0" borderId="6" xfId="2" applyNumberFormat="1" applyFont="1" applyFill="1" applyBorder="1"/>
    <xf numFmtId="168" fontId="7" fillId="0" borderId="7" xfId="2" applyNumberFormat="1" applyFont="1" applyFill="1" applyBorder="1"/>
    <xf numFmtId="168" fontId="33" fillId="0" borderId="1" xfId="2" quotePrefix="1" applyNumberFormat="1" applyFont="1" applyFill="1" applyBorder="1" applyAlignment="1">
      <alignment horizontal="justify" vertical="top"/>
    </xf>
    <xf numFmtId="168" fontId="33" fillId="0" borderId="4" xfId="2" applyNumberFormat="1" applyFont="1" applyFill="1" applyBorder="1" applyAlignment="1">
      <alignment vertical="center"/>
    </xf>
    <xf numFmtId="168" fontId="7" fillId="0" borderId="1" xfId="2" applyNumberFormat="1" applyFont="1" applyFill="1" applyBorder="1"/>
    <xf numFmtId="167" fontId="5" fillId="0" borderId="0" xfId="15" applyFont="1" applyFill="1"/>
    <xf numFmtId="167" fontId="5" fillId="0" borderId="0" xfId="15" applyFont="1" applyFill="1" applyProtection="1">
      <protection locked="0"/>
    </xf>
    <xf numFmtId="167" fontId="5" fillId="0" borderId="0" xfId="15" applyFont="1" applyFill="1" applyBorder="1" applyProtection="1">
      <protection locked="0"/>
    </xf>
    <xf numFmtId="43" fontId="5" fillId="0" borderId="0" xfId="13" applyNumberFormat="1" applyFont="1" applyFill="1" applyBorder="1" applyAlignment="1">
      <alignment horizontal="left" vertical="top"/>
    </xf>
    <xf numFmtId="169" fontId="7" fillId="0" borderId="0" xfId="92" applyNumberFormat="1" applyFont="1" applyFill="1" applyBorder="1" applyAlignment="1" applyProtection="1">
      <alignment vertical="top"/>
      <protection locked="0"/>
    </xf>
    <xf numFmtId="43" fontId="7" fillId="0" borderId="0" xfId="2" applyNumberFormat="1" applyFont="1" applyFill="1" applyBorder="1" applyAlignment="1" applyProtection="1">
      <alignment vertical="top"/>
      <protection locked="0"/>
    </xf>
    <xf numFmtId="168" fontId="7" fillId="0" borderId="0" xfId="92" applyNumberFormat="1" applyFont="1" applyFill="1" applyBorder="1" applyAlignment="1" applyProtection="1">
      <alignment vertical="top"/>
      <protection locked="0"/>
    </xf>
    <xf numFmtId="168" fontId="5" fillId="0" borderId="0" xfId="2" applyNumberFormat="1" applyFont="1" applyFill="1" applyBorder="1" applyAlignment="1" applyProtection="1">
      <alignment vertical="top"/>
      <protection locked="0"/>
    </xf>
    <xf numFmtId="167" fontId="5" fillId="0" borderId="6" xfId="15" applyFont="1" applyFill="1" applyBorder="1"/>
    <xf numFmtId="167" fontId="5" fillId="0" borderId="5" xfId="15" applyFont="1" applyFill="1" applyBorder="1"/>
    <xf numFmtId="167" fontId="5" fillId="0" borderId="7" xfId="15" applyFont="1" applyFill="1" applyBorder="1"/>
    <xf numFmtId="167" fontId="5" fillId="0" borderId="2" xfId="15" applyFont="1" applyFill="1" applyBorder="1"/>
    <xf numFmtId="169" fontId="5" fillId="0" borderId="1" xfId="12" applyNumberFormat="1" applyFont="1" applyFill="1" applyBorder="1" applyAlignment="1">
      <alignment vertical="top"/>
    </xf>
    <xf numFmtId="169" fontId="5" fillId="0" borderId="0" xfId="11" applyNumberFormat="1" applyFont="1" applyFill="1" applyAlignment="1">
      <alignment vertical="top"/>
      <protection locked="0"/>
    </xf>
    <xf numFmtId="4" fontId="7" fillId="0" borderId="0" xfId="11" applyNumberFormat="1" applyFont="1" applyFill="1" applyAlignment="1">
      <alignment vertical="top"/>
      <protection locked="0"/>
    </xf>
    <xf numFmtId="3" fontId="7" fillId="0" borderId="0" xfId="11" applyNumberFormat="1" applyFont="1" applyFill="1" applyAlignment="1">
      <alignment vertical="top"/>
      <protection locked="0"/>
    </xf>
    <xf numFmtId="4" fontId="5" fillId="0" borderId="0" xfId="11" applyNumberFormat="1" applyFont="1" applyFill="1" applyAlignment="1">
      <alignment vertical="top"/>
      <protection locked="0"/>
    </xf>
    <xf numFmtId="168" fontId="7" fillId="0" borderId="0" xfId="92" applyNumberFormat="1" applyFont="1" applyFill="1" applyAlignment="1" applyProtection="1">
      <alignment vertical="top"/>
      <protection locked="0"/>
    </xf>
    <xf numFmtId="197" fontId="7" fillId="0" borderId="0" xfId="11" applyNumberFormat="1" applyFont="1" applyFill="1" applyAlignment="1">
      <alignment vertical="top"/>
      <protection locked="0"/>
    </xf>
    <xf numFmtId="43" fontId="7" fillId="0" borderId="0" xfId="11" applyNumberFormat="1" applyFont="1" applyFill="1" applyAlignment="1">
      <alignment vertical="top"/>
      <protection locked="0"/>
    </xf>
    <xf numFmtId="37" fontId="19" fillId="0" borderId="0" xfId="1" quotePrefix="1" applyNumberFormat="1" applyFont="1" applyFill="1" applyAlignment="1">
      <alignment vertical="top"/>
    </xf>
    <xf numFmtId="3" fontId="7" fillId="0" borderId="0" xfId="12" applyNumberFormat="1" applyFont="1" applyFill="1" applyBorder="1" applyAlignment="1" applyProtection="1">
      <alignment vertical="top"/>
      <protection locked="0"/>
    </xf>
    <xf numFmtId="172" fontId="7" fillId="0" borderId="8" xfId="12" applyNumberFormat="1" applyFont="1" applyFill="1" applyBorder="1" applyAlignment="1" applyProtection="1">
      <alignment vertical="top"/>
      <protection locked="0"/>
    </xf>
    <xf numFmtId="172" fontId="7" fillId="0" borderId="4" xfId="12" applyNumberFormat="1" applyFont="1" applyFill="1" applyBorder="1" applyAlignment="1" applyProtection="1">
      <alignment vertical="top"/>
      <protection locked="0"/>
    </xf>
    <xf numFmtId="43" fontId="7" fillId="0" borderId="0" xfId="92" applyNumberFormat="1" applyFont="1" applyFill="1"/>
    <xf numFmtId="0" fontId="72" fillId="0" borderId="0" xfId="1" applyFont="1" applyFill="1"/>
    <xf numFmtId="168" fontId="8" fillId="0" borderId="4" xfId="1" applyNumberFormat="1" applyFont="1" applyFill="1" applyBorder="1"/>
    <xf numFmtId="0" fontId="72" fillId="0" borderId="0" xfId="1" applyFont="1" applyFill="1" applyAlignment="1">
      <alignment horizontal="center"/>
    </xf>
    <xf numFmtId="0" fontId="72" fillId="0" borderId="0" xfId="1" applyFont="1" applyFill="1" applyAlignment="1">
      <alignment horizontal="left"/>
    </xf>
    <xf numFmtId="0" fontId="72" fillId="0" borderId="0" xfId="1" applyFont="1" applyFill="1" applyAlignment="1">
      <alignment horizontal="center" vertical="top"/>
    </xf>
    <xf numFmtId="168" fontId="11" fillId="0" borderId="4" xfId="1" applyNumberFormat="1" applyFont="1" applyFill="1" applyBorder="1" applyAlignment="1">
      <alignment vertical="top"/>
    </xf>
    <xf numFmtId="0" fontId="11" fillId="0" borderId="0" xfId="1" applyFont="1" applyFill="1" applyAlignment="1">
      <alignment horizontal="center" vertical="center"/>
    </xf>
    <xf numFmtId="0" fontId="72" fillId="0" borderId="0" xfId="1" applyFont="1" applyFill="1" applyAlignment="1">
      <alignment horizontal="left" vertical="top"/>
    </xf>
    <xf numFmtId="168" fontId="73" fillId="0" borderId="14" xfId="2" applyNumberFormat="1" applyFont="1" applyFill="1" applyBorder="1" applyAlignment="1" applyProtection="1">
      <alignment horizontal="center"/>
      <protection locked="0"/>
    </xf>
    <xf numFmtId="168" fontId="74" fillId="0" borderId="14" xfId="2" applyNumberFormat="1" applyFont="1" applyFill="1" applyBorder="1" applyAlignment="1" applyProtection="1">
      <alignment horizontal="center" vertical="center"/>
      <protection locked="0"/>
    </xf>
    <xf numFmtId="0" fontId="75" fillId="0" borderId="0" xfId="1" applyFont="1" applyFill="1" applyAlignment="1">
      <alignment vertical="top"/>
    </xf>
    <xf numFmtId="168" fontId="5" fillId="0" borderId="1" xfId="2" applyNumberFormat="1" applyFont="1" applyFill="1" applyBorder="1"/>
    <xf numFmtId="168" fontId="20" fillId="0" borderId="4" xfId="2" applyNumberFormat="1" applyFont="1" applyFill="1" applyBorder="1" applyAlignment="1">
      <alignment vertical="center"/>
    </xf>
    <xf numFmtId="168" fontId="20" fillId="0" borderId="5" xfId="2" applyNumberFormat="1" applyFont="1" applyFill="1" applyBorder="1" applyAlignment="1">
      <alignment vertical="top"/>
    </xf>
    <xf numFmtId="168" fontId="20" fillId="0" borderId="7" xfId="2" applyNumberFormat="1" applyFont="1" applyFill="1" applyBorder="1" applyAlignment="1">
      <alignment vertical="top"/>
    </xf>
    <xf numFmtId="43" fontId="6" fillId="0" borderId="0" xfId="92" applyFont="1" applyFill="1" applyBorder="1" applyAlignment="1">
      <alignment vertical="top"/>
    </xf>
    <xf numFmtId="0" fontId="3" fillId="0" borderId="0" xfId="1" applyFill="1" applyAlignment="1">
      <alignment vertical="top" wrapText="1"/>
    </xf>
    <xf numFmtId="0" fontId="0" fillId="0" borderId="0" xfId="0" applyFill="1" applyAlignment="1">
      <alignment horizontal="left" vertical="top"/>
    </xf>
    <xf numFmtId="0" fontId="5" fillId="0" borderId="0" xfId="93" applyNumberFormat="1" applyFont="1" applyFill="1" applyBorder="1" applyAlignment="1" applyProtection="1">
      <alignment horizontal="center" vertical="top" wrapText="1"/>
      <protection locked="0"/>
    </xf>
    <xf numFmtId="0" fontId="5" fillId="0" borderId="0" xfId="93" applyNumberFormat="1" applyFont="1" applyFill="1" applyBorder="1" applyAlignment="1" applyProtection="1">
      <alignment horizontal="center" vertical="top"/>
      <protection locked="0"/>
    </xf>
    <xf numFmtId="168" fontId="5" fillId="0" borderId="0" xfId="116" quotePrefix="1" applyNumberFormat="1" applyFont="1" applyFill="1" applyBorder="1" applyAlignment="1">
      <alignment horizontal="center"/>
    </xf>
    <xf numFmtId="168" fontId="5" fillId="0" borderId="0" xfId="116" applyNumberFormat="1" applyFont="1" applyFill="1" applyBorder="1" applyAlignment="1">
      <alignment horizontal="center"/>
    </xf>
    <xf numFmtId="0" fontId="7" fillId="0" borderId="0" xfId="96" applyFont="1" applyFill="1" applyBorder="1" applyAlignment="1"/>
    <xf numFmtId="0" fontId="7" fillId="0" borderId="0" xfId="96" applyFont="1" applyFill="1" applyAlignment="1"/>
    <xf numFmtId="0" fontId="7" fillId="0" borderId="0" xfId="96" applyFont="1" applyFill="1" applyBorder="1"/>
    <xf numFmtId="168" fontId="5" fillId="0" borderId="0" xfId="116" quotePrefix="1" applyNumberFormat="1" applyFont="1" applyFill="1" applyBorder="1" applyAlignment="1">
      <alignment horizontal="center" vertical="top"/>
    </xf>
    <xf numFmtId="168" fontId="5" fillId="0" borderId="0" xfId="116" applyNumberFormat="1" applyFont="1" applyFill="1" applyBorder="1" applyAlignment="1">
      <alignment horizontal="center" vertical="top"/>
    </xf>
    <xf numFmtId="168" fontId="5" fillId="0" borderId="0" xfId="116" applyNumberFormat="1" applyFont="1" applyFill="1" applyAlignment="1"/>
    <xf numFmtId="0" fontId="5" fillId="0" borderId="0" xfId="96" applyFont="1" applyFill="1" applyAlignment="1"/>
    <xf numFmtId="168" fontId="33" fillId="0" borderId="0" xfId="116" applyNumberFormat="1" applyFont="1" applyFill="1" applyAlignment="1"/>
    <xf numFmtId="168" fontId="5" fillId="0" borderId="0" xfId="92" quotePrefix="1" applyNumberFormat="1" applyFont="1" applyFill="1" applyBorder="1" applyAlignment="1">
      <alignment horizontal="center"/>
    </xf>
    <xf numFmtId="0" fontId="7" fillId="0" borderId="0" xfId="115" quotePrefix="1" applyFont="1" applyFill="1" applyAlignment="1">
      <alignment horizontal="center"/>
    </xf>
    <xf numFmtId="0" fontId="19" fillId="0" borderId="0" xfId="96" quotePrefix="1" applyFont="1" applyFill="1" applyAlignment="1">
      <alignment horizontal="center"/>
    </xf>
    <xf numFmtId="168" fontId="7" fillId="0" borderId="0" xfId="92" quotePrefix="1" applyNumberFormat="1" applyFont="1" applyFill="1" applyAlignment="1">
      <alignment horizontal="center" vertical="center"/>
    </xf>
    <xf numFmtId="168" fontId="7" fillId="0" borderId="0" xfId="92" applyNumberFormat="1" applyFont="1" applyFill="1" applyBorder="1" applyAlignment="1">
      <alignment horizontal="center" vertical="center"/>
    </xf>
    <xf numFmtId="168" fontId="19" fillId="0" borderId="0" xfId="92" quotePrefix="1" applyNumberFormat="1" applyFont="1" applyFill="1" applyAlignment="1">
      <alignment horizontal="center" vertical="center"/>
    </xf>
    <xf numFmtId="168" fontId="7" fillId="0" borderId="0" xfId="116" applyNumberFormat="1" applyFont="1" applyFill="1" applyBorder="1" applyAlignment="1">
      <alignment horizontal="center" vertical="center"/>
    </xf>
    <xf numFmtId="168" fontId="7" fillId="0" borderId="0" xfId="92" applyNumberFormat="1" applyFont="1" applyFill="1" applyAlignment="1">
      <alignment vertical="center"/>
    </xf>
    <xf numFmtId="168" fontId="5" fillId="0" borderId="0" xfId="92" applyNumberFormat="1" applyFont="1" applyFill="1" applyBorder="1" applyAlignment="1">
      <alignment horizontal="center" vertical="center"/>
    </xf>
    <xf numFmtId="168" fontId="7" fillId="0" borderId="0" xfId="116" applyNumberFormat="1" applyFont="1" applyFill="1" applyAlignment="1">
      <alignment vertical="center"/>
    </xf>
    <xf numFmtId="168" fontId="32" fillId="0" borderId="0" xfId="116" applyNumberFormat="1" applyFont="1" applyFill="1" applyAlignment="1">
      <alignment vertical="center"/>
    </xf>
    <xf numFmtId="0" fontId="5" fillId="0" borderId="0" xfId="82" quotePrefix="1" applyFont="1" applyFill="1" applyBorder="1" applyAlignment="1">
      <alignment horizontal="center" vertical="top"/>
    </xf>
    <xf numFmtId="0" fontId="5" fillId="0" borderId="12" xfId="23" applyFont="1" applyFill="1" applyBorder="1" applyAlignment="1">
      <alignment horizontal="center" vertical="center" wrapText="1"/>
    </xf>
    <xf numFmtId="0" fontId="7" fillId="0" borderId="12" xfId="23" applyFont="1" applyFill="1" applyBorder="1" applyAlignment="1">
      <alignment vertical="center"/>
    </xf>
    <xf numFmtId="0" fontId="5" fillId="0" borderId="12" xfId="82" applyFont="1" applyFill="1" applyBorder="1" applyAlignment="1">
      <alignment horizontal="center" vertical="center"/>
    </xf>
    <xf numFmtId="0" fontId="7" fillId="0" borderId="0" xfId="23" applyFont="1" applyFill="1" applyAlignment="1">
      <alignment vertical="center"/>
    </xf>
    <xf numFmtId="0" fontId="7" fillId="0" borderId="12" xfId="75" applyFont="1" applyFill="1" applyBorder="1" applyAlignment="1">
      <alignment vertical="center"/>
    </xf>
    <xf numFmtId="168" fontId="5" fillId="0" borderId="0" xfId="92" applyNumberFormat="1" applyFont="1" applyFill="1" applyAlignment="1">
      <alignment vertical="top"/>
    </xf>
    <xf numFmtId="168" fontId="5" fillId="0" borderId="0" xfId="23" applyNumberFormat="1" applyFont="1" applyFill="1" applyAlignment="1">
      <alignment vertical="top"/>
    </xf>
    <xf numFmtId="168" fontId="5" fillId="0" borderId="4" xfId="2" applyNumberFormat="1" applyFont="1" applyFill="1" applyBorder="1" applyAlignment="1">
      <alignment vertical="top"/>
    </xf>
    <xf numFmtId="168" fontId="5" fillId="0" borderId="4" xfId="61" applyNumberFormat="1" applyFont="1" applyFill="1" applyBorder="1" applyAlignment="1">
      <alignment vertical="center"/>
    </xf>
    <xf numFmtId="168" fontId="5" fillId="0" borderId="4" xfId="23" applyNumberFormat="1" applyFont="1" applyFill="1" applyBorder="1" applyAlignment="1">
      <alignment vertical="top"/>
    </xf>
    <xf numFmtId="168" fontId="5" fillId="0" borderId="0" xfId="61" applyNumberFormat="1" applyFont="1" applyFill="1" applyAlignment="1">
      <alignment vertical="top"/>
    </xf>
    <xf numFmtId="168" fontId="5" fillId="0" borderId="4" xfId="92" applyNumberFormat="1" applyFont="1" applyFill="1" applyBorder="1" applyAlignment="1">
      <alignment vertical="center"/>
    </xf>
    <xf numFmtId="0" fontId="7" fillId="0" borderId="0" xfId="82" quotePrefix="1" applyFont="1" applyFill="1" applyBorder="1" applyAlignment="1">
      <alignment horizontal="center" vertical="top"/>
    </xf>
    <xf numFmtId="0" fontId="7" fillId="0" borderId="12" xfId="23" applyFont="1" applyFill="1" applyBorder="1" applyAlignment="1">
      <alignment horizontal="center" vertical="center" wrapText="1"/>
    </xf>
    <xf numFmtId="0" fontId="7" fillId="0" borderId="12" xfId="82" applyFont="1" applyFill="1" applyBorder="1" applyAlignment="1">
      <alignment horizontal="center" vertical="center"/>
    </xf>
    <xf numFmtId="168" fontId="7" fillId="0" borderId="0" xfId="23" applyNumberFormat="1" applyFont="1" applyFill="1" applyAlignment="1">
      <alignment vertical="top"/>
    </xf>
    <xf numFmtId="168" fontId="7" fillId="0" borderId="4" xfId="92" applyNumberFormat="1" applyFont="1" applyFill="1" applyBorder="1" applyAlignment="1">
      <alignment vertical="top"/>
    </xf>
    <xf numFmtId="168" fontId="7" fillId="0" borderId="4" xfId="61" applyNumberFormat="1" applyFont="1" applyFill="1" applyBorder="1" applyAlignment="1">
      <alignment vertical="center"/>
    </xf>
    <xf numFmtId="168" fontId="7" fillId="0" borderId="4" xfId="23" applyNumberFormat="1" applyFont="1" applyFill="1" applyBorder="1" applyAlignment="1">
      <alignment vertical="top"/>
    </xf>
    <xf numFmtId="167" fontId="5" fillId="0" borderId="4" xfId="65" applyNumberFormat="1" applyFont="1" applyFill="1" applyBorder="1" applyAlignment="1">
      <alignment vertical="center"/>
    </xf>
    <xf numFmtId="167" fontId="15" fillId="0" borderId="0" xfId="2" applyFont="1" applyFill="1" applyProtection="1"/>
    <xf numFmtId="167" fontId="15" fillId="0" borderId="12" xfId="2" applyFont="1" applyFill="1" applyBorder="1" applyProtection="1"/>
    <xf numFmtId="167" fontId="15" fillId="0" borderId="1" xfId="2" applyFont="1" applyFill="1" applyBorder="1" applyProtection="1"/>
    <xf numFmtId="167" fontId="15" fillId="0" borderId="0" xfId="2" applyFont="1" applyFill="1" applyBorder="1" applyProtection="1"/>
    <xf numFmtId="0" fontId="21" fillId="0" borderId="0" xfId="59" applyFont="1" applyFill="1" applyBorder="1" applyAlignment="1" applyProtection="1">
      <alignment horizontal="center" vertical="center"/>
    </xf>
    <xf numFmtId="167" fontId="15" fillId="0" borderId="0" xfId="2" applyFont="1" applyFill="1" applyAlignment="1" applyProtection="1">
      <alignment vertical="top"/>
    </xf>
    <xf numFmtId="167" fontId="15" fillId="0" borderId="12" xfId="2" applyFont="1" applyFill="1" applyBorder="1" applyAlignment="1" applyProtection="1">
      <alignment vertical="top"/>
    </xf>
    <xf numFmtId="167" fontId="15" fillId="0" borderId="1" xfId="2" applyFont="1" applyFill="1" applyBorder="1" applyAlignment="1" applyProtection="1">
      <alignment vertical="top"/>
    </xf>
    <xf numFmtId="167" fontId="14" fillId="0" borderId="0" xfId="2" applyFont="1" applyFill="1" applyBorder="1" applyAlignment="1" applyProtection="1">
      <alignment vertical="top"/>
    </xf>
    <xf numFmtId="167" fontId="15" fillId="0" borderId="0" xfId="2" applyFont="1" applyFill="1" applyBorder="1" applyAlignment="1" applyProtection="1">
      <alignment vertical="top"/>
    </xf>
    <xf numFmtId="167" fontId="21" fillId="0" borderId="0" xfId="59" applyNumberFormat="1" applyFont="1" applyFill="1" applyBorder="1" applyAlignment="1" applyProtection="1">
      <alignment vertical="top"/>
    </xf>
    <xf numFmtId="167" fontId="25" fillId="0" borderId="0" xfId="59" applyNumberFormat="1" applyFont="1" applyFill="1" applyBorder="1" applyAlignment="1" applyProtection="1">
      <alignment vertical="top"/>
    </xf>
    <xf numFmtId="167" fontId="5" fillId="0" borderId="5" xfId="2" quotePrefix="1" applyFont="1" applyFill="1" applyBorder="1"/>
    <xf numFmtId="167" fontId="5" fillId="0" borderId="6" xfId="2" quotePrefix="1" applyFont="1" applyFill="1" applyBorder="1"/>
    <xf numFmtId="167" fontId="5" fillId="0" borderId="7" xfId="2" quotePrefix="1" applyFont="1" applyFill="1" applyBorder="1"/>
    <xf numFmtId="167" fontId="7" fillId="0" borderId="5" xfId="2" quotePrefix="1" applyFont="1" applyFill="1" applyBorder="1"/>
    <xf numFmtId="167" fontId="7" fillId="0" borderId="6" xfId="2" quotePrefix="1" applyFont="1" applyFill="1" applyBorder="1"/>
    <xf numFmtId="167" fontId="7" fillId="0" borderId="7" xfId="2" quotePrefix="1" applyFont="1" applyFill="1" applyBorder="1"/>
    <xf numFmtId="167" fontId="7" fillId="0" borderId="4" xfId="2" quotePrefix="1" applyFont="1" applyFill="1" applyBorder="1"/>
    <xf numFmtId="0" fontId="76" fillId="0" borderId="0" xfId="0" applyFont="1"/>
    <xf numFmtId="0" fontId="78" fillId="0" borderId="0" xfId="33" applyFont="1"/>
    <xf numFmtId="0" fontId="76" fillId="0" borderId="0" xfId="33" applyFont="1"/>
    <xf numFmtId="0" fontId="79" fillId="0" borderId="0" xfId="33" applyFont="1"/>
    <xf numFmtId="0" fontId="76" fillId="0" borderId="0" xfId="33" applyFont="1" applyAlignment="1">
      <alignment horizontal="center"/>
    </xf>
    <xf numFmtId="0" fontId="80" fillId="0" borderId="0" xfId="0" applyFont="1" applyFill="1"/>
    <xf numFmtId="168" fontId="78" fillId="0" borderId="0" xfId="92" applyNumberFormat="1" applyFont="1"/>
    <xf numFmtId="0" fontId="78" fillId="0" borderId="0" xfId="59" applyFont="1" applyFill="1" applyAlignment="1" applyProtection="1">
      <alignment vertical="top"/>
    </xf>
    <xf numFmtId="168" fontId="76" fillId="0" borderId="4" xfId="33" applyNumberFormat="1" applyFont="1" applyBorder="1"/>
    <xf numFmtId="0" fontId="0" fillId="0" borderId="0" xfId="0" pivotButton="1"/>
    <xf numFmtId="0" fontId="0" fillId="0" borderId="0" xfId="0" applyAlignment="1">
      <alignment horizontal="left"/>
    </xf>
    <xf numFmtId="0" fontId="0" fillId="0" borderId="0" xfId="0" applyNumberFormat="1"/>
    <xf numFmtId="168" fontId="5" fillId="0" borderId="0" xfId="2" applyNumberFormat="1" applyFont="1" applyFill="1" applyBorder="1" applyAlignment="1" applyProtection="1">
      <alignment vertical="top"/>
    </xf>
    <xf numFmtId="43" fontId="5" fillId="0" borderId="4" xfId="92" applyFont="1" applyFill="1" applyBorder="1" applyAlignment="1" applyProtection="1">
      <alignment vertical="center"/>
    </xf>
    <xf numFmtId="178" fontId="12" fillId="0" borderId="0" xfId="92" applyNumberFormat="1" applyFont="1" applyFill="1" applyAlignment="1" applyProtection="1">
      <alignment vertical="top"/>
    </xf>
    <xf numFmtId="168" fontId="12" fillId="0" borderId="0" xfId="92" applyNumberFormat="1" applyFont="1" applyFill="1" applyAlignment="1" applyProtection="1">
      <alignment vertical="top"/>
    </xf>
    <xf numFmtId="43" fontId="12" fillId="0" borderId="0" xfId="59" applyNumberFormat="1" applyFont="1" applyFill="1" applyAlignment="1" applyProtection="1">
      <alignment vertical="top"/>
    </xf>
    <xf numFmtId="0" fontId="7" fillId="0" borderId="0" xfId="115" quotePrefix="1" applyFont="1" applyFill="1" applyAlignment="1">
      <alignment horizontal="center"/>
    </xf>
    <xf numFmtId="0" fontId="19" fillId="0" borderId="0" xfId="96" quotePrefix="1" applyFont="1" applyFill="1" applyAlignment="1">
      <alignment horizontal="center"/>
    </xf>
    <xf numFmtId="0" fontId="7" fillId="0" borderId="0" xfId="11" applyFont="1" applyFill="1" applyAlignment="1">
      <alignment horizontal="center" vertical="top"/>
      <protection locked="0"/>
    </xf>
    <xf numFmtId="0" fontId="7" fillId="0" borderId="0" xfId="93" applyNumberFormat="1" applyFont="1" applyFill="1" applyAlignment="1">
      <alignment horizontal="justify" vertical="top"/>
    </xf>
    <xf numFmtId="0" fontId="7" fillId="0" borderId="0" xfId="93" quotePrefix="1" applyNumberFormat="1" applyFont="1" applyFill="1" applyAlignment="1">
      <alignment horizontal="left" vertical="center" wrapText="1"/>
    </xf>
    <xf numFmtId="167" fontId="24" fillId="0" borderId="0" xfId="45" applyNumberFormat="1" applyFont="1" applyFill="1" applyBorder="1" applyAlignment="1">
      <alignment vertical="center"/>
    </xf>
    <xf numFmtId="167" fontId="36" fillId="0" borderId="0" xfId="42" applyNumberFormat="1" applyFont="1" applyFill="1" applyAlignment="1"/>
    <xf numFmtId="168" fontId="5" fillId="0" borderId="0" xfId="116" applyNumberFormat="1" applyFont="1" applyFill="1" applyAlignment="1">
      <alignment vertical="top"/>
    </xf>
    <xf numFmtId="0" fontId="5" fillId="0" borderId="0" xfId="96" applyFont="1" applyFill="1" applyAlignment="1">
      <alignment vertical="top"/>
    </xf>
    <xf numFmtId="168" fontId="33" fillId="0" borderId="0" xfId="116" applyNumberFormat="1" applyFont="1" applyFill="1" applyAlignment="1">
      <alignment vertical="top"/>
    </xf>
    <xf numFmtId="168" fontId="5" fillId="0" borderId="0" xfId="92" applyNumberFormat="1" applyFont="1" applyFill="1" applyBorder="1" applyAlignment="1">
      <alignment horizontal="center" vertical="top"/>
    </xf>
    <xf numFmtId="3" fontId="12" fillId="0" borderId="0" xfId="1" applyNumberFormat="1" applyFont="1" applyFill="1" applyAlignment="1">
      <alignment vertical="top"/>
    </xf>
    <xf numFmtId="0" fontId="7" fillId="0" borderId="0" xfId="19" applyFont="1" applyFill="1" applyAlignment="1" applyProtection="1">
      <alignment horizontal="left" vertical="top"/>
    </xf>
    <xf numFmtId="43" fontId="12" fillId="0" borderId="0" xfId="92" applyNumberFormat="1" applyFont="1" applyFill="1" applyAlignment="1" applyProtection="1">
      <alignment vertical="top"/>
    </xf>
    <xf numFmtId="0" fontId="21" fillId="0" borderId="0" xfId="72" quotePrefix="1" applyFont="1" applyFill="1"/>
    <xf numFmtId="43" fontId="5" fillId="0" borderId="0" xfId="92" applyNumberFormat="1" applyFont="1" applyFill="1" applyBorder="1" applyAlignment="1" applyProtection="1">
      <alignment vertical="top"/>
    </xf>
    <xf numFmtId="0" fontId="5" fillId="0" borderId="0" xfId="57" applyNumberFormat="1" applyFont="1" applyFill="1" applyAlignment="1">
      <alignment vertical="top"/>
    </xf>
    <xf numFmtId="0" fontId="7" fillId="0" borderId="0" xfId="57" applyNumberFormat="1" applyFont="1" applyFill="1" applyAlignment="1">
      <alignment vertical="top"/>
    </xf>
    <xf numFmtId="0" fontId="3" fillId="0" borderId="0" xfId="1" applyFill="1" applyAlignment="1">
      <alignment horizontal="left" vertical="top" wrapText="1"/>
    </xf>
    <xf numFmtId="0" fontId="7" fillId="0" borderId="0" xfId="57" applyNumberFormat="1" applyFont="1" applyFill="1" applyAlignment="1">
      <alignment horizontal="left" vertical="top" indent="1"/>
    </xf>
    <xf numFmtId="0" fontId="7" fillId="0" borderId="0" xfId="57" applyNumberFormat="1" applyFont="1" applyFill="1" applyAlignment="1">
      <alignment horizontal="left" vertical="top"/>
    </xf>
    <xf numFmtId="0" fontId="5" fillId="0" borderId="0" xfId="2" applyNumberFormat="1" applyFont="1" applyFill="1" applyAlignment="1">
      <alignment horizontal="center"/>
    </xf>
    <xf numFmtId="0" fontId="5" fillId="0" borderId="0" xfId="1" applyFont="1" applyFill="1" applyAlignment="1">
      <alignment horizontal="center"/>
    </xf>
    <xf numFmtId="0" fontId="0" fillId="0" borderId="0" xfId="0" applyFill="1" applyAlignment="1">
      <alignment horizontal="left" vertical="top" wrapText="1"/>
    </xf>
    <xf numFmtId="0" fontId="7" fillId="0" borderId="0" xfId="93" quotePrefix="1" applyNumberFormat="1" applyFont="1" applyFill="1" applyAlignment="1">
      <alignment horizontal="center" vertical="center" wrapText="1"/>
    </xf>
    <xf numFmtId="0" fontId="19" fillId="0" borderId="0" xfId="0" applyFont="1" applyFill="1" applyAlignment="1">
      <alignment wrapText="1"/>
    </xf>
    <xf numFmtId="183" fontId="6" fillId="0" borderId="0" xfId="42" applyNumberFormat="1" applyFont="1" applyFill="1" applyAlignment="1">
      <alignment horizontal="justify" vertical="top"/>
    </xf>
    <xf numFmtId="0" fontId="7" fillId="0" borderId="0" xfId="1" applyFont="1" applyFill="1" applyAlignment="1" applyProtection="1">
      <alignment vertical="top"/>
    </xf>
    <xf numFmtId="0" fontId="6" fillId="0" borderId="0" xfId="0" quotePrefix="1" applyFont="1" applyFill="1" applyAlignment="1" applyProtection="1">
      <alignment horizontal="justify" vertical="top" wrapText="1"/>
      <protection locked="0"/>
    </xf>
    <xf numFmtId="0" fontId="0" fillId="0" borderId="0" xfId="0" applyFill="1" applyAlignment="1">
      <alignment horizontal="justify" vertical="top" wrapText="1"/>
    </xf>
    <xf numFmtId="0" fontId="7" fillId="0" borderId="0" xfId="59" applyFont="1" applyFill="1" applyAlignment="1" applyProtection="1">
      <alignment vertical="top"/>
      <protection locked="0"/>
    </xf>
    <xf numFmtId="0" fontId="7" fillId="0" borderId="0" xfId="73" applyFont="1" applyFill="1" applyAlignment="1">
      <alignment horizontal="justify" vertical="top" wrapText="1"/>
    </xf>
    <xf numFmtId="0" fontId="7" fillId="0" borderId="0" xfId="59" applyNumberFormat="1" applyFont="1" applyFill="1" applyAlignment="1" applyProtection="1">
      <alignment horizontal="justify" vertical="top" wrapText="1"/>
    </xf>
    <xf numFmtId="0" fontId="7" fillId="0" borderId="0" xfId="59" applyFont="1" applyFill="1" applyAlignment="1" applyProtection="1">
      <alignment horizontal="justify" vertical="top" wrapText="1"/>
    </xf>
    <xf numFmtId="0" fontId="19" fillId="0" borderId="0" xfId="59" applyFont="1" applyFill="1" applyAlignment="1" applyProtection="1">
      <alignment horizontal="justify" vertical="top" wrapText="1"/>
    </xf>
    <xf numFmtId="0" fontId="6" fillId="0" borderId="0" xfId="1" applyFont="1" applyFill="1" applyAlignment="1">
      <alignment horizontal="justify" vertical="top"/>
    </xf>
    <xf numFmtId="0" fontId="20" fillId="0" borderId="11" xfId="59" applyFont="1" applyFill="1" applyBorder="1" applyAlignment="1" applyProtection="1">
      <alignment horizontal="center" vertical="top"/>
    </xf>
    <xf numFmtId="0" fontId="5" fillId="0" borderId="9" xfId="86" applyFont="1" applyFill="1" applyBorder="1" applyAlignment="1">
      <alignment horizontal="center" vertical="center"/>
    </xf>
    <xf numFmtId="0" fontId="7" fillId="0" borderId="0" xfId="59" applyNumberFormat="1" applyFont="1" applyFill="1" applyAlignment="1" applyProtection="1">
      <alignment horizontal="justify" vertical="top"/>
    </xf>
    <xf numFmtId="0" fontId="7" fillId="0" borderId="0" xfId="1" quotePrefix="1" applyFont="1" applyFill="1" applyAlignment="1" applyProtection="1">
      <alignment horizontal="center" vertical="top"/>
    </xf>
    <xf numFmtId="0" fontId="7" fillId="0" borderId="0" xfId="1" applyFont="1" applyFill="1" applyAlignment="1" applyProtection="1">
      <alignment horizontal="center" vertical="top"/>
    </xf>
    <xf numFmtId="0" fontId="7" fillId="0" borderId="0" xfId="14" applyFont="1" applyFill="1" applyAlignment="1">
      <alignment horizontal="center" vertical="top"/>
    </xf>
    <xf numFmtId="0" fontId="7" fillId="0" borderId="0" xfId="97" applyFont="1" applyFill="1" applyAlignment="1">
      <alignment horizontal="justify" vertical="top"/>
    </xf>
    <xf numFmtId="0" fontId="7" fillId="0" borderId="0" xfId="98" quotePrefix="1" applyFont="1" applyFill="1" applyAlignment="1">
      <alignment horizontal="justify" vertical="top" wrapText="1"/>
    </xf>
    <xf numFmtId="0" fontId="5" fillId="0" borderId="0" xfId="1" applyFont="1" applyFill="1" applyAlignment="1">
      <alignment vertical="center"/>
    </xf>
    <xf numFmtId="3" fontId="10" fillId="0" borderId="0" xfId="1" applyNumberFormat="1" applyFont="1" applyFill="1" applyAlignment="1">
      <alignment horizontal="right"/>
    </xf>
    <xf numFmtId="0" fontId="7" fillId="0" borderId="0" xfId="1" quotePrefix="1" applyNumberFormat="1" applyFont="1" applyFill="1" applyAlignment="1">
      <alignment horizontal="center" vertical="center"/>
    </xf>
    <xf numFmtId="168" fontId="6" fillId="0" borderId="0" xfId="1" applyNumberFormat="1" applyFont="1" applyFill="1" applyAlignment="1">
      <alignment vertical="center"/>
    </xf>
    <xf numFmtId="49" fontId="8" fillId="0" borderId="0" xfId="1" applyNumberFormat="1" applyFont="1" applyFill="1" applyAlignment="1">
      <alignment vertical="center"/>
    </xf>
    <xf numFmtId="0" fontId="5" fillId="0" borderId="0" xfId="11" applyFont="1" applyFill="1" applyAlignment="1">
      <alignment horizontal="left" vertical="center"/>
      <protection locked="0"/>
    </xf>
    <xf numFmtId="0" fontId="7" fillId="0" borderId="0" xfId="11" applyFont="1" applyFill="1" applyAlignment="1">
      <alignment horizontal="left" vertical="center"/>
      <protection locked="0"/>
    </xf>
    <xf numFmtId="167" fontId="5" fillId="0" borderId="4" xfId="15" applyFont="1" applyFill="1" applyBorder="1" applyAlignment="1">
      <alignment vertical="center"/>
    </xf>
    <xf numFmtId="167" fontId="7" fillId="0" borderId="0" xfId="15" applyFont="1" applyFill="1" applyBorder="1" applyAlignment="1">
      <alignment vertical="center"/>
    </xf>
    <xf numFmtId="168" fontId="5" fillId="0" borderId="0" xfId="13" applyNumberFormat="1" applyFont="1" applyFill="1" applyBorder="1" applyAlignment="1">
      <alignment vertical="center"/>
    </xf>
    <xf numFmtId="168" fontId="5" fillId="0" borderId="4" xfId="13" applyNumberFormat="1" applyFont="1" applyFill="1" applyBorder="1" applyAlignment="1">
      <alignment vertical="center"/>
    </xf>
    <xf numFmtId="0" fontId="5" fillId="0" borderId="0" xfId="11" applyFont="1" applyFill="1" applyAlignment="1">
      <alignment vertical="center"/>
      <protection locked="0"/>
    </xf>
    <xf numFmtId="168" fontId="5" fillId="0" borderId="0" xfId="11" applyNumberFormat="1" applyFont="1" applyFill="1" applyBorder="1" applyAlignment="1">
      <alignment vertical="center"/>
      <protection locked="0"/>
    </xf>
    <xf numFmtId="167" fontId="7" fillId="0" borderId="0" xfId="11" applyNumberFormat="1" applyFont="1" applyFill="1" applyBorder="1" applyAlignment="1">
      <alignment vertical="center"/>
      <protection locked="0"/>
    </xf>
    <xf numFmtId="0" fontId="7" fillId="0" borderId="0" xfId="11" applyFont="1" applyFill="1" applyBorder="1" applyAlignment="1">
      <alignment vertical="center"/>
      <protection locked="0"/>
    </xf>
    <xf numFmtId="0" fontId="7" fillId="0" borderId="0" xfId="11" applyFont="1" applyFill="1" applyAlignment="1">
      <alignment vertical="center"/>
      <protection locked="0"/>
    </xf>
    <xf numFmtId="4" fontId="5" fillId="0" borderId="0" xfId="11" applyNumberFormat="1" applyFont="1" applyFill="1" applyAlignment="1">
      <alignment vertical="center"/>
      <protection locked="0"/>
    </xf>
    <xf numFmtId="167" fontId="5" fillId="0" borderId="0" xfId="15" applyFont="1" applyFill="1" applyAlignment="1" applyProtection="1">
      <alignment vertical="center"/>
      <protection locked="0"/>
    </xf>
    <xf numFmtId="167" fontId="5" fillId="0" borderId="0" xfId="15" applyFont="1" applyFill="1" applyBorder="1" applyAlignment="1">
      <alignment vertical="center"/>
    </xf>
    <xf numFmtId="43" fontId="7" fillId="0" borderId="0" xfId="13" applyNumberFormat="1" applyFont="1" applyFill="1" applyBorder="1" applyAlignment="1">
      <alignment horizontal="left" vertical="center"/>
    </xf>
    <xf numFmtId="43" fontId="7" fillId="0" borderId="0" xfId="12" applyNumberFormat="1" applyFont="1" applyFill="1" applyBorder="1" applyAlignment="1">
      <alignment vertical="center"/>
    </xf>
    <xf numFmtId="168" fontId="7" fillId="0" borderId="0" xfId="13" applyNumberFormat="1" applyFont="1" applyFill="1" applyBorder="1" applyAlignment="1">
      <alignment vertical="center"/>
    </xf>
    <xf numFmtId="167" fontId="5" fillId="0" borderId="0" xfId="15" applyFont="1" applyFill="1" applyBorder="1" applyAlignment="1" applyProtection="1">
      <alignment vertical="center"/>
    </xf>
    <xf numFmtId="167" fontId="7" fillId="0" borderId="0" xfId="15" applyFont="1" applyFill="1" applyBorder="1" applyAlignment="1" applyProtection="1">
      <alignment vertical="center"/>
    </xf>
    <xf numFmtId="168" fontId="7" fillId="0" borderId="0" xfId="13" applyNumberFormat="1" applyFont="1" applyFill="1" applyBorder="1" applyAlignment="1">
      <alignment horizontal="left" vertical="center"/>
    </xf>
    <xf numFmtId="0" fontId="5" fillId="0" borderId="0" xfId="1" quotePrefix="1" applyFont="1" applyFill="1" applyAlignment="1"/>
    <xf numFmtId="10" fontId="24" fillId="0" borderId="0" xfId="36" applyNumberFormat="1" applyFont="1" applyFill="1" applyAlignment="1">
      <alignment vertical="center"/>
    </xf>
    <xf numFmtId="168" fontId="36" fillId="0" borderId="0" xfId="42" applyNumberFormat="1" applyFont="1" applyFill="1" applyAlignment="1">
      <alignment vertical="center"/>
    </xf>
    <xf numFmtId="168" fontId="36" fillId="0" borderId="0" xfId="92" applyNumberFormat="1" applyFont="1" applyFill="1" applyAlignment="1"/>
    <xf numFmtId="168" fontId="36" fillId="0" borderId="0" xfId="42" applyNumberFormat="1" applyFont="1" applyFill="1" applyAlignment="1"/>
    <xf numFmtId="14" fontId="36" fillId="0" borderId="0" xfId="42" applyNumberFormat="1" applyFont="1" applyFill="1" applyAlignment="1"/>
    <xf numFmtId="186" fontId="36" fillId="0" borderId="0" xfId="42" applyNumberFormat="1" applyFont="1" applyFill="1" applyAlignment="1"/>
    <xf numFmtId="0" fontId="41" fillId="0" borderId="0" xfId="46" applyFont="1" applyFill="1" applyAlignment="1">
      <alignment horizontal="left" vertical="center"/>
    </xf>
    <xf numFmtId="0" fontId="41" fillId="0" borderId="0" xfId="42" applyFont="1" applyFill="1" applyAlignment="1">
      <alignment vertical="center"/>
    </xf>
    <xf numFmtId="41" fontId="5" fillId="0" borderId="0" xfId="55" applyNumberFormat="1" applyFont="1" applyFill="1" applyAlignment="1">
      <alignment vertical="top"/>
    </xf>
    <xf numFmtId="4" fontId="6" fillId="0" borderId="0" xfId="1" applyNumberFormat="1" applyFont="1" applyFill="1"/>
    <xf numFmtId="3" fontId="6" fillId="0" borderId="0" xfId="1" applyNumberFormat="1" applyFont="1" applyFill="1"/>
    <xf numFmtId="0" fontId="5" fillId="0" borderId="0" xfId="59" applyNumberFormat="1" applyFont="1" applyFill="1" applyAlignment="1" applyProtection="1">
      <alignment vertical="top"/>
    </xf>
    <xf numFmtId="0" fontId="7" fillId="0" borderId="0" xfId="55" applyFont="1" applyFill="1" applyAlignment="1">
      <alignment vertical="center"/>
    </xf>
    <xf numFmtId="0" fontId="7" fillId="0" borderId="0" xfId="55" applyFont="1" applyFill="1" applyAlignment="1">
      <alignment vertical="center" wrapText="1"/>
    </xf>
    <xf numFmtId="168" fontId="7" fillId="0" borderId="0" xfId="61" applyNumberFormat="1" applyFont="1" applyFill="1" applyAlignment="1">
      <alignment vertical="center"/>
    </xf>
    <xf numFmtId="0" fontId="7" fillId="0" borderId="0" xfId="67" applyFont="1" applyFill="1" applyAlignment="1">
      <alignment vertical="top"/>
    </xf>
    <xf numFmtId="0" fontId="7" fillId="0" borderId="0" xfId="67" applyFont="1" applyFill="1" applyAlignment="1">
      <alignment horizontal="justify" vertical="top"/>
    </xf>
    <xf numFmtId="0" fontId="32" fillId="0" borderId="0" xfId="59" applyFont="1" applyFill="1" applyAlignment="1" applyProtection="1">
      <alignment vertical="top"/>
    </xf>
    <xf numFmtId="167" fontId="13" fillId="0" borderId="0" xfId="59" applyNumberFormat="1" applyFont="1" applyFill="1" applyAlignment="1" applyProtection="1">
      <alignment vertical="top"/>
    </xf>
    <xf numFmtId="168" fontId="21" fillId="0" borderId="0" xfId="92" applyNumberFormat="1" applyFont="1" applyFill="1"/>
    <xf numFmtId="0" fontId="7" fillId="0" borderId="0" xfId="59" quotePrefix="1" applyFont="1" applyFill="1" applyAlignment="1" applyProtection="1">
      <alignment horizontal="left" indent="1"/>
    </xf>
    <xf numFmtId="0" fontId="66"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7" fillId="0" borderId="17" xfId="1" applyFont="1" applyFill="1" applyBorder="1" applyAlignment="1">
      <alignment horizontal="center" vertical="center"/>
    </xf>
    <xf numFmtId="0" fontId="14" fillId="0" borderId="0" xfId="59" applyFont="1" applyFill="1" applyAlignment="1" applyProtection="1">
      <alignment horizontal="left" vertical="center"/>
    </xf>
    <xf numFmtId="0" fontId="14" fillId="0" borderId="0" xfId="59" applyFont="1" applyFill="1" applyAlignment="1" applyProtection="1">
      <alignment vertical="center"/>
    </xf>
    <xf numFmtId="0" fontId="15" fillId="0" borderId="0" xfId="59" applyFont="1" applyFill="1" applyAlignment="1" applyProtection="1">
      <alignment vertical="center"/>
    </xf>
    <xf numFmtId="167" fontId="15" fillId="0" borderId="12" xfId="2" applyFont="1" applyFill="1" applyBorder="1" applyAlignment="1" applyProtection="1">
      <alignment vertical="center"/>
    </xf>
    <xf numFmtId="177" fontId="7" fillId="0" borderId="0" xfId="2" applyNumberFormat="1" applyFont="1" applyFill="1" applyAlignment="1">
      <alignment horizontal="center"/>
    </xf>
    <xf numFmtId="168" fontId="7" fillId="0" borderId="0" xfId="2" applyNumberFormat="1" applyFont="1" applyFill="1" applyAlignment="1"/>
    <xf numFmtId="168" fontId="5" fillId="0" borderId="0" xfId="6" quotePrefix="1" applyNumberFormat="1" applyFont="1" applyFill="1" applyAlignment="1"/>
    <xf numFmtId="43" fontId="0" fillId="0" borderId="19" xfId="92" applyFont="1" applyFill="1" applyBorder="1" applyAlignment="1">
      <alignment horizontal="right"/>
    </xf>
    <xf numFmtId="168" fontId="0" fillId="0" borderId="0" xfId="92" applyNumberFormat="1" applyFont="1"/>
    <xf numFmtId="49" fontId="0" fillId="7" borderId="0" xfId="0" applyNumberFormat="1" applyFont="1" applyFill="1" applyAlignment="1">
      <alignment horizontal="left"/>
    </xf>
    <xf numFmtId="0" fontId="0" fillId="7" borderId="0" xfId="0" applyFont="1" applyFill="1"/>
    <xf numFmtId="37" fontId="0" fillId="7" borderId="0" xfId="0" applyNumberFormat="1" applyFont="1" applyFill="1" applyBorder="1" applyAlignment="1">
      <alignment horizontal="right"/>
    </xf>
    <xf numFmtId="0" fontId="1" fillId="7" borderId="0" xfId="0" applyFont="1" applyFill="1" applyAlignment="1">
      <alignment horizontal="center"/>
    </xf>
    <xf numFmtId="37" fontId="0" fillId="3" borderId="20" xfId="0" applyNumberFormat="1" applyFont="1" applyFill="1" applyBorder="1" applyAlignment="1">
      <alignment horizontal="right"/>
    </xf>
    <xf numFmtId="37" fontId="0" fillId="8" borderId="20" xfId="0" applyNumberFormat="1" applyFont="1" applyFill="1" applyBorder="1" applyAlignment="1">
      <alignment horizontal="right"/>
    </xf>
    <xf numFmtId="37" fontId="0" fillId="9" borderId="20" xfId="0" applyNumberFormat="1" applyFont="1" applyFill="1" applyBorder="1" applyAlignment="1">
      <alignment horizontal="right"/>
    </xf>
    <xf numFmtId="37" fontId="0" fillId="6" borderId="20" xfId="0" applyNumberFormat="1" applyFont="1" applyFill="1" applyBorder="1" applyAlignment="1">
      <alignment horizontal="right"/>
    </xf>
    <xf numFmtId="37" fontId="0" fillId="10" borderId="20" xfId="0" applyNumberFormat="1" applyFont="1" applyFill="1" applyBorder="1" applyAlignment="1">
      <alignment horizontal="right"/>
    </xf>
    <xf numFmtId="37" fontId="0" fillId="11" borderId="20" xfId="0" applyNumberFormat="1" applyFont="1" applyFill="1" applyBorder="1" applyAlignment="1">
      <alignment horizontal="right"/>
    </xf>
    <xf numFmtId="37" fontId="0" fillId="5" borderId="20" xfId="0" applyNumberFormat="1" applyFont="1" applyFill="1" applyBorder="1" applyAlignment="1">
      <alignment horizontal="right"/>
    </xf>
    <xf numFmtId="37" fontId="0" fillId="13" borderId="20" xfId="0" applyNumberFormat="1" applyFont="1" applyFill="1" applyBorder="1" applyAlignment="1">
      <alignment horizontal="right"/>
    </xf>
    <xf numFmtId="37" fontId="0" fillId="14" borderId="20" xfId="0" applyNumberFormat="1" applyFont="1" applyFill="1" applyBorder="1" applyAlignment="1">
      <alignment horizontal="right"/>
    </xf>
    <xf numFmtId="37" fontId="0" fillId="15" borderId="20" xfId="0" applyNumberFormat="1" applyFont="1" applyFill="1" applyBorder="1" applyAlignment="1">
      <alignment horizontal="right"/>
    </xf>
    <xf numFmtId="37" fontId="0" fillId="16" borderId="20" xfId="0" applyNumberFormat="1" applyFont="1" applyFill="1" applyBorder="1" applyAlignment="1">
      <alignment horizontal="right"/>
    </xf>
    <xf numFmtId="1" fontId="0" fillId="0" borderId="0" xfId="0" applyNumberFormat="1"/>
    <xf numFmtId="37" fontId="0" fillId="11" borderId="4" xfId="0" applyNumberFormat="1" applyFont="1" applyFill="1" applyBorder="1" applyAlignment="1">
      <alignment horizontal="right"/>
    </xf>
    <xf numFmtId="37" fontId="0" fillId="17" borderId="20" xfId="0" applyNumberFormat="1" applyFont="1" applyFill="1" applyBorder="1" applyAlignment="1">
      <alignment horizontal="right"/>
    </xf>
    <xf numFmtId="37" fontId="0" fillId="18" borderId="20" xfId="0" applyNumberFormat="1" applyFont="1" applyFill="1" applyBorder="1" applyAlignment="1">
      <alignment horizontal="right"/>
    </xf>
    <xf numFmtId="37" fontId="0" fillId="19" borderId="4" xfId="0" applyNumberFormat="1" applyFont="1" applyFill="1" applyBorder="1" applyAlignment="1">
      <alignment horizontal="right"/>
    </xf>
    <xf numFmtId="37" fontId="0" fillId="20" borderId="20" xfId="0" applyNumberFormat="1" applyFont="1" applyFill="1" applyBorder="1" applyAlignment="1">
      <alignment horizontal="right"/>
    </xf>
    <xf numFmtId="37" fontId="0" fillId="21" borderId="20" xfId="0" applyNumberFormat="1" applyFont="1" applyFill="1" applyBorder="1" applyAlignment="1">
      <alignment horizontal="right"/>
    </xf>
    <xf numFmtId="37" fontId="0" fillId="3" borderId="4" xfId="0" applyNumberFormat="1" applyFont="1" applyFill="1" applyBorder="1" applyAlignment="1">
      <alignment horizontal="right"/>
    </xf>
    <xf numFmtId="37" fontId="0" fillId="22" borderId="20" xfId="0" applyNumberFormat="1" applyFont="1" applyFill="1" applyBorder="1" applyAlignment="1">
      <alignment horizontal="right"/>
    </xf>
    <xf numFmtId="37" fontId="0" fillId="15" borderId="4" xfId="0" applyNumberFormat="1" applyFont="1" applyFill="1" applyBorder="1" applyAlignment="1">
      <alignment horizontal="right"/>
    </xf>
    <xf numFmtId="39" fontId="0" fillId="0" borderId="0" xfId="0" applyNumberFormat="1" applyFont="1" applyFill="1" applyBorder="1" applyAlignment="1">
      <alignment horizontal="right"/>
    </xf>
    <xf numFmtId="168" fontId="5" fillId="0" borderId="0" xfId="8" quotePrefix="1" applyNumberFormat="1" applyFont="1" applyFill="1" applyAlignment="1">
      <alignment horizontal="center" vertical="center"/>
    </xf>
    <xf numFmtId="168" fontId="7" fillId="0" borderId="5" xfId="2" applyNumberFormat="1" applyFont="1" applyFill="1" applyBorder="1" applyAlignment="1">
      <alignment horizontal="center"/>
    </xf>
    <xf numFmtId="168" fontId="7" fillId="0" borderId="6" xfId="2" applyNumberFormat="1" applyFont="1" applyFill="1" applyBorder="1" applyAlignment="1">
      <alignment horizontal="center"/>
    </xf>
    <xf numFmtId="168" fontId="7" fillId="0" borderId="7" xfId="2" applyNumberFormat="1" applyFont="1" applyFill="1" applyBorder="1" applyAlignment="1">
      <alignment horizontal="center"/>
    </xf>
    <xf numFmtId="168" fontId="7" fillId="0" borderId="10" xfId="2" applyNumberFormat="1" applyFont="1" applyFill="1" applyBorder="1" applyAlignment="1">
      <alignment horizontal="center"/>
    </xf>
    <xf numFmtId="0" fontId="19" fillId="0" borderId="16" xfId="1" applyFont="1" applyFill="1" applyBorder="1" applyAlignment="1">
      <alignment vertical="top"/>
    </xf>
    <xf numFmtId="168" fontId="7" fillId="0" borderId="16" xfId="2" applyNumberFormat="1" applyFont="1" applyFill="1" applyBorder="1" applyAlignment="1">
      <alignment horizontal="center"/>
    </xf>
    <xf numFmtId="168" fontId="7" fillId="0" borderId="18" xfId="2" applyNumberFormat="1" applyFont="1" applyFill="1" applyBorder="1" applyAlignment="1">
      <alignment horizontal="center"/>
    </xf>
    <xf numFmtId="168" fontId="7" fillId="0" borderId="4" xfId="2" applyNumberFormat="1" applyFont="1" applyFill="1" applyBorder="1" applyAlignment="1">
      <alignment horizontal="center" vertical="center"/>
    </xf>
    <xf numFmtId="167" fontId="19" fillId="0" borderId="0" xfId="2" applyFont="1" applyFill="1" applyBorder="1" applyAlignment="1">
      <alignment vertical="top"/>
    </xf>
    <xf numFmtId="168" fontId="19" fillId="0" borderId="4" xfId="2" applyNumberFormat="1" applyFont="1" applyFill="1" applyBorder="1" applyAlignment="1">
      <alignment vertical="center"/>
    </xf>
    <xf numFmtId="168" fontId="19" fillId="0" borderId="0" xfId="2" applyNumberFormat="1" applyFont="1" applyFill="1" applyBorder="1" applyAlignment="1">
      <alignment vertical="top"/>
    </xf>
    <xf numFmtId="168" fontId="19" fillId="0" borderId="5" xfId="92" applyNumberFormat="1" applyFont="1" applyFill="1" applyBorder="1" applyAlignment="1">
      <alignment vertical="top"/>
    </xf>
    <xf numFmtId="168" fontId="19" fillId="0" borderId="7" xfId="92" applyNumberFormat="1" applyFont="1" applyFill="1" applyBorder="1" applyAlignment="1">
      <alignment vertical="top"/>
    </xf>
    <xf numFmtId="168" fontId="19" fillId="0" borderId="4" xfId="92" applyNumberFormat="1" applyFont="1" applyFill="1" applyBorder="1" applyAlignment="1">
      <alignment vertical="center"/>
    </xf>
    <xf numFmtId="0" fontId="6" fillId="0" borderId="0" xfId="7" quotePrefix="1" applyFont="1" applyFill="1" applyAlignment="1">
      <alignment vertical="top"/>
    </xf>
    <xf numFmtId="168" fontId="7" fillId="0" borderId="8" xfId="2" applyNumberFormat="1" applyFont="1" applyFill="1" applyBorder="1" applyAlignment="1">
      <alignment horizontal="center" vertical="top"/>
    </xf>
    <xf numFmtId="168" fontId="7" fillId="0" borderId="5" xfId="2" applyNumberFormat="1" applyFont="1" applyFill="1" applyBorder="1" applyAlignment="1">
      <alignment horizontal="center" vertical="top"/>
    </xf>
    <xf numFmtId="168" fontId="7" fillId="0" borderId="6" xfId="2" applyNumberFormat="1" applyFont="1" applyFill="1" applyBorder="1" applyAlignment="1">
      <alignment horizontal="center" vertical="top"/>
    </xf>
    <xf numFmtId="168" fontId="7" fillId="0" borderId="7" xfId="2" applyNumberFormat="1" applyFont="1" applyFill="1" applyBorder="1" applyAlignment="1">
      <alignment horizontal="center" vertical="top"/>
    </xf>
    <xf numFmtId="168" fontId="7" fillId="0" borderId="0" xfId="2" applyNumberFormat="1" applyFont="1" applyFill="1" applyBorder="1" applyAlignment="1">
      <alignment horizontal="center" vertical="top"/>
    </xf>
    <xf numFmtId="37" fontId="1" fillId="12" borderId="20" xfId="0" applyNumberFormat="1" applyFont="1" applyFill="1" applyBorder="1" applyAlignment="1">
      <alignment horizontal="right"/>
    </xf>
    <xf numFmtId="0" fontId="14" fillId="0" borderId="0" xfId="42" applyFont="1" applyFill="1" applyAlignment="1">
      <alignment horizontal="center"/>
    </xf>
    <xf numFmtId="167" fontId="24" fillId="0" borderId="0" xfId="2" applyFont="1" applyFill="1"/>
    <xf numFmtId="167" fontId="22" fillId="0" borderId="0" xfId="2" quotePrefix="1" applyFont="1" applyFill="1" applyBorder="1"/>
    <xf numFmtId="167" fontId="24" fillId="0" borderId="0" xfId="2" applyFont="1" applyFill="1" applyBorder="1"/>
    <xf numFmtId="182" fontId="24" fillId="0" borderId="0" xfId="42" applyNumberFormat="1" applyFont="1" applyFill="1" applyBorder="1" applyAlignment="1">
      <alignment horizontal="left"/>
    </xf>
    <xf numFmtId="198" fontId="24" fillId="0" borderId="0" xfId="2" applyNumberFormat="1" applyFont="1" applyFill="1" applyBorder="1"/>
    <xf numFmtId="167" fontId="22" fillId="0" borderId="0" xfId="42" applyNumberFormat="1" applyFont="1" applyFill="1" applyAlignment="1">
      <alignment vertical="center"/>
    </xf>
    <xf numFmtId="167" fontId="22" fillId="0" borderId="4" xfId="45" applyNumberFormat="1" applyFont="1" applyFill="1" applyBorder="1" applyAlignment="1">
      <alignment vertical="center"/>
    </xf>
    <xf numFmtId="0" fontId="22" fillId="0" borderId="0" xfId="8" applyNumberFormat="1" applyFont="1" applyFill="1" applyAlignment="1">
      <alignment vertical="center"/>
    </xf>
    <xf numFmtId="167" fontId="22" fillId="0" borderId="0" xfId="45" applyNumberFormat="1" applyFont="1" applyFill="1" applyBorder="1" applyAlignment="1">
      <alignment vertical="center"/>
    </xf>
    <xf numFmtId="167" fontId="24" fillId="0" borderId="1" xfId="45" applyNumberFormat="1" applyFont="1" applyFill="1" applyBorder="1" applyAlignment="1">
      <alignment vertical="center"/>
    </xf>
    <xf numFmtId="0" fontId="41" fillId="0" borderId="0" xfId="36" applyFont="1" applyFill="1" applyAlignment="1"/>
    <xf numFmtId="0" fontId="43" fillId="0" borderId="0" xfId="46" applyFont="1" applyFill="1" applyAlignment="1">
      <alignment horizontal="left"/>
    </xf>
    <xf numFmtId="179" fontId="40" fillId="0" borderId="0" xfId="48" applyNumberFormat="1" applyFont="1" applyFill="1" applyAlignment="1" applyProtection="1">
      <alignment vertical="top"/>
    </xf>
    <xf numFmtId="168" fontId="36" fillId="0" borderId="0" xfId="44" applyNumberFormat="1" applyFont="1" applyFill="1" applyBorder="1" applyAlignment="1">
      <alignment horizontal="center" vertical="top"/>
    </xf>
    <xf numFmtId="168" fontId="36" fillId="0" borderId="0" xfId="44" applyNumberFormat="1" applyFont="1" applyFill="1" applyBorder="1" applyAlignment="1" applyProtection="1">
      <alignment horizontal="center" vertical="top"/>
    </xf>
    <xf numFmtId="168" fontId="40" fillId="0" borderId="0" xfId="44" applyNumberFormat="1" applyFont="1" applyFill="1" applyBorder="1" applyAlignment="1">
      <alignment horizontal="center" vertical="top"/>
    </xf>
    <xf numFmtId="179" fontId="36" fillId="0" borderId="0" xfId="48" applyNumberFormat="1" applyFont="1" applyFill="1" applyAlignment="1" applyProtection="1">
      <alignment vertical="top"/>
    </xf>
    <xf numFmtId="168" fontId="36" fillId="0" borderId="0" xfId="44" applyNumberFormat="1" applyFont="1" applyFill="1" applyAlignment="1">
      <alignment horizontal="center" vertical="top"/>
    </xf>
    <xf numFmtId="168" fontId="36" fillId="0" borderId="0" xfId="44" applyNumberFormat="1" applyFont="1" applyFill="1" applyBorder="1" applyAlignment="1" applyProtection="1">
      <alignment vertical="top"/>
    </xf>
    <xf numFmtId="43" fontId="36" fillId="0" borderId="0" xfId="92" applyFont="1" applyFill="1" applyBorder="1" applyAlignment="1">
      <alignment vertical="top"/>
    </xf>
    <xf numFmtId="10" fontId="36" fillId="0" borderId="0" xfId="4" applyNumberFormat="1" applyFont="1" applyFill="1"/>
    <xf numFmtId="0" fontId="40" fillId="0" borderId="0" xfId="42" applyFont="1" applyFill="1" applyAlignment="1">
      <alignment vertical="top"/>
    </xf>
    <xf numFmtId="0" fontId="40" fillId="0" borderId="0" xfId="42" applyFont="1" applyFill="1" applyAlignment="1">
      <alignment horizontal="left" vertical="top" indent="1"/>
    </xf>
    <xf numFmtId="179" fontId="36" fillId="0" borderId="0" xfId="48" quotePrefix="1" applyNumberFormat="1" applyFont="1" applyFill="1" applyAlignment="1" applyProtection="1">
      <alignment vertical="top"/>
    </xf>
    <xf numFmtId="43" fontId="36" fillId="0" borderId="0" xfId="47" applyFont="1" applyFill="1" applyBorder="1" applyAlignment="1" applyProtection="1">
      <alignment horizontal="center" vertical="top"/>
    </xf>
    <xf numFmtId="43" fontId="36" fillId="0" borderId="0" xfId="49" applyNumberFormat="1" applyFont="1" applyFill="1" applyBorder="1" applyAlignment="1" applyProtection="1">
      <alignment horizontal="center" vertical="top"/>
    </xf>
    <xf numFmtId="0" fontId="43" fillId="0" borderId="0" xfId="46" applyFont="1" applyFill="1" applyAlignment="1">
      <alignment horizontal="left" vertical="center"/>
    </xf>
    <xf numFmtId="182" fontId="40" fillId="0" borderId="0" xfId="42" applyNumberFormat="1" applyFont="1" applyFill="1" applyBorder="1" applyAlignment="1">
      <alignment horizontal="left" vertical="center"/>
    </xf>
    <xf numFmtId="168" fontId="36" fillId="0" borderId="0" xfId="44" applyNumberFormat="1" applyFont="1" applyFill="1" applyAlignment="1">
      <alignment horizontal="center" vertical="center"/>
    </xf>
    <xf numFmtId="168" fontId="36" fillId="0" borderId="0" xfId="44" applyNumberFormat="1" applyFont="1" applyFill="1" applyBorder="1" applyAlignment="1" applyProtection="1">
      <alignment horizontal="center" vertical="center"/>
    </xf>
    <xf numFmtId="168" fontId="40" fillId="0" borderId="4" xfId="44" applyNumberFormat="1" applyFont="1" applyFill="1" applyBorder="1" applyAlignment="1">
      <alignment horizontal="center" vertical="center"/>
    </xf>
    <xf numFmtId="10" fontId="40" fillId="0" borderId="0" xfId="4" applyNumberFormat="1" applyFont="1" applyFill="1" applyBorder="1" applyAlignment="1">
      <alignment horizontal="right" vertical="center"/>
    </xf>
    <xf numFmtId="0" fontId="36" fillId="0" borderId="0" xfId="8" applyNumberFormat="1" applyFont="1" applyFill="1" applyAlignment="1">
      <alignment vertical="top"/>
    </xf>
    <xf numFmtId="0" fontId="36" fillId="0" borderId="0" xfId="46" applyFont="1" applyFill="1" applyAlignment="1">
      <alignment vertical="top"/>
    </xf>
    <xf numFmtId="2" fontId="40" fillId="0" borderId="0" xfId="49" applyNumberFormat="1" applyFont="1" applyFill="1" applyBorder="1" applyAlignment="1">
      <alignment horizontal="right" vertical="top"/>
    </xf>
    <xf numFmtId="0" fontId="40" fillId="0" borderId="0" xfId="49" applyNumberFormat="1" applyFont="1" applyFill="1" applyBorder="1" applyAlignment="1">
      <alignment horizontal="right" vertical="top"/>
    </xf>
    <xf numFmtId="168" fontId="36" fillId="0" borderId="0" xfId="44" applyNumberFormat="1" applyFont="1" applyFill="1" applyBorder="1" applyAlignment="1">
      <alignment horizontal="center" vertical="center"/>
    </xf>
    <xf numFmtId="168" fontId="36" fillId="0" borderId="4" xfId="44" applyNumberFormat="1" applyFont="1" applyFill="1" applyBorder="1" applyAlignment="1">
      <alignment horizontal="center" vertical="center"/>
    </xf>
    <xf numFmtId="168" fontId="36" fillId="0" borderId="4" xfId="44" applyNumberFormat="1" applyFont="1" applyFill="1" applyBorder="1" applyAlignment="1" applyProtection="1">
      <alignment vertical="center"/>
    </xf>
    <xf numFmtId="2" fontId="40" fillId="0" borderId="0" xfId="49" applyNumberFormat="1" applyFont="1" applyFill="1" applyBorder="1" applyAlignment="1">
      <alignment horizontal="right" vertical="center"/>
    </xf>
    <xf numFmtId="168" fontId="40" fillId="0" borderId="0" xfId="49" applyNumberFormat="1" applyFont="1" applyFill="1" applyBorder="1" applyAlignment="1">
      <alignment horizontal="right" vertical="center"/>
    </xf>
    <xf numFmtId="10" fontId="36" fillId="0" borderId="0" xfId="4" applyNumberFormat="1" applyFont="1" applyFill="1" applyBorder="1" applyAlignment="1">
      <alignment horizontal="right" vertical="center"/>
    </xf>
    <xf numFmtId="0" fontId="8" fillId="0" borderId="0" xfId="2" applyNumberFormat="1" applyFont="1" applyFill="1" applyAlignment="1">
      <alignment horizontal="center" vertical="top"/>
    </xf>
    <xf numFmtId="0" fontId="6" fillId="0" borderId="0" xfId="2" applyNumberFormat="1" applyFont="1" applyFill="1" applyAlignment="1">
      <alignment vertical="top"/>
    </xf>
    <xf numFmtId="168" fontId="36" fillId="0" borderId="0" xfId="44" applyNumberFormat="1" applyFont="1" applyFill="1" applyBorder="1" applyAlignment="1" applyProtection="1">
      <alignment vertical="center"/>
    </xf>
    <xf numFmtId="0" fontId="40" fillId="0" borderId="0" xfId="49" applyNumberFormat="1" applyFont="1" applyFill="1" applyBorder="1" applyAlignment="1">
      <alignment horizontal="right" vertical="center"/>
    </xf>
    <xf numFmtId="0" fontId="6" fillId="0" borderId="0" xfId="42" applyFont="1" applyFill="1" applyAlignment="1">
      <alignment horizontal="centerContinuous"/>
    </xf>
    <xf numFmtId="0" fontId="24" fillId="0" borderId="0" xfId="42" applyFont="1" applyFill="1" applyAlignment="1">
      <alignment horizontal="centerContinuous" vertical="center"/>
    </xf>
    <xf numFmtId="0" fontId="22" fillId="0" borderId="11" xfId="2" applyNumberFormat="1" applyFont="1" applyFill="1" applyBorder="1" applyAlignment="1">
      <alignment vertical="center"/>
    </xf>
    <xf numFmtId="0" fontId="24" fillId="0" borderId="12" xfId="1" applyFont="1" applyFill="1" applyBorder="1" applyAlignment="1">
      <alignment vertical="center"/>
    </xf>
    <xf numFmtId="0" fontId="24" fillId="0" borderId="13" xfId="1" applyFont="1" applyFill="1" applyBorder="1" applyAlignment="1">
      <alignment vertical="center"/>
    </xf>
    <xf numFmtId="10" fontId="22" fillId="0" borderId="14" xfId="4" applyNumberFormat="1" applyFont="1" applyFill="1" applyBorder="1" applyAlignment="1">
      <alignment horizontal="center" vertical="center"/>
    </xf>
    <xf numFmtId="179" fontId="22" fillId="0" borderId="0" xfId="48" applyNumberFormat="1" applyFont="1" applyFill="1" applyAlignment="1" applyProtection="1">
      <alignment vertical="top"/>
    </xf>
    <xf numFmtId="179" fontId="24" fillId="0" borderId="0" xfId="48" applyNumberFormat="1" applyFont="1" applyFill="1" applyAlignment="1" applyProtection="1">
      <alignment vertical="top"/>
    </xf>
    <xf numFmtId="0" fontId="24" fillId="0" borderId="0" xfId="42" applyFont="1" applyFill="1" applyAlignment="1">
      <alignment horizontal="center"/>
    </xf>
    <xf numFmtId="0" fontId="22" fillId="0" borderId="0" xfId="42" applyFont="1" applyFill="1" applyAlignment="1">
      <alignment vertical="top"/>
    </xf>
    <xf numFmtId="168" fontId="24" fillId="0" borderId="0" xfId="2" quotePrefix="1" applyNumberFormat="1" applyFont="1" applyFill="1" applyBorder="1" applyAlignment="1">
      <alignment horizontal="center" vertical="top"/>
    </xf>
    <xf numFmtId="49" fontId="24" fillId="0" borderId="0" xfId="2" applyNumberFormat="1" applyFont="1" applyFill="1" applyBorder="1" applyAlignment="1" applyProtection="1">
      <alignment horizontal="center" vertical="top"/>
    </xf>
    <xf numFmtId="185" fontId="24" fillId="0" borderId="0" xfId="2" applyNumberFormat="1" applyFont="1" applyFill="1" applyBorder="1" applyAlignment="1" applyProtection="1">
      <alignment horizontal="center" vertical="top"/>
    </xf>
    <xf numFmtId="168" fontId="8" fillId="0" borderId="0" xfId="44" applyNumberFormat="1" applyFont="1" applyFill="1" applyBorder="1" applyAlignment="1">
      <alignment horizontal="center" vertical="center"/>
    </xf>
    <xf numFmtId="0" fontId="36" fillId="0" borderId="0" xfId="1" applyNumberFormat="1" applyFont="1" applyFill="1" applyBorder="1" applyAlignment="1">
      <alignment horizontal="center" vertical="top"/>
    </xf>
    <xf numFmtId="168" fontId="36" fillId="0" borderId="0" xfId="2" applyNumberFormat="1" applyFont="1" applyFill="1" applyBorder="1" applyAlignment="1">
      <alignment horizontal="center" vertical="top"/>
    </xf>
    <xf numFmtId="168" fontId="36" fillId="0" borderId="0" xfId="2" quotePrefix="1" applyNumberFormat="1" applyFont="1" applyFill="1" applyBorder="1" applyAlignment="1">
      <alignment horizontal="center" vertical="top"/>
    </xf>
    <xf numFmtId="49" fontId="36" fillId="0" borderId="0" xfId="2" applyNumberFormat="1" applyFont="1" applyFill="1" applyBorder="1" applyAlignment="1" applyProtection="1">
      <alignment horizontal="center" vertical="top"/>
    </xf>
    <xf numFmtId="168" fontId="36" fillId="0" borderId="0" xfId="2" quotePrefix="1" applyNumberFormat="1" applyFont="1" applyFill="1" applyBorder="1" applyAlignment="1" applyProtection="1">
      <alignment horizontal="center" vertical="top"/>
    </xf>
    <xf numFmtId="0" fontId="36" fillId="0" borderId="0" xfId="1" applyNumberFormat="1" applyFont="1" applyFill="1" applyBorder="1" applyAlignment="1">
      <alignment vertical="top"/>
    </xf>
    <xf numFmtId="0" fontId="8" fillId="0" borderId="0" xfId="42" applyFont="1" applyFill="1" applyAlignment="1"/>
    <xf numFmtId="177" fontId="8" fillId="0" borderId="0" xfId="42" quotePrefix="1" applyNumberFormat="1" applyFont="1" applyFill="1" applyBorder="1" applyAlignment="1">
      <alignment horizontal="left" vertical="center"/>
    </xf>
    <xf numFmtId="179" fontId="8" fillId="0" borderId="0" xfId="48" applyNumberFormat="1" applyFont="1" applyFill="1" applyAlignment="1">
      <alignment vertical="top"/>
    </xf>
    <xf numFmtId="0" fontId="6" fillId="0" borderId="0" xfId="46" applyFont="1" applyFill="1" applyAlignment="1">
      <alignment horizontal="left" vertical="center"/>
    </xf>
    <xf numFmtId="0" fontId="43" fillId="0" borderId="0" xfId="42" applyFont="1" applyFill="1" applyAlignment="1"/>
    <xf numFmtId="179" fontId="40" fillId="0" borderId="0" xfId="48" applyNumberFormat="1" applyFont="1" applyFill="1" applyAlignment="1" applyProtection="1">
      <alignment vertical="center"/>
    </xf>
    <xf numFmtId="179" fontId="36" fillId="0" borderId="0" xfId="48" applyNumberFormat="1" applyFont="1" applyFill="1" applyAlignment="1" applyProtection="1">
      <alignment vertical="center"/>
    </xf>
    <xf numFmtId="168" fontId="36" fillId="0" borderId="0" xfId="47" applyNumberFormat="1" applyFont="1" applyFill="1" applyAlignment="1">
      <alignment vertical="center"/>
    </xf>
    <xf numFmtId="168" fontId="40" fillId="0" borderId="0" xfId="44" applyNumberFormat="1" applyFont="1" applyFill="1" applyBorder="1" applyAlignment="1">
      <alignment horizontal="center" vertical="center"/>
    </xf>
    <xf numFmtId="168" fontId="40" fillId="0" borderId="0" xfId="44" applyNumberFormat="1" applyFont="1" applyFill="1" applyBorder="1" applyAlignment="1" applyProtection="1">
      <alignment vertical="center"/>
    </xf>
    <xf numFmtId="10" fontId="40" fillId="0" borderId="0" xfId="4" applyNumberFormat="1" applyFont="1" applyFill="1" applyBorder="1" applyAlignment="1"/>
    <xf numFmtId="168" fontId="36" fillId="0" borderId="0" xfId="44" applyNumberFormat="1" applyFont="1" applyFill="1" applyAlignment="1" applyProtection="1">
      <alignment vertical="center"/>
    </xf>
    <xf numFmtId="43" fontId="36" fillId="0" borderId="0" xfId="47" applyFont="1" applyFill="1" applyBorder="1" applyAlignment="1" applyProtection="1">
      <alignment vertical="center"/>
    </xf>
    <xf numFmtId="0" fontId="43" fillId="0" borderId="0" xfId="42" applyFont="1" applyFill="1" applyAlignment="1">
      <alignment vertical="center"/>
    </xf>
    <xf numFmtId="168" fontId="40" fillId="0" borderId="0" xfId="47" applyNumberFormat="1" applyFont="1" applyFill="1" applyBorder="1" applyAlignment="1">
      <alignment vertical="center"/>
    </xf>
    <xf numFmtId="168" fontId="40" fillId="0" borderId="4" xfId="47" applyNumberFormat="1" applyFont="1" applyFill="1" applyBorder="1" applyAlignment="1">
      <alignment vertical="center"/>
    </xf>
    <xf numFmtId="10" fontId="40" fillId="0" borderId="0" xfId="4" applyNumberFormat="1" applyFont="1" applyFill="1" applyBorder="1" applyAlignment="1">
      <alignment vertical="center"/>
    </xf>
    <xf numFmtId="10" fontId="36" fillId="0" borderId="0" xfId="4" applyNumberFormat="1" applyFont="1" applyFill="1" applyAlignment="1">
      <alignment vertical="center"/>
    </xf>
    <xf numFmtId="43" fontId="36" fillId="0" borderId="0" xfId="47" applyFont="1" applyFill="1" applyBorder="1" applyAlignment="1">
      <alignment horizontal="center" vertical="center"/>
    </xf>
    <xf numFmtId="182" fontId="36" fillId="0" borderId="0" xfId="42" applyNumberFormat="1" applyFont="1" applyFill="1" applyBorder="1" applyAlignment="1">
      <alignment horizontal="left" vertical="center"/>
    </xf>
    <xf numFmtId="0" fontId="43" fillId="0" borderId="0" xfId="42" applyFont="1" applyFill="1" applyAlignment="1">
      <alignment horizontal="centerContinuous" vertical="center"/>
    </xf>
    <xf numFmtId="0" fontId="40" fillId="0" borderId="11" xfId="2" applyNumberFormat="1" applyFont="1" applyFill="1" applyBorder="1" applyAlignment="1">
      <alignment horizontal="center" vertical="center"/>
    </xf>
    <xf numFmtId="0" fontId="23" fillId="0" borderId="12" xfId="1" applyFont="1" applyFill="1" applyBorder="1" applyAlignment="1">
      <alignment vertical="center"/>
    </xf>
    <xf numFmtId="0" fontId="23" fillId="0" borderId="13" xfId="1" applyFont="1" applyFill="1" applyBorder="1" applyAlignment="1">
      <alignment vertical="center"/>
    </xf>
    <xf numFmtId="10" fontId="40" fillId="0" borderId="14" xfId="4" applyNumberFormat="1" applyFont="1" applyFill="1" applyBorder="1" applyAlignment="1">
      <alignment horizontal="center" vertical="center"/>
    </xf>
    <xf numFmtId="0" fontId="43" fillId="0" borderId="0" xfId="42" applyFont="1" applyFill="1" applyAlignment="1">
      <alignment horizontal="centerContinuous"/>
    </xf>
    <xf numFmtId="0" fontId="36" fillId="0" borderId="0" xfId="42" applyFont="1" applyFill="1" applyAlignment="1">
      <alignment horizontal="centerContinuous"/>
    </xf>
    <xf numFmtId="0" fontId="36" fillId="0" borderId="0" xfId="42" applyFont="1" applyFill="1" applyAlignment="1">
      <alignment horizontal="center"/>
    </xf>
    <xf numFmtId="43" fontId="8" fillId="0" borderId="0" xfId="47" applyFont="1" applyFill="1" applyBorder="1" applyAlignment="1">
      <alignment horizontal="center" vertical="center"/>
    </xf>
    <xf numFmtId="43" fontId="8" fillId="0" borderId="0" xfId="47" applyFont="1" applyFill="1" applyBorder="1" applyAlignment="1">
      <alignment horizontal="centerContinuous" vertical="center"/>
    </xf>
    <xf numFmtId="168" fontId="36" fillId="0" borderId="1" xfId="44" applyNumberFormat="1" applyFont="1" applyFill="1" applyBorder="1" applyAlignment="1">
      <alignment horizontal="center" vertical="center"/>
    </xf>
    <xf numFmtId="0" fontId="36" fillId="0" borderId="0" xfId="46" applyFont="1" applyFill="1" applyAlignment="1">
      <alignment horizontal="left"/>
    </xf>
    <xf numFmtId="0" fontId="40" fillId="0" borderId="0" xfId="46" applyFont="1" applyFill="1" applyAlignment="1">
      <alignment vertical="top"/>
    </xf>
    <xf numFmtId="43" fontId="40" fillId="0" borderId="0" xfId="47" applyFont="1" applyFill="1" applyBorder="1" applyAlignment="1">
      <alignment horizontal="center" vertical="center"/>
    </xf>
    <xf numFmtId="0" fontId="6" fillId="0" borderId="0" xfId="2" applyNumberFormat="1" applyFont="1" applyFill="1" applyAlignment="1">
      <alignment horizontal="center" vertical="top"/>
    </xf>
    <xf numFmtId="0" fontId="7" fillId="0" borderId="0" xfId="1" applyFont="1" applyFill="1" applyAlignment="1" applyProtection="1">
      <alignment horizontal="justify" vertical="top"/>
    </xf>
    <xf numFmtId="0" fontId="7" fillId="0" borderId="0" xfId="1" applyFont="1" applyFill="1" applyAlignment="1">
      <alignment horizontal="justify" vertical="top"/>
    </xf>
    <xf numFmtId="0" fontId="42" fillId="0" borderId="0" xfId="45" quotePrefix="1" applyNumberFormat="1" applyFont="1" applyFill="1" applyBorder="1" applyAlignment="1">
      <alignment horizontal="center" vertical="center" wrapText="1"/>
    </xf>
    <xf numFmtId="0" fontId="42" fillId="0" borderId="0" xfId="42" applyFont="1" applyFill="1" applyBorder="1" applyAlignment="1">
      <alignment horizontal="center" vertical="center"/>
    </xf>
    <xf numFmtId="0" fontId="7" fillId="0" borderId="0" xfId="1" applyFont="1" applyFill="1" applyAlignment="1" applyProtection="1">
      <alignment vertical="top"/>
    </xf>
    <xf numFmtId="0" fontId="5" fillId="0" borderId="0" xfId="1" applyFont="1" applyFill="1" applyAlignment="1">
      <alignment horizontal="center"/>
    </xf>
    <xf numFmtId="0" fontId="5" fillId="0" borderId="0" xfId="11" applyFont="1" applyFill="1" applyBorder="1" applyAlignment="1" applyProtection="1">
      <alignment horizontal="center" vertical="center" wrapText="1"/>
    </xf>
    <xf numFmtId="0" fontId="5" fillId="0" borderId="0" xfId="12" applyNumberFormat="1" applyFont="1" applyFill="1" applyBorder="1" applyAlignment="1">
      <alignment horizontal="center" vertical="center" wrapText="1"/>
    </xf>
    <xf numFmtId="181" fontId="24" fillId="0" borderId="0" xfId="42" applyNumberFormat="1" applyFont="1" applyFill="1" applyAlignment="1">
      <alignment horizontal="center"/>
    </xf>
    <xf numFmtId="181" fontId="36" fillId="0" borderId="0" xfId="42" applyNumberFormat="1" applyFont="1" applyFill="1" applyAlignment="1"/>
    <xf numFmtId="167" fontId="36" fillId="0" borderId="0" xfId="2" applyFont="1" applyFill="1"/>
    <xf numFmtId="167" fontId="36" fillId="0" borderId="0" xfId="2" quotePrefix="1" applyFont="1" applyFill="1" applyBorder="1"/>
    <xf numFmtId="167" fontId="36" fillId="0" borderId="0" xfId="2" applyFont="1" applyFill="1" applyBorder="1"/>
    <xf numFmtId="0" fontId="36" fillId="0" borderId="0" xfId="42" applyFont="1" applyFill="1" applyAlignment="1">
      <alignment horizontal="left" vertical="center"/>
    </xf>
    <xf numFmtId="41" fontId="36" fillId="0" borderId="0" xfId="42" applyNumberFormat="1" applyFont="1" applyFill="1" applyAlignment="1">
      <alignment vertical="center"/>
    </xf>
    <xf numFmtId="43" fontId="36" fillId="0" borderId="4" xfId="92" applyFont="1" applyFill="1" applyBorder="1" applyAlignment="1">
      <alignment vertical="center"/>
    </xf>
    <xf numFmtId="43" fontId="36" fillId="0" borderId="0" xfId="92" applyFont="1" applyFill="1" applyBorder="1" applyAlignment="1">
      <alignment vertical="center"/>
    </xf>
    <xf numFmtId="43" fontId="36" fillId="0" borderId="1" xfId="92" applyFont="1" applyFill="1" applyBorder="1" applyAlignment="1">
      <alignment vertical="center"/>
    </xf>
    <xf numFmtId="168" fontId="36" fillId="0" borderId="1" xfId="92" applyNumberFormat="1" applyFont="1" applyFill="1" applyBorder="1" applyAlignment="1">
      <alignment vertical="center"/>
    </xf>
    <xf numFmtId="43" fontId="40" fillId="0" borderId="0" xfId="92" applyFont="1" applyFill="1" applyBorder="1" applyAlignment="1">
      <alignment vertical="center"/>
    </xf>
    <xf numFmtId="168" fontId="36" fillId="0" borderId="0" xfId="92" applyNumberFormat="1" applyFont="1" applyFill="1" applyBorder="1" applyAlignment="1">
      <alignment vertical="center"/>
    </xf>
    <xf numFmtId="0" fontId="7" fillId="0" borderId="0" xfId="46" applyFont="1" applyFill="1" applyAlignment="1"/>
    <xf numFmtId="0" fontId="5" fillId="0" borderId="0" xfId="43" applyNumberFormat="1" applyFont="1" applyFill="1" applyBorder="1" applyAlignment="1">
      <alignment vertical="top"/>
    </xf>
    <xf numFmtId="0" fontId="7" fillId="0" borderId="0" xfId="46" applyFont="1" applyFill="1" applyAlignment="1">
      <alignment horizontal="left"/>
    </xf>
    <xf numFmtId="177" fontId="7" fillId="0" borderId="0" xfId="46" applyNumberFormat="1" applyFont="1" applyFill="1" applyAlignment="1">
      <alignment horizontal="center"/>
    </xf>
    <xf numFmtId="168" fontId="5" fillId="0" borderId="0" xfId="42" applyNumberFormat="1" applyFont="1" applyFill="1" applyAlignment="1"/>
    <xf numFmtId="168" fontId="7" fillId="0" borderId="0" xfId="47" applyNumberFormat="1" applyFont="1" applyFill="1" applyAlignment="1"/>
    <xf numFmtId="0" fontId="7" fillId="0" borderId="0" xfId="44" applyNumberFormat="1" applyFont="1" applyFill="1" applyAlignment="1">
      <alignment vertical="center"/>
    </xf>
    <xf numFmtId="0" fontId="7" fillId="0" borderId="0" xfId="44" quotePrefix="1" applyNumberFormat="1" applyFont="1" applyFill="1" applyAlignment="1">
      <alignment horizontal="left" vertical="center" indent="1"/>
    </xf>
    <xf numFmtId="168" fontId="5" fillId="0" borderId="5" xfId="46" applyNumberFormat="1" applyFont="1" applyFill="1" applyBorder="1" applyAlignment="1"/>
    <xf numFmtId="168" fontId="7" fillId="0" borderId="5" xfId="47" applyNumberFormat="1" applyFont="1" applyFill="1" applyBorder="1" applyAlignment="1"/>
    <xf numFmtId="168" fontId="5" fillId="0" borderId="6" xfId="2" applyNumberFormat="1" applyFont="1" applyFill="1" applyBorder="1" applyAlignment="1"/>
    <xf numFmtId="168" fontId="7" fillId="0" borderId="6" xfId="47" applyNumberFormat="1" applyFont="1" applyFill="1" applyBorder="1" applyAlignment="1"/>
    <xf numFmtId="168" fontId="5" fillId="0" borderId="7" xfId="46" applyNumberFormat="1" applyFont="1" applyFill="1" applyBorder="1" applyAlignment="1"/>
    <xf numFmtId="168" fontId="7" fillId="0" borderId="7" xfId="47" applyNumberFormat="1" applyFont="1" applyFill="1" applyBorder="1" applyAlignment="1"/>
    <xf numFmtId="0" fontId="7" fillId="0" borderId="0" xfId="44" applyNumberFormat="1" applyFont="1" applyFill="1" applyAlignment="1">
      <alignment horizontal="left" vertical="center" indent="1"/>
    </xf>
    <xf numFmtId="168" fontId="5" fillId="0" borderId="0" xfId="46" applyNumberFormat="1" applyFont="1" applyFill="1" applyAlignment="1"/>
    <xf numFmtId="168" fontId="7" fillId="0" borderId="0" xfId="46" applyNumberFormat="1" applyFont="1" applyFill="1" applyAlignment="1"/>
    <xf numFmtId="168" fontId="5" fillId="0" borderId="5" xfId="47" applyNumberFormat="1" applyFont="1" applyFill="1" applyBorder="1" applyAlignment="1"/>
    <xf numFmtId="168" fontId="5" fillId="0" borderId="7" xfId="47" applyNumberFormat="1" applyFont="1" applyFill="1" applyBorder="1" applyAlignment="1"/>
    <xf numFmtId="168" fontId="7" fillId="0" borderId="0" xfId="44" applyNumberFormat="1" applyFont="1" applyFill="1" applyAlignment="1">
      <alignment horizontal="left" vertical="center" indent="1"/>
    </xf>
    <xf numFmtId="0" fontId="7" fillId="0" borderId="0" xfId="46" applyFont="1" applyFill="1" applyAlignment="1">
      <alignment horizontal="left" vertical="center"/>
    </xf>
    <xf numFmtId="0" fontId="7" fillId="0" borderId="0" xfId="46" applyFont="1" applyFill="1" applyAlignment="1">
      <alignment vertical="center"/>
    </xf>
    <xf numFmtId="0" fontId="37" fillId="0" borderId="0" xfId="32" applyFont="1" applyFill="1" applyBorder="1" applyAlignment="1">
      <alignment horizontal="center" vertical="center"/>
    </xf>
    <xf numFmtId="179" fontId="37" fillId="0" borderId="0" xfId="44" applyNumberFormat="1" applyFont="1" applyFill="1" applyBorder="1" applyAlignment="1" applyProtection="1">
      <alignment horizontal="center" vertical="center" wrapText="1"/>
    </xf>
    <xf numFmtId="0" fontId="37" fillId="0" borderId="0" xfId="45" applyNumberFormat="1" applyFont="1" applyFill="1" applyBorder="1" applyAlignment="1">
      <alignment horizontal="center" vertical="center" wrapText="1"/>
    </xf>
    <xf numFmtId="168" fontId="39" fillId="0" borderId="0" xfId="92" applyNumberFormat="1" applyFont="1" applyFill="1" applyBorder="1" applyAlignment="1" applyProtection="1">
      <alignment horizontal="center" vertical="center" wrapText="1"/>
    </xf>
    <xf numFmtId="0" fontId="39" fillId="0" borderId="0" xfId="32" applyFont="1" applyFill="1" applyBorder="1" applyAlignment="1">
      <alignment horizontal="center" vertical="center"/>
    </xf>
    <xf numFmtId="0" fontId="39" fillId="0" borderId="0" xfId="32" applyFont="1" applyFill="1" applyBorder="1" applyAlignment="1">
      <alignment horizontal="left" vertical="center"/>
    </xf>
    <xf numFmtId="0" fontId="42" fillId="0" borderId="0" xfId="32" applyFont="1" applyFill="1" applyBorder="1" applyAlignment="1">
      <alignment horizontal="center" vertical="center"/>
    </xf>
    <xf numFmtId="179" fontId="42" fillId="0" borderId="0" xfId="44" applyNumberFormat="1" applyFont="1" applyFill="1" applyBorder="1" applyAlignment="1" applyProtection="1">
      <alignment horizontal="center" vertical="center" wrapText="1"/>
    </xf>
    <xf numFmtId="169" fontId="7" fillId="0" borderId="0" xfId="1" applyNumberFormat="1" applyFont="1" applyFill="1" applyAlignment="1">
      <alignment horizontal="justify" vertical="top" wrapText="1"/>
    </xf>
    <xf numFmtId="0" fontId="5" fillId="0" borderId="0" xfId="55" applyFont="1" applyFill="1" applyBorder="1" applyAlignment="1">
      <alignment horizontal="left" vertical="top" indent="2"/>
    </xf>
    <xf numFmtId="170" fontId="51" fillId="0" borderId="0" xfId="55" applyNumberFormat="1" applyFont="1" applyFill="1" applyAlignment="1">
      <alignment horizontal="left" vertical="top"/>
    </xf>
    <xf numFmtId="0" fontId="70" fillId="0" borderId="0" xfId="32" applyFont="1" applyFill="1" applyBorder="1" applyAlignment="1">
      <alignment horizontal="center" vertical="center"/>
    </xf>
    <xf numFmtId="179" fontId="70" fillId="0" borderId="0" xfId="44" applyNumberFormat="1" applyFont="1" applyFill="1" applyBorder="1" applyAlignment="1" applyProtection="1">
      <alignment horizontal="center" vertical="center" wrapText="1"/>
    </xf>
    <xf numFmtId="0" fontId="70" fillId="0" borderId="0" xfId="45" applyNumberFormat="1" applyFont="1" applyFill="1" applyBorder="1" applyAlignment="1">
      <alignment horizontal="center" vertical="center" wrapText="1"/>
    </xf>
    <xf numFmtId="170" fontId="51" fillId="0" borderId="0" xfId="55" applyNumberFormat="1" applyFont="1" applyFill="1" applyBorder="1" applyAlignment="1">
      <alignment horizontal="left" vertical="top"/>
    </xf>
    <xf numFmtId="0" fontId="15" fillId="0" borderId="0" xfId="1" applyFont="1" applyFill="1" applyBorder="1" applyAlignment="1" applyProtection="1">
      <alignment vertical="top"/>
    </xf>
    <xf numFmtId="0" fontId="71" fillId="0" borderId="0" xfId="1" applyFont="1" applyFill="1" applyBorder="1" applyAlignment="1" applyProtection="1">
      <alignment vertical="top"/>
    </xf>
    <xf numFmtId="0" fontId="71" fillId="0" borderId="0" xfId="1" applyFont="1" applyFill="1" applyBorder="1" applyAlignment="1" applyProtection="1">
      <alignment horizontal="center" vertical="top"/>
    </xf>
    <xf numFmtId="0" fontId="71" fillId="0" borderId="0" xfId="1" applyFont="1" applyFill="1" applyBorder="1" applyAlignment="1" applyProtection="1">
      <alignment horizontal="center" vertical="center"/>
    </xf>
    <xf numFmtId="168" fontId="71" fillId="0" borderId="0" xfId="2" applyNumberFormat="1" applyFont="1" applyFill="1" applyBorder="1" applyAlignment="1" applyProtection="1">
      <alignment vertical="top"/>
    </xf>
    <xf numFmtId="168" fontId="71" fillId="0" borderId="0" xfId="2" applyNumberFormat="1" applyFont="1" applyFill="1" applyBorder="1" applyAlignment="1" applyProtection="1">
      <alignment horizontal="justify" vertical="top"/>
    </xf>
    <xf numFmtId="0" fontId="15" fillId="0" borderId="0" xfId="1" applyFont="1" applyFill="1" applyBorder="1" applyAlignment="1" applyProtection="1">
      <alignment horizontal="left" vertical="top" indent="2"/>
    </xf>
    <xf numFmtId="0" fontId="71" fillId="0" borderId="0" xfId="1" applyFont="1" applyFill="1" applyAlignment="1" applyProtection="1">
      <alignment vertical="top"/>
    </xf>
    <xf numFmtId="0" fontId="71" fillId="0" borderId="0" xfId="1" applyFont="1" applyFill="1" applyAlignment="1" applyProtection="1">
      <alignment horizontal="center" vertical="top"/>
    </xf>
    <xf numFmtId="168" fontId="71" fillId="0" borderId="0" xfId="2" applyNumberFormat="1" applyFont="1" applyFill="1" applyAlignment="1" applyProtection="1">
      <alignment vertical="top"/>
    </xf>
    <xf numFmtId="168" fontId="71" fillId="0" borderId="0" xfId="2" applyNumberFormat="1" applyFont="1" applyFill="1" applyAlignment="1" applyProtection="1">
      <alignment horizontal="justify" vertical="top"/>
    </xf>
    <xf numFmtId="0" fontId="15" fillId="0" borderId="0" xfId="1" applyFont="1" applyFill="1" applyAlignment="1" applyProtection="1">
      <alignment horizontal="left" vertical="top" indent="2"/>
    </xf>
    <xf numFmtId="0" fontId="6" fillId="0" borderId="0" xfId="36" applyFont="1" applyFill="1" applyBorder="1" applyAlignment="1">
      <alignment vertical="center"/>
    </xf>
    <xf numFmtId="10" fontId="6" fillId="0" borderId="0" xfId="36" applyNumberFormat="1" applyFont="1" applyFill="1" applyBorder="1" applyAlignment="1">
      <alignment vertical="center"/>
    </xf>
    <xf numFmtId="177" fontId="8" fillId="0" borderId="0" xfId="44" quotePrefix="1" applyNumberFormat="1" applyFont="1" applyFill="1" applyBorder="1" applyAlignment="1">
      <alignment horizontal="left" vertical="top"/>
    </xf>
    <xf numFmtId="0" fontId="6" fillId="0" borderId="0" xfId="46" applyFont="1" applyFill="1" applyBorder="1" applyAlignment="1"/>
    <xf numFmtId="0" fontId="6" fillId="0" borderId="0" xfId="46" applyFont="1" applyFill="1" applyBorder="1" applyAlignment="1">
      <alignment horizontal="left"/>
    </xf>
    <xf numFmtId="179" fontId="6" fillId="0" borderId="0" xfId="48" applyNumberFormat="1" applyFont="1" applyFill="1" applyBorder="1" applyAlignment="1">
      <alignment vertical="top"/>
    </xf>
    <xf numFmtId="0" fontId="8" fillId="0" borderId="0" xfId="2" applyNumberFormat="1" applyFont="1" applyFill="1" applyBorder="1" applyAlignment="1">
      <alignment horizontal="center" vertical="top"/>
    </xf>
    <xf numFmtId="0" fontId="6" fillId="0" borderId="0" xfId="2" applyNumberFormat="1" applyFont="1" applyFill="1" applyBorder="1" applyAlignment="1">
      <alignment vertical="top"/>
    </xf>
    <xf numFmtId="0" fontId="8" fillId="0" borderId="0" xfId="42" applyFont="1" applyFill="1" applyBorder="1" applyAlignment="1"/>
    <xf numFmtId="0" fontId="6" fillId="0" borderId="0" xfId="46" applyFont="1" applyFill="1" applyBorder="1" applyAlignment="1">
      <alignment horizontal="left" vertical="center"/>
    </xf>
    <xf numFmtId="0" fontId="6" fillId="0" borderId="0" xfId="42" applyFont="1" applyFill="1" applyBorder="1" applyAlignment="1">
      <alignment horizontal="centerContinuous"/>
    </xf>
    <xf numFmtId="0" fontId="6" fillId="0" borderId="0" xfId="42" applyFont="1" applyFill="1" applyBorder="1" applyAlignment="1">
      <alignment horizontal="centerContinuous" vertical="center"/>
    </xf>
    <xf numFmtId="0" fontId="6" fillId="0" borderId="0" xfId="2" applyNumberFormat="1" applyFont="1" applyFill="1" applyBorder="1" applyAlignment="1">
      <alignment horizontal="center" vertical="top"/>
    </xf>
    <xf numFmtId="0" fontId="8" fillId="0" borderId="0" xfId="52" applyFont="1" applyFill="1" applyAlignment="1" applyProtection="1">
      <alignment vertical="top"/>
      <protection locked="0"/>
    </xf>
    <xf numFmtId="0" fontId="6" fillId="0" borderId="0" xfId="92" applyNumberFormat="1" applyFont="1" applyFill="1" applyAlignment="1">
      <alignment vertical="top"/>
    </xf>
    <xf numFmtId="168" fontId="6" fillId="0" borderId="0" xfId="92" applyNumberFormat="1" applyFont="1" applyFill="1" applyBorder="1" applyAlignment="1"/>
    <xf numFmtId="168" fontId="6" fillId="0" borderId="0" xfId="92" applyNumberFormat="1" applyFont="1" applyFill="1" applyBorder="1" applyAlignment="1">
      <alignment vertical="center"/>
    </xf>
    <xf numFmtId="168" fontId="6" fillId="0" borderId="0" xfId="92" applyNumberFormat="1" applyFont="1" applyFill="1" applyBorder="1" applyAlignment="1">
      <alignment vertical="top"/>
    </xf>
    <xf numFmtId="168" fontId="8" fillId="0" borderId="0" xfId="92" applyNumberFormat="1" applyFont="1" applyFill="1" applyBorder="1" applyAlignment="1">
      <alignment horizontal="center" vertical="center"/>
    </xf>
    <xf numFmtId="168" fontId="8" fillId="0" borderId="0" xfId="92" applyNumberFormat="1" applyFont="1" applyFill="1" applyBorder="1" applyAlignment="1">
      <alignment horizontal="centerContinuous" vertical="center"/>
    </xf>
    <xf numFmtId="168" fontId="6" fillId="0" borderId="0" xfId="92" applyNumberFormat="1" applyFont="1" applyFill="1" applyBorder="1" applyAlignment="1">
      <alignment horizontal="justify" vertical="top"/>
    </xf>
    <xf numFmtId="168" fontId="8" fillId="0" borderId="0" xfId="92" applyNumberFormat="1" applyFont="1" applyFill="1" applyBorder="1" applyAlignment="1">
      <alignment vertical="center"/>
    </xf>
    <xf numFmtId="0" fontId="8" fillId="0" borderId="0" xfId="52" applyFont="1" applyFill="1" applyBorder="1" applyAlignment="1" applyProtection="1">
      <alignment vertical="top"/>
      <protection locked="0"/>
    </xf>
    <xf numFmtId="0" fontId="6" fillId="0" borderId="0" xfId="92" applyNumberFormat="1" applyFont="1" applyFill="1" applyBorder="1" applyAlignment="1">
      <alignment vertical="top"/>
    </xf>
    <xf numFmtId="168" fontId="19" fillId="0" borderId="0" xfId="92" applyNumberFormat="1" applyFont="1" applyFill="1" applyAlignment="1">
      <alignment vertical="top"/>
    </xf>
    <xf numFmtId="168" fontId="6" fillId="0" borderId="27" xfId="92" applyNumberFormat="1" applyFont="1" applyFill="1" applyBorder="1" applyAlignment="1">
      <alignment horizontal="center" vertical="center" wrapText="1"/>
    </xf>
    <xf numFmtId="167" fontId="7" fillId="0" borderId="5" xfId="15" applyFont="1" applyFill="1" applyBorder="1"/>
    <xf numFmtId="167" fontId="7" fillId="0" borderId="6" xfId="15" applyFont="1" applyFill="1" applyBorder="1"/>
    <xf numFmtId="167" fontId="7" fillId="0" borderId="7" xfId="15" applyFont="1" applyFill="1" applyBorder="1"/>
    <xf numFmtId="167" fontId="7" fillId="0" borderId="4" xfId="15" applyFont="1" applyFill="1" applyBorder="1" applyAlignment="1">
      <alignment vertical="center"/>
    </xf>
    <xf numFmtId="167" fontId="5" fillId="0" borderId="8" xfId="15" applyFont="1" applyFill="1" applyBorder="1" applyProtection="1">
      <protection locked="0"/>
    </xf>
    <xf numFmtId="167" fontId="7" fillId="0" borderId="8" xfId="15" applyFont="1" applyFill="1" applyBorder="1" applyProtection="1">
      <protection locked="0"/>
    </xf>
    <xf numFmtId="167" fontId="7" fillId="0" borderId="2" xfId="15" applyFont="1" applyFill="1" applyBorder="1"/>
    <xf numFmtId="167" fontId="5" fillId="0" borderId="0" xfId="15" applyFont="1" applyFill="1" applyBorder="1" applyProtection="1"/>
    <xf numFmtId="167" fontId="5" fillId="0" borderId="4" xfId="15" applyFont="1" applyFill="1" applyBorder="1" applyAlignment="1" applyProtection="1">
      <alignment vertical="center"/>
    </xf>
    <xf numFmtId="167" fontId="7" fillId="0" borderId="4" xfId="15" applyFont="1" applyFill="1" applyBorder="1" applyAlignment="1" applyProtection="1">
      <alignment vertical="center"/>
    </xf>
    <xf numFmtId="169" fontId="7" fillId="0" borderId="1" xfId="12" applyNumberFormat="1" applyFont="1" applyFill="1" applyBorder="1" applyAlignment="1">
      <alignment horizontal="center" vertical="top"/>
    </xf>
    <xf numFmtId="169" fontId="7" fillId="0" borderId="1" xfId="13" applyNumberFormat="1" applyFont="1" applyFill="1" applyBorder="1" applyAlignment="1">
      <alignment horizontal="center" vertical="top"/>
    </xf>
    <xf numFmtId="169" fontId="7" fillId="0" borderId="0" xfId="13" applyNumberFormat="1" applyFont="1" applyFill="1" applyBorder="1" applyAlignment="1">
      <alignment horizontal="left" vertical="top"/>
    </xf>
    <xf numFmtId="168" fontId="36" fillId="0" borderId="4" xfId="92" applyNumberFormat="1" applyFont="1" applyFill="1" applyBorder="1" applyAlignment="1">
      <alignment vertical="center"/>
    </xf>
    <xf numFmtId="168" fontId="8" fillId="0" borderId="4" xfId="92" applyNumberFormat="1" applyFont="1" applyFill="1" applyBorder="1" applyAlignment="1"/>
    <xf numFmtId="183" fontId="6" fillId="0" borderId="0" xfId="42" applyNumberFormat="1" applyFont="1" applyFill="1" applyBorder="1" applyAlignment="1">
      <alignment horizontal="justify" vertical="top"/>
    </xf>
    <xf numFmtId="0" fontId="8" fillId="0" borderId="0" xfId="36" quotePrefix="1" applyFont="1" applyFill="1" applyBorder="1" applyAlignment="1">
      <alignment vertical="center"/>
    </xf>
    <xf numFmtId="0" fontId="8" fillId="0" borderId="0" xfId="42" quotePrefix="1" applyFont="1" applyFill="1" applyBorder="1" applyAlignment="1"/>
    <xf numFmtId="0" fontId="11" fillId="0" borderId="0" xfId="0" applyFont="1" applyFill="1"/>
    <xf numFmtId="168" fontId="11" fillId="0" borderId="0" xfId="92" applyNumberFormat="1" applyFont="1" applyFill="1"/>
    <xf numFmtId="0" fontId="8" fillId="0" borderId="0" xfId="23" applyFont="1" applyFill="1" applyBorder="1" applyAlignment="1">
      <alignment horizontal="center" vertical="center"/>
    </xf>
    <xf numFmtId="168" fontId="6" fillId="0" borderId="0" xfId="92" applyNumberFormat="1" applyFont="1" applyBorder="1" applyAlignment="1">
      <alignment horizontal="center" vertical="center" wrapText="1"/>
    </xf>
    <xf numFmtId="0" fontId="6" fillId="0" borderId="0" xfId="52" applyFont="1" applyBorder="1" applyAlignment="1">
      <alignment horizontal="center" vertical="center" wrapText="1"/>
    </xf>
    <xf numFmtId="0" fontId="11" fillId="0" borderId="0" xfId="0" applyFont="1"/>
    <xf numFmtId="168" fontId="12" fillId="0" borderId="0" xfId="92" applyNumberFormat="1" applyFont="1"/>
    <xf numFmtId="0" fontId="12" fillId="0" borderId="0" xfId="0" applyFont="1"/>
    <xf numFmtId="168" fontId="12" fillId="0" borderId="0" xfId="92" applyNumberFormat="1" applyFont="1" applyFill="1" applyBorder="1"/>
    <xf numFmtId="168" fontId="12" fillId="0" borderId="0" xfId="92" applyNumberFormat="1" applyFont="1" applyFill="1"/>
    <xf numFmtId="0" fontId="12" fillId="0" borderId="0" xfId="0" applyFont="1" applyFill="1" applyBorder="1"/>
    <xf numFmtId="0" fontId="11" fillId="0" borderId="0" xfId="0" applyFont="1" applyFill="1" applyBorder="1"/>
    <xf numFmtId="168" fontId="6" fillId="0" borderId="0" xfId="42" applyNumberFormat="1" applyFont="1" applyFill="1" applyBorder="1" applyAlignment="1"/>
    <xf numFmtId="168" fontId="11" fillId="0" borderId="8" xfId="92" applyNumberFormat="1" applyFont="1" applyFill="1" applyBorder="1"/>
    <xf numFmtId="168" fontId="8" fillId="0" borderId="0" xfId="44" quotePrefix="1" applyNumberFormat="1" applyFont="1" applyFill="1" applyBorder="1" applyAlignment="1">
      <alignment horizontal="center" vertical="top"/>
    </xf>
    <xf numFmtId="168" fontId="8" fillId="0" borderId="0" xfId="44" applyNumberFormat="1" applyFont="1" applyFill="1" applyBorder="1" applyAlignment="1">
      <alignment horizontal="center" vertical="top"/>
    </xf>
    <xf numFmtId="168" fontId="6" fillId="0" borderId="0" xfId="44" applyNumberFormat="1" applyFont="1" applyFill="1" applyBorder="1" applyAlignment="1">
      <alignment horizontal="center" vertical="top"/>
    </xf>
    <xf numFmtId="168" fontId="6" fillId="0" borderId="0" xfId="2" applyNumberFormat="1" applyFont="1" applyFill="1" applyBorder="1" applyAlignment="1">
      <alignment horizontal="right"/>
    </xf>
    <xf numFmtId="10" fontId="6" fillId="0" borderId="0" xfId="4" applyNumberFormat="1" applyFont="1" applyFill="1" applyBorder="1"/>
    <xf numFmtId="168" fontId="6" fillId="0" borderId="0" xfId="44" applyNumberFormat="1" applyFont="1" applyFill="1" applyBorder="1" applyAlignment="1" applyProtection="1">
      <alignment vertical="top"/>
    </xf>
    <xf numFmtId="10" fontId="8" fillId="0" borderId="0" xfId="4" applyNumberFormat="1" applyFont="1" applyFill="1" applyBorder="1" applyAlignment="1">
      <alignment horizontal="right" vertical="center"/>
    </xf>
    <xf numFmtId="0" fontId="8" fillId="0" borderId="0" xfId="49" applyNumberFormat="1" applyFont="1" applyFill="1" applyBorder="1" applyAlignment="1">
      <alignment horizontal="right" vertical="top"/>
    </xf>
    <xf numFmtId="168" fontId="6" fillId="0" borderId="0" xfId="44" applyNumberFormat="1" applyFont="1" applyFill="1" applyBorder="1" applyAlignment="1">
      <alignment horizontal="center" vertical="center"/>
    </xf>
    <xf numFmtId="10" fontId="6" fillId="0" borderId="0" xfId="4" applyNumberFormat="1" applyFont="1" applyFill="1" applyBorder="1" applyAlignment="1">
      <alignment horizontal="right" vertical="center"/>
    </xf>
    <xf numFmtId="0" fontId="12" fillId="0" borderId="0" xfId="0" applyFont="1" applyFill="1"/>
    <xf numFmtId="10" fontId="8" fillId="0" borderId="0" xfId="4" applyNumberFormat="1" applyFont="1" applyFill="1" applyBorder="1" applyAlignment="1">
      <alignment horizontal="center" vertical="center"/>
    </xf>
    <xf numFmtId="168" fontId="6" fillId="0" borderId="0" xfId="2" quotePrefix="1" applyNumberFormat="1" applyFont="1" applyFill="1" applyBorder="1" applyAlignment="1">
      <alignment vertical="top"/>
    </xf>
    <xf numFmtId="168" fontId="6" fillId="0" borderId="0" xfId="2" applyNumberFormat="1" applyFont="1" applyFill="1" applyBorder="1" applyAlignment="1" applyProtection="1">
      <alignment horizontal="center" vertical="top"/>
    </xf>
    <xf numFmtId="168" fontId="6" fillId="0" borderId="0" xfId="2" quotePrefix="1" applyNumberFormat="1" applyFont="1" applyFill="1" applyBorder="1" applyAlignment="1">
      <alignment horizontal="center" vertical="top"/>
    </xf>
    <xf numFmtId="49" fontId="6" fillId="0" borderId="0" xfId="42" applyNumberFormat="1" applyFont="1" applyFill="1" applyBorder="1" applyAlignment="1"/>
    <xf numFmtId="168" fontId="6" fillId="0" borderId="0" xfId="92" quotePrefix="1" applyNumberFormat="1" applyFont="1" applyFill="1" applyBorder="1" applyAlignment="1">
      <alignment horizontal="center" vertical="top"/>
    </xf>
    <xf numFmtId="168" fontId="6" fillId="0" borderId="0" xfId="2" quotePrefix="1" applyNumberFormat="1" applyFont="1" applyFill="1" applyBorder="1" applyAlignment="1" applyProtection="1">
      <alignment horizontal="center" vertical="top"/>
    </xf>
    <xf numFmtId="168" fontId="6" fillId="0" borderId="0" xfId="92" applyNumberFormat="1" applyFont="1" applyFill="1" applyBorder="1" applyAlignment="1" applyProtection="1">
      <alignment horizontal="center" vertical="top"/>
    </xf>
    <xf numFmtId="168" fontId="6" fillId="0" borderId="0" xfId="92" quotePrefix="1" applyNumberFormat="1" applyFont="1" applyFill="1" applyBorder="1" applyAlignment="1" applyProtection="1">
      <alignment horizontal="center" vertical="top"/>
    </xf>
    <xf numFmtId="49" fontId="6" fillId="0" borderId="0" xfId="2" applyNumberFormat="1" applyFont="1" applyFill="1" applyBorder="1" applyAlignment="1" applyProtection="1">
      <alignment horizontal="center" vertical="top"/>
    </xf>
    <xf numFmtId="168" fontId="6" fillId="0" borderId="0" xfId="92" applyNumberFormat="1" applyFont="1" applyFill="1" applyBorder="1" applyAlignment="1">
      <alignment horizontal="center" vertical="top"/>
    </xf>
    <xf numFmtId="168" fontId="6" fillId="0" borderId="0" xfId="92" applyNumberFormat="1" applyFont="1" applyFill="1" applyBorder="1" applyAlignment="1" applyProtection="1">
      <alignment vertical="top"/>
    </xf>
    <xf numFmtId="3" fontId="6" fillId="0" borderId="0" xfId="42" applyNumberFormat="1" applyFont="1" applyFill="1" applyBorder="1" applyAlignment="1"/>
    <xf numFmtId="168" fontId="8" fillId="0" borderId="0" xfId="92" applyNumberFormat="1" applyFont="1" applyFill="1" applyBorder="1" applyAlignment="1" applyProtection="1">
      <alignment vertical="center"/>
    </xf>
    <xf numFmtId="168" fontId="8" fillId="0" borderId="0" xfId="92" applyNumberFormat="1" applyFont="1" applyFill="1" applyBorder="1" applyAlignment="1"/>
    <xf numFmtId="10" fontId="8" fillId="0" borderId="0" xfId="4" applyNumberFormat="1" applyFont="1" applyFill="1" applyBorder="1" applyAlignment="1"/>
    <xf numFmtId="168" fontId="6" fillId="0" borderId="0" xfId="92" applyNumberFormat="1" applyFont="1" applyFill="1" applyBorder="1" applyAlignment="1">
      <alignment horizontal="center" vertical="center"/>
    </xf>
    <xf numFmtId="14" fontId="6" fillId="0" borderId="0" xfId="42" applyNumberFormat="1" applyFont="1" applyFill="1" applyBorder="1" applyAlignment="1"/>
    <xf numFmtId="168" fontId="6" fillId="0" borderId="0" xfId="92" applyNumberFormat="1" applyFont="1" applyFill="1" applyBorder="1" applyAlignment="1" applyProtection="1">
      <alignment vertical="center"/>
    </xf>
    <xf numFmtId="43" fontId="6" fillId="0" borderId="0" xfId="47" applyFont="1" applyFill="1" applyBorder="1" applyAlignment="1" applyProtection="1">
      <alignment vertical="center"/>
    </xf>
    <xf numFmtId="10" fontId="8" fillId="0" borderId="0" xfId="4" applyNumberFormat="1" applyFont="1" applyFill="1" applyBorder="1" applyAlignment="1">
      <alignment vertical="center"/>
    </xf>
    <xf numFmtId="10" fontId="6" fillId="0" borderId="0" xfId="4" applyNumberFormat="1" applyFont="1" applyFill="1" applyBorder="1" applyAlignment="1">
      <alignment vertical="center"/>
    </xf>
    <xf numFmtId="43" fontId="6" fillId="0" borderId="0" xfId="47" applyFont="1" applyFill="1" applyBorder="1" applyAlignment="1">
      <alignment horizontal="center" vertical="center"/>
    </xf>
    <xf numFmtId="186" fontId="6" fillId="0" borderId="0" xfId="42" applyNumberFormat="1" applyFont="1" applyFill="1" applyBorder="1" applyAlignment="1"/>
    <xf numFmtId="168" fontId="6" fillId="0" borderId="0" xfId="92" applyNumberFormat="1" applyFont="1" applyFill="1" applyBorder="1" applyAlignment="1">
      <alignment vertical="center" wrapText="1"/>
    </xf>
    <xf numFmtId="168" fontId="8" fillId="0" borderId="0" xfId="92" applyNumberFormat="1" applyFont="1" applyFill="1" applyBorder="1" applyAlignment="1">
      <alignment horizontal="center"/>
    </xf>
    <xf numFmtId="0" fontId="8" fillId="0" borderId="0" xfId="42" applyFont="1" applyFill="1" applyBorder="1" applyAlignment="1">
      <alignment horizontal="center"/>
    </xf>
    <xf numFmtId="168" fontId="8" fillId="0" borderId="0" xfId="92" applyNumberFormat="1" applyFont="1" applyFill="1" applyBorder="1" applyAlignment="1">
      <alignment horizontal="center" vertical="top"/>
    </xf>
    <xf numFmtId="168" fontId="8" fillId="0" borderId="0" xfId="92" applyNumberFormat="1" applyFont="1" applyFill="1" applyBorder="1" applyAlignment="1" applyProtection="1">
      <alignment vertical="top"/>
    </xf>
    <xf numFmtId="43" fontId="6" fillId="0" borderId="0" xfId="47" applyFont="1" applyFill="1" applyBorder="1" applyAlignment="1" applyProtection="1">
      <alignment horizontal="center" vertical="top"/>
    </xf>
    <xf numFmtId="43" fontId="6" fillId="0" borderId="0" xfId="92" applyFont="1" applyFill="1" applyBorder="1" applyAlignment="1">
      <alignment horizontal="center" vertical="top"/>
    </xf>
    <xf numFmtId="43" fontId="6" fillId="0" borderId="0" xfId="92" applyFont="1" applyFill="1" applyBorder="1" applyAlignment="1" applyProtection="1">
      <alignment horizontal="center" vertical="top"/>
    </xf>
    <xf numFmtId="10" fontId="6" fillId="0" borderId="0" xfId="4" applyNumberFormat="1" applyFont="1" applyFill="1" applyBorder="1" applyAlignment="1">
      <alignment horizontal="center" vertical="top"/>
    </xf>
    <xf numFmtId="10" fontId="6" fillId="0" borderId="0" xfId="4" applyNumberFormat="1" applyFont="1" applyFill="1" applyBorder="1" applyAlignment="1">
      <alignment vertical="top"/>
    </xf>
    <xf numFmtId="0" fontId="6" fillId="0" borderId="0" xfId="42" applyFont="1" applyFill="1" applyBorder="1" applyAlignment="1">
      <alignment horizontal="center" vertical="center"/>
    </xf>
    <xf numFmtId="3" fontId="6" fillId="0" borderId="0" xfId="42" applyNumberFormat="1" applyFont="1" applyFill="1" applyBorder="1" applyAlignment="1">
      <alignment vertical="center"/>
    </xf>
    <xf numFmtId="168" fontId="6" fillId="0" borderId="0" xfId="2" applyNumberFormat="1" applyFont="1" applyFill="1" applyBorder="1" applyAlignment="1">
      <alignment horizontal="right" vertical="center"/>
    </xf>
    <xf numFmtId="185" fontId="6" fillId="0" borderId="0" xfId="2" applyNumberFormat="1" applyFont="1" applyFill="1" applyBorder="1" applyAlignment="1" applyProtection="1">
      <alignment horizontal="center" vertical="top"/>
    </xf>
    <xf numFmtId="168" fontId="8" fillId="0" borderId="0" xfId="92" quotePrefix="1" applyNumberFormat="1" applyFont="1" applyFill="1" applyBorder="1" applyAlignment="1">
      <alignment horizontal="center" vertical="center" wrapText="1"/>
    </xf>
    <xf numFmtId="0" fontId="8" fillId="0" borderId="0" xfId="42" applyFont="1" applyFill="1" applyBorder="1" applyAlignment="1">
      <alignment horizontal="center" vertical="center"/>
    </xf>
    <xf numFmtId="10" fontId="6" fillId="0" borderId="0" xfId="4" applyNumberFormat="1" applyFont="1" applyFill="1" applyBorder="1" applyAlignment="1"/>
    <xf numFmtId="168" fontId="6" fillId="0" borderId="0" xfId="92" applyNumberFormat="1" applyFont="1" applyFill="1" applyBorder="1" applyAlignment="1">
      <alignment horizontal="center"/>
    </xf>
    <xf numFmtId="0" fontId="6" fillId="0" borderId="0" xfId="42" applyFont="1" applyFill="1" applyBorder="1" applyAlignment="1">
      <alignment horizontal="center"/>
    </xf>
    <xf numFmtId="0" fontId="8" fillId="0" borderId="0" xfId="2" applyNumberFormat="1" applyFont="1" applyFill="1" applyBorder="1" applyAlignment="1">
      <alignment horizontal="left" vertical="center"/>
    </xf>
    <xf numFmtId="0" fontId="8" fillId="0" borderId="0" xfId="23" applyFont="1" applyFill="1" applyBorder="1" applyAlignment="1">
      <alignment horizontal="center" vertical="center" wrapText="1"/>
    </xf>
    <xf numFmtId="10" fontId="6" fillId="0" borderId="0" xfId="95" applyNumberFormat="1" applyFont="1" applyFill="1" applyBorder="1" applyAlignment="1"/>
    <xf numFmtId="168" fontId="11" fillId="0" borderId="0" xfId="92" applyNumberFormat="1" applyFont="1"/>
    <xf numFmtId="10" fontId="12" fillId="0" borderId="0" xfId="95" applyNumberFormat="1" applyFont="1"/>
    <xf numFmtId="0" fontId="11" fillId="0" borderId="0" xfId="0" applyFont="1" applyAlignment="1"/>
    <xf numFmtId="168" fontId="11" fillId="0" borderId="0" xfId="92" applyNumberFormat="1" applyFont="1" applyAlignment="1"/>
    <xf numFmtId="168" fontId="12" fillId="0" borderId="4" xfId="92" applyNumberFormat="1" applyFont="1" applyBorder="1"/>
    <xf numFmtId="0" fontId="81" fillId="0" borderId="28" xfId="0" applyFont="1" applyBorder="1"/>
    <xf numFmtId="0" fontId="81" fillId="0" borderId="29" xfId="0" applyFont="1" applyBorder="1"/>
    <xf numFmtId="0" fontId="8" fillId="0" borderId="29" xfId="0" applyFont="1" applyFill="1" applyBorder="1" applyAlignment="1">
      <alignment vertical="top"/>
    </xf>
    <xf numFmtId="0" fontId="8" fillId="0" borderId="30" xfId="0" applyFont="1" applyFill="1" applyBorder="1" applyAlignment="1">
      <alignment vertical="top"/>
    </xf>
    <xf numFmtId="185" fontId="82" fillId="0" borderId="31" xfId="0" applyNumberFormat="1" applyFont="1" applyBorder="1"/>
    <xf numFmtId="185" fontId="82" fillId="0" borderId="0" xfId="0" applyNumberFormat="1" applyFont="1" applyBorder="1"/>
    <xf numFmtId="168" fontId="82" fillId="0" borderId="0" xfId="65" applyNumberFormat="1" applyFont="1" applyBorder="1"/>
    <xf numFmtId="168" fontId="6" fillId="0" borderId="32" xfId="0" applyNumberFormat="1" applyFont="1" applyFill="1" applyBorder="1" applyAlignment="1">
      <alignment vertical="top"/>
    </xf>
    <xf numFmtId="168" fontId="6" fillId="0" borderId="32" xfId="65" applyNumberFormat="1" applyFont="1" applyFill="1" applyBorder="1" applyAlignment="1">
      <alignment vertical="top"/>
    </xf>
    <xf numFmtId="0" fontId="6" fillId="0" borderId="31" xfId="0" applyFont="1" applyFill="1" applyBorder="1" applyAlignment="1">
      <alignment vertical="top"/>
    </xf>
    <xf numFmtId="0" fontId="6" fillId="0" borderId="0" xfId="0" applyFont="1" applyFill="1" applyBorder="1" applyAlignment="1">
      <alignment vertical="top"/>
    </xf>
    <xf numFmtId="168" fontId="6" fillId="0" borderId="8" xfId="65" applyNumberFormat="1" applyFont="1" applyFill="1" applyBorder="1" applyAlignment="1">
      <alignment vertical="top"/>
    </xf>
    <xf numFmtId="168" fontId="6" fillId="0" borderId="33" xfId="0" applyNumberFormat="1" applyFont="1" applyFill="1" applyBorder="1" applyAlignment="1">
      <alignment vertical="top"/>
    </xf>
    <xf numFmtId="168" fontId="8" fillId="0" borderId="4" xfId="65" applyNumberFormat="1" applyFont="1" applyFill="1" applyBorder="1" applyAlignment="1">
      <alignment vertical="top"/>
    </xf>
    <xf numFmtId="168" fontId="8" fillId="0" borderId="34" xfId="0" applyNumberFormat="1" applyFont="1" applyFill="1" applyBorder="1" applyAlignment="1">
      <alignment vertical="top"/>
    </xf>
    <xf numFmtId="0" fontId="6" fillId="0" borderId="35" xfId="0" applyFont="1" applyFill="1" applyBorder="1" applyAlignment="1">
      <alignment vertical="top"/>
    </xf>
    <xf numFmtId="0" fontId="6" fillId="0" borderId="36" xfId="0" applyFont="1" applyFill="1" applyBorder="1" applyAlignment="1">
      <alignment vertical="top"/>
    </xf>
    <xf numFmtId="0" fontId="6" fillId="0" borderId="22" xfId="0" applyFont="1" applyFill="1" applyBorder="1" applyAlignment="1">
      <alignment vertical="top"/>
    </xf>
    <xf numFmtId="0" fontId="5" fillId="0" borderId="0" xfId="119" quotePrefix="1" applyNumberFormat="1" applyFont="1" applyFill="1" applyAlignment="1">
      <alignment horizontal="left" vertical="top"/>
    </xf>
    <xf numFmtId="0" fontId="5" fillId="0" borderId="0" xfId="120" applyFont="1" applyFill="1" applyAlignment="1">
      <alignment vertical="top"/>
    </xf>
    <xf numFmtId="0" fontId="7" fillId="0" borderId="0" xfId="121" applyFont="1" applyFill="1" applyAlignment="1">
      <alignment vertical="top"/>
    </xf>
    <xf numFmtId="0" fontId="32" fillId="0" borderId="0" xfId="120" applyFont="1" applyFill="1" applyAlignment="1">
      <alignment horizontal="center" vertical="top" wrapText="1"/>
    </xf>
    <xf numFmtId="0" fontId="5" fillId="0" borderId="0" xfId="122" applyNumberFormat="1" applyFont="1" applyFill="1" applyAlignment="1">
      <alignment horizontal="left" vertical="center"/>
    </xf>
    <xf numFmtId="0" fontId="5" fillId="0" borderId="0" xfId="122" applyNumberFormat="1" applyFont="1" applyFill="1" applyAlignment="1">
      <alignment vertical="top"/>
    </xf>
    <xf numFmtId="168" fontId="0" fillId="0" borderId="0" xfId="0" applyNumberFormat="1"/>
    <xf numFmtId="170" fontId="5" fillId="0" borderId="0" xfId="55" quotePrefix="1" applyNumberFormat="1" applyFont="1" applyFill="1" applyAlignment="1">
      <alignment horizontal="left" vertical="top"/>
    </xf>
    <xf numFmtId="168" fontId="5" fillId="0" borderId="0" xfId="92" quotePrefix="1" applyNumberFormat="1" applyFont="1" applyFill="1" applyAlignment="1">
      <alignment horizontal="center"/>
    </xf>
    <xf numFmtId="0" fontId="7" fillId="0" borderId="0" xfId="27" applyFont="1" applyFill="1" applyAlignment="1">
      <alignment vertical="top"/>
    </xf>
    <xf numFmtId="0" fontId="7" fillId="0" borderId="0" xfId="0" applyFont="1" applyFill="1" applyAlignment="1">
      <alignment horizontal="left" vertical="top"/>
    </xf>
    <xf numFmtId="2" fontId="19" fillId="0" borderId="0" xfId="38" applyNumberFormat="1" applyFont="1" applyFill="1" applyAlignment="1">
      <alignment horizontal="justify" vertical="top"/>
    </xf>
    <xf numFmtId="0" fontId="7" fillId="0" borderId="0" xfId="102" applyFont="1" applyFill="1" applyAlignment="1">
      <alignment horizontal="left" vertical="top"/>
    </xf>
    <xf numFmtId="0" fontId="5" fillId="0" borderId="0" xfId="27" applyFont="1" applyFill="1" applyAlignment="1">
      <alignment horizontal="left" vertical="top"/>
    </xf>
    <xf numFmtId="0" fontId="7" fillId="0" borderId="0" xfId="27" applyFont="1" applyFill="1" applyAlignment="1">
      <alignment horizontal="left" vertical="top"/>
    </xf>
    <xf numFmtId="0" fontId="5" fillId="0" borderId="0" xfId="124" applyFont="1" applyFill="1" applyAlignment="1">
      <alignment horizontal="center" vertical="top"/>
    </xf>
    <xf numFmtId="10" fontId="12" fillId="0" borderId="0" xfId="0" applyNumberFormat="1" applyFont="1"/>
    <xf numFmtId="169" fontId="6" fillId="0" borderId="0" xfId="1" applyNumberFormat="1" applyFont="1" applyFill="1"/>
    <xf numFmtId="190" fontId="6" fillId="0" borderId="0" xfId="2" applyNumberFormat="1" applyFont="1" applyFill="1"/>
    <xf numFmtId="0" fontId="7" fillId="0" borderId="0" xfId="122" applyNumberFormat="1" applyFont="1" applyFill="1" applyAlignment="1">
      <alignment vertical="top" wrapText="1"/>
    </xf>
    <xf numFmtId="0" fontId="7" fillId="0" borderId="0" xfId="96" applyFont="1" applyFill="1" applyBorder="1" applyAlignment="1">
      <alignment horizontal="left" vertical="top"/>
    </xf>
    <xf numFmtId="168" fontId="7" fillId="0" borderId="0" xfId="9" applyNumberFormat="1" applyFont="1" applyFill="1" applyBorder="1" applyAlignment="1">
      <alignment horizontal="center" vertical="top"/>
    </xf>
    <xf numFmtId="168" fontId="7" fillId="0" borderId="4" xfId="9" applyNumberFormat="1" applyFont="1" applyFill="1" applyBorder="1" applyAlignment="1" applyProtection="1">
      <alignment vertical="center"/>
    </xf>
    <xf numFmtId="177" fontId="5" fillId="0" borderId="0" xfId="100" quotePrefix="1" applyNumberFormat="1" applyFont="1" applyFill="1" applyAlignment="1" applyProtection="1">
      <alignment horizontal="left" vertical="top"/>
    </xf>
    <xf numFmtId="2" fontId="12" fillId="0" borderId="0" xfId="0" applyNumberFormat="1" applyFont="1"/>
    <xf numFmtId="0" fontId="12" fillId="0" borderId="0" xfId="0" applyFont="1" applyFill="1" applyAlignment="1"/>
    <xf numFmtId="0" fontId="7" fillId="0" borderId="0" xfId="96" quotePrefix="1" applyFont="1" applyFill="1" applyAlignment="1">
      <alignment horizontal="left" vertical="top"/>
    </xf>
    <xf numFmtId="0" fontId="7" fillId="0" borderId="0" xfId="96" applyFont="1" applyFill="1" applyAlignment="1">
      <alignment horizontal="left" vertical="top"/>
    </xf>
    <xf numFmtId="0" fontId="7" fillId="0" borderId="0" xfId="96" quotePrefix="1" applyFont="1" applyFill="1" applyAlignment="1">
      <alignment horizontal="left" vertical="top" indent="1"/>
    </xf>
    <xf numFmtId="0" fontId="7" fillId="0" borderId="0" xfId="96" quotePrefix="1" applyFont="1" applyFill="1" applyAlignment="1">
      <alignment vertical="top"/>
    </xf>
    <xf numFmtId="0" fontId="7" fillId="0" borderId="0" xfId="23" applyNumberFormat="1" applyFont="1" applyFill="1" applyBorder="1" applyAlignment="1">
      <alignment horizontal="justify" vertical="top"/>
    </xf>
    <xf numFmtId="0" fontId="5" fillId="0" borderId="0" xfId="101" quotePrefix="1" applyNumberFormat="1" applyFont="1" applyFill="1" applyAlignment="1">
      <alignment horizontal="center" vertical="center"/>
    </xf>
    <xf numFmtId="0" fontId="5" fillId="0" borderId="0" xfId="46" quotePrefix="1" applyFont="1" applyFill="1" applyAlignment="1">
      <alignment horizontal="right" vertical="top"/>
    </xf>
    <xf numFmtId="0" fontId="5" fillId="0" borderId="0" xfId="1" applyFont="1" applyFill="1" applyBorder="1" applyAlignment="1">
      <alignment horizontal="left" vertical="top"/>
    </xf>
    <xf numFmtId="0" fontId="7" fillId="0" borderId="0" xfId="1" applyFont="1" applyFill="1" applyBorder="1" applyAlignment="1">
      <alignment horizontal="left" vertical="top"/>
    </xf>
    <xf numFmtId="168" fontId="7" fillId="0" borderId="0" xfId="92" applyNumberFormat="1" applyFont="1" applyFill="1" applyBorder="1" applyAlignment="1">
      <alignment vertical="top"/>
    </xf>
    <xf numFmtId="168" fontId="7" fillId="0" borderId="2" xfId="92" applyNumberFormat="1" applyFont="1" applyFill="1" applyBorder="1" applyAlignment="1">
      <alignment vertical="top"/>
    </xf>
    <xf numFmtId="0" fontId="33" fillId="0" borderId="0" xfId="120" applyFont="1" applyFill="1" applyAlignment="1">
      <alignment vertical="top"/>
    </xf>
    <xf numFmtId="0" fontId="32" fillId="0" borderId="0" xfId="120" applyFont="1" applyFill="1" applyAlignment="1">
      <alignment horizontal="left" vertical="top" indent="1"/>
    </xf>
    <xf numFmtId="0" fontId="32" fillId="0" borderId="0" xfId="120" applyFont="1" applyFill="1" applyAlignment="1">
      <alignment vertical="top"/>
    </xf>
    <xf numFmtId="0" fontId="33" fillId="0" borderId="0" xfId="120" applyFont="1" applyFill="1" applyAlignment="1">
      <alignment horizontal="left" vertical="top"/>
    </xf>
    <xf numFmtId="0" fontId="0" fillId="0" borderId="0" xfId="0" quotePrefix="1"/>
    <xf numFmtId="43" fontId="0" fillId="0" borderId="0" xfId="0" applyNumberFormat="1"/>
    <xf numFmtId="4" fontId="7" fillId="0" borderId="0" xfId="11" applyNumberFormat="1" applyFont="1" applyFill="1" applyBorder="1" applyAlignment="1">
      <alignment vertical="top"/>
      <protection locked="0"/>
    </xf>
    <xf numFmtId="3" fontId="7" fillId="0" borderId="0" xfId="11" applyNumberFormat="1" applyFont="1" applyFill="1" applyBorder="1" applyAlignment="1">
      <alignment vertical="center"/>
      <protection locked="0"/>
    </xf>
    <xf numFmtId="43" fontId="5" fillId="0" borderId="0" xfId="11" applyNumberFormat="1" applyFont="1" applyFill="1" applyBorder="1" applyAlignment="1">
      <alignment vertical="top"/>
      <protection locked="0"/>
    </xf>
    <xf numFmtId="43" fontId="7" fillId="0" borderId="0" xfId="11" applyNumberFormat="1" applyFont="1" applyFill="1" applyBorder="1" applyAlignment="1">
      <alignment vertical="top"/>
      <protection locked="0"/>
    </xf>
    <xf numFmtId="4" fontId="6" fillId="0" borderId="0" xfId="1" applyNumberFormat="1" applyFont="1" applyFill="1" applyAlignment="1">
      <alignment vertical="center"/>
    </xf>
    <xf numFmtId="0" fontId="11" fillId="0" borderId="0" xfId="0" applyFont="1" applyFill="1" applyBorder="1"/>
    <xf numFmtId="43" fontId="24" fillId="0" borderId="0" xfId="92" applyFont="1" applyFill="1" applyBorder="1"/>
    <xf numFmtId="43" fontId="36" fillId="0" borderId="0" xfId="92" applyFont="1" applyFill="1" applyAlignment="1"/>
    <xf numFmtId="0" fontId="7" fillId="0" borderId="0" xfId="1" applyFont="1" applyFill="1" applyAlignment="1">
      <alignment vertical="top" wrapText="1"/>
    </xf>
    <xf numFmtId="0" fontId="7" fillId="0" borderId="0" xfId="1" applyFont="1" applyFill="1" applyAlignment="1">
      <alignment vertical="top"/>
    </xf>
    <xf numFmtId="0" fontId="7" fillId="0" borderId="0" xfId="1" applyFont="1" applyFill="1" applyAlignment="1">
      <alignment horizontal="justify" vertical="top"/>
    </xf>
    <xf numFmtId="168" fontId="5" fillId="0" borderId="0" xfId="6" quotePrefix="1" applyNumberFormat="1" applyFont="1" applyFill="1" applyAlignment="1">
      <alignment horizontal="center"/>
    </xf>
    <xf numFmtId="168" fontId="5" fillId="0" borderId="0" xfId="6" applyNumberFormat="1" applyFont="1" applyFill="1" applyAlignment="1">
      <alignment horizontal="center"/>
    </xf>
    <xf numFmtId="37" fontId="7" fillId="0" borderId="0" xfId="1" applyNumberFormat="1" applyFont="1" applyFill="1" applyAlignment="1" applyProtection="1">
      <alignment horizontal="justify" vertical="top"/>
    </xf>
    <xf numFmtId="4" fontId="7" fillId="0" borderId="0" xfId="11" applyNumberFormat="1" applyFont="1" applyFill="1" applyBorder="1" applyAlignment="1">
      <alignment vertical="center"/>
      <protection locked="0"/>
    </xf>
    <xf numFmtId="169" fontId="8" fillId="0" borderId="0" xfId="92" applyNumberFormat="1" applyFont="1" applyFill="1" applyBorder="1" applyAlignment="1">
      <alignment vertical="center"/>
    </xf>
    <xf numFmtId="15" fontId="8" fillId="0" borderId="0" xfId="45" applyNumberFormat="1" applyFont="1" applyFill="1" applyBorder="1" applyAlignment="1">
      <alignment vertical="center"/>
    </xf>
    <xf numFmtId="0" fontId="5" fillId="0" borderId="0" xfId="42" applyFont="1" applyFill="1" applyAlignment="1">
      <alignment horizontal="center"/>
    </xf>
    <xf numFmtId="43" fontId="6" fillId="0" borderId="0" xfId="92" applyFont="1" applyFill="1" applyBorder="1" applyAlignment="1"/>
    <xf numFmtId="43" fontId="6" fillId="0" borderId="0" xfId="92" applyFont="1" applyFill="1" applyBorder="1" applyAlignment="1">
      <alignment vertical="center"/>
    </xf>
    <xf numFmtId="179" fontId="6" fillId="0" borderId="0" xfId="48" applyNumberFormat="1" applyFont="1" applyFill="1" applyBorder="1" applyAlignment="1"/>
    <xf numFmtId="168" fontId="12" fillId="0" borderId="0" xfId="92" applyNumberFormat="1" applyFont="1" applyFill="1" applyBorder="1" applyAlignment="1"/>
    <xf numFmtId="168" fontId="12" fillId="0" borderId="0" xfId="92" applyNumberFormat="1" applyFont="1" applyFill="1" applyAlignment="1"/>
    <xf numFmtId="168" fontId="11" fillId="0" borderId="0" xfId="92" applyNumberFormat="1" applyFont="1" applyFill="1" applyBorder="1"/>
    <xf numFmtId="0" fontId="11" fillId="0" borderId="0" xfId="0" applyFont="1" applyFill="1" applyBorder="1" applyAlignment="1"/>
    <xf numFmtId="0" fontId="12" fillId="0" borderId="0" xfId="0" applyFont="1" applyFill="1" applyBorder="1" applyAlignment="1"/>
    <xf numFmtId="168" fontId="6" fillId="0" borderId="0" xfId="2" quotePrefix="1" applyNumberFormat="1" applyFont="1" applyFill="1" applyBorder="1" applyAlignment="1">
      <alignment vertical="center"/>
    </xf>
    <xf numFmtId="0" fontId="7" fillId="0" borderId="0" xfId="2" applyNumberFormat="1" applyFont="1" applyFill="1" applyAlignment="1">
      <alignment horizontal="right" vertical="top"/>
    </xf>
    <xf numFmtId="0" fontId="11" fillId="0" borderId="0" xfId="0" quotePrefix="1" applyFont="1"/>
    <xf numFmtId="168" fontId="5" fillId="0" borderId="0" xfId="23" quotePrefix="1" applyNumberFormat="1" applyFont="1" applyFill="1" applyBorder="1" applyAlignment="1">
      <alignment horizontal="center" vertical="center"/>
    </xf>
    <xf numFmtId="168" fontId="7" fillId="0" borderId="0" xfId="23" quotePrefix="1" applyNumberFormat="1" applyFont="1" applyFill="1" applyBorder="1" applyAlignment="1">
      <alignment horizontal="center" vertical="center"/>
    </xf>
    <xf numFmtId="4" fontId="0" fillId="0" borderId="0" xfId="0" applyNumberFormat="1"/>
    <xf numFmtId="3" fontId="0" fillId="0" borderId="0" xfId="0" applyNumberFormat="1"/>
    <xf numFmtId="43" fontId="0" fillId="0" borderId="0" xfId="92" applyFont="1"/>
    <xf numFmtId="0" fontId="20" fillId="0" borderId="0" xfId="52" quotePrefix="1" applyFont="1" applyFill="1" applyAlignment="1">
      <alignment vertical="center"/>
    </xf>
    <xf numFmtId="0" fontId="20" fillId="0" borderId="0" xfId="52" applyNumberFormat="1" applyFont="1" applyFill="1" applyAlignment="1">
      <alignment vertical="center"/>
    </xf>
    <xf numFmtId="179" fontId="19" fillId="0" borderId="0" xfId="123" applyFont="1" applyFill="1" applyAlignment="1">
      <alignment vertical="top"/>
    </xf>
    <xf numFmtId="0" fontId="19" fillId="0" borderId="0" xfId="52" applyFont="1" applyFill="1" applyAlignment="1">
      <alignment vertical="center"/>
    </xf>
    <xf numFmtId="0" fontId="19" fillId="0" borderId="0" xfId="52" applyFont="1" applyFill="1" applyAlignment="1">
      <alignment horizontal="center" vertical="center"/>
    </xf>
    <xf numFmtId="179" fontId="19" fillId="3" borderId="0" xfId="123" applyFont="1" applyFill="1" applyAlignment="1">
      <alignment horizontal="justify" vertical="top"/>
    </xf>
    <xf numFmtId="0" fontId="20" fillId="0" borderId="0" xfId="52" applyFont="1" applyFill="1" applyAlignment="1">
      <alignment vertical="center"/>
    </xf>
    <xf numFmtId="0" fontId="20" fillId="0" borderId="0" xfId="52" applyFont="1" applyFill="1" applyAlignment="1">
      <alignment horizontal="left" vertical="top"/>
    </xf>
    <xf numFmtId="0" fontId="20" fillId="0" borderId="0" xfId="52" quotePrefix="1" applyFont="1" applyFill="1" applyAlignment="1">
      <alignment horizontal="left" vertical="top"/>
    </xf>
    <xf numFmtId="0" fontId="7" fillId="0" borderId="0" xfId="124" applyFont="1" applyFill="1" applyAlignment="1" applyProtection="1">
      <alignment horizontal="left" vertical="top" wrapText="1"/>
    </xf>
    <xf numFmtId="0" fontId="7" fillId="0" borderId="0" xfId="25" applyFont="1" applyFill="1" applyAlignment="1">
      <alignment vertical="top"/>
    </xf>
    <xf numFmtId="0" fontId="7" fillId="0" borderId="0" xfId="124" quotePrefix="1" applyFont="1" applyFill="1" applyAlignment="1">
      <alignment horizontal="center" vertical="top"/>
    </xf>
    <xf numFmtId="0" fontId="7" fillId="0" borderId="0" xfId="102" applyFont="1" applyFill="1" applyAlignment="1" applyProtection="1">
      <alignment vertical="top"/>
      <protection locked="0"/>
    </xf>
    <xf numFmtId="0" fontId="7" fillId="0" borderId="0" xfId="124" quotePrefix="1" applyNumberFormat="1" applyFont="1" applyFill="1" applyAlignment="1" applyProtection="1">
      <alignment vertical="top"/>
      <protection locked="0"/>
    </xf>
    <xf numFmtId="0" fontId="7" fillId="0" borderId="0" xfId="124" applyNumberFormat="1" applyFont="1" applyFill="1" applyAlignment="1" applyProtection="1">
      <alignment vertical="top"/>
      <protection locked="0"/>
    </xf>
    <xf numFmtId="179" fontId="7" fillId="0" borderId="0" xfId="125" quotePrefix="1" applyFont="1" applyFill="1" applyAlignment="1">
      <alignment horizontal="center"/>
    </xf>
    <xf numFmtId="0" fontId="57" fillId="0" borderId="0" xfId="0" applyFont="1" applyAlignment="1">
      <alignment horizontal="justify" vertical="top"/>
    </xf>
    <xf numFmtId="0" fontId="7" fillId="0" borderId="0" xfId="126" applyNumberFormat="1" applyFont="1" applyFill="1" applyAlignment="1" applyProtection="1">
      <alignment vertical="top"/>
      <protection locked="0"/>
    </xf>
    <xf numFmtId="0" fontId="7" fillId="0" borderId="0" xfId="124" quotePrefix="1" applyFont="1" applyFill="1" applyAlignment="1" applyProtection="1">
      <alignment horizontal="left" vertical="top" wrapText="1"/>
    </xf>
    <xf numFmtId="0" fontId="7" fillId="0" borderId="0" xfId="102" applyFont="1" applyFill="1" applyAlignment="1">
      <alignment vertical="top"/>
    </xf>
    <xf numFmtId="0" fontId="7" fillId="0" borderId="0" xfId="124" applyFont="1" applyFill="1" applyBorder="1" applyAlignment="1" applyProtection="1">
      <alignment horizontal="left" vertical="top" wrapText="1"/>
    </xf>
    <xf numFmtId="0" fontId="19" fillId="0" borderId="0" xfId="66" applyFont="1" applyFill="1" applyAlignment="1">
      <alignment horizontal="left" vertical="top" wrapText="1"/>
    </xf>
    <xf numFmtId="0" fontId="57" fillId="0" borderId="0" xfId="0" applyFont="1" applyAlignment="1">
      <alignment horizontal="left" vertical="top"/>
    </xf>
    <xf numFmtId="179" fontId="19" fillId="0" borderId="0" xfId="127" applyNumberFormat="1" applyFont="1" applyFill="1" applyBorder="1" applyAlignment="1">
      <alignment vertical="top"/>
    </xf>
    <xf numFmtId="179" fontId="19" fillId="0" borderId="0" xfId="123" applyFont="1" applyFill="1" applyAlignment="1">
      <alignment vertical="top" wrapText="1"/>
    </xf>
    <xf numFmtId="179" fontId="19" fillId="0" borderId="0" xfId="123" applyFont="1" applyFill="1" applyAlignment="1">
      <alignment horizontal="justify" vertical="top" wrapText="1"/>
    </xf>
    <xf numFmtId="0" fontId="84" fillId="0" borderId="0" xfId="0" quotePrefix="1" applyFont="1" applyAlignment="1">
      <alignment horizontal="left" vertical="top"/>
    </xf>
    <xf numFmtId="0" fontId="5" fillId="0" borderId="0" xfId="66" applyNumberFormat="1" applyFont="1" applyFill="1" applyAlignment="1">
      <alignment vertical="top"/>
    </xf>
    <xf numFmtId="0" fontId="19" fillId="0" borderId="0" xfId="52" applyFont="1" applyFill="1" applyAlignment="1">
      <alignment vertical="top"/>
    </xf>
    <xf numFmtId="0" fontId="20" fillId="0" borderId="0" xfId="52" applyFont="1" applyFill="1" applyAlignment="1">
      <alignment vertical="top"/>
    </xf>
    <xf numFmtId="0" fontId="7" fillId="0" borderId="0" xfId="0" applyFont="1" applyAlignment="1">
      <alignment horizontal="left" vertical="top"/>
    </xf>
    <xf numFmtId="0" fontId="7" fillId="0" borderId="0" xfId="37" applyNumberFormat="1" applyFont="1" applyFill="1" applyAlignment="1">
      <alignment vertical="top"/>
    </xf>
    <xf numFmtId="179" fontId="19" fillId="0" borderId="0" xfId="123" quotePrefix="1" applyFont="1" applyFill="1" applyAlignment="1">
      <alignment vertical="top" wrapText="1"/>
    </xf>
    <xf numFmtId="0" fontId="7" fillId="0" borderId="0" xfId="0" applyFont="1" applyAlignment="1">
      <alignment horizontal="left" vertical="top" wrapText="1"/>
    </xf>
    <xf numFmtId="0" fontId="7" fillId="0" borderId="0" xfId="0" applyFont="1" applyFill="1" applyAlignment="1" applyProtection="1">
      <alignment horizontal="justify" vertical="top"/>
    </xf>
    <xf numFmtId="0" fontId="19" fillId="0" borderId="0" xfId="52" applyFont="1" applyFill="1" applyAlignment="1">
      <alignment horizontal="left"/>
    </xf>
    <xf numFmtId="0" fontId="19" fillId="0" borderId="0" xfId="52" applyFont="1" applyFill="1" applyAlignment="1"/>
    <xf numFmtId="0" fontId="20" fillId="0" borderId="0" xfId="52" applyFont="1" applyFill="1" applyAlignment="1"/>
    <xf numFmtId="0" fontId="19" fillId="0" borderId="0" xfId="52" applyFont="1" applyFill="1" applyBorder="1" applyAlignment="1"/>
    <xf numFmtId="0" fontId="60" fillId="0" borderId="0" xfId="0" applyFont="1" applyAlignment="1">
      <alignment vertical="top"/>
    </xf>
    <xf numFmtId="0" fontId="7" fillId="0" borderId="0" xfId="0" applyFont="1"/>
    <xf numFmtId="0" fontId="20" fillId="0" borderId="0" xfId="0" applyFont="1" applyAlignment="1">
      <alignment vertical="top"/>
    </xf>
    <xf numFmtId="0" fontId="7" fillId="0" borderId="0" xfId="128" applyNumberFormat="1" applyFont="1" applyFill="1" applyBorder="1" applyAlignment="1">
      <alignment horizontal="center" vertical="top"/>
    </xf>
    <xf numFmtId="0" fontId="18" fillId="0" borderId="0" xfId="0" applyFont="1"/>
    <xf numFmtId="0" fontId="19" fillId="0" borderId="0" xfId="52" quotePrefix="1" applyNumberFormat="1" applyFont="1" applyFill="1" applyAlignment="1">
      <alignment horizontal="left" vertical="top"/>
    </xf>
    <xf numFmtId="0" fontId="46" fillId="0" borderId="0" xfId="128" applyFont="1" applyFill="1" applyBorder="1" applyAlignment="1">
      <alignment vertical="center" wrapText="1"/>
    </xf>
    <xf numFmtId="0" fontId="7" fillId="0" borderId="0" xfId="28" applyFont="1" applyFill="1" applyAlignment="1">
      <alignment horizontal="left" vertical="top" wrapText="1"/>
    </xf>
    <xf numFmtId="0" fontId="7" fillId="0" borderId="0" xfId="28" applyFont="1" applyFill="1" applyAlignment="1">
      <alignment vertical="top"/>
    </xf>
    <xf numFmtId="0" fontId="7" fillId="0" borderId="0" xfId="28" applyFont="1" applyFill="1" applyAlignment="1">
      <alignment horizontal="left" vertical="top"/>
    </xf>
    <xf numFmtId="0" fontId="7" fillId="0" borderId="0" xfId="128" applyFont="1" applyFill="1" applyBorder="1" applyAlignment="1">
      <alignment vertical="top" wrapText="1"/>
    </xf>
    <xf numFmtId="0" fontId="7" fillId="0" borderId="0" xfId="28" applyFont="1" applyFill="1" applyAlignment="1">
      <alignment horizontal="center" vertical="top"/>
    </xf>
    <xf numFmtId="0" fontId="7" fillId="0" borderId="0" xfId="28" applyFont="1" applyFill="1" applyAlignment="1">
      <alignment vertical="top" wrapText="1"/>
    </xf>
    <xf numFmtId="0" fontId="7" fillId="0" borderId="0" xfId="28" applyFont="1" applyFill="1" applyAlignment="1">
      <alignment horizontal="left" vertical="center" wrapText="1"/>
    </xf>
    <xf numFmtId="0" fontId="20" fillId="0" borderId="0" xfId="0" applyFont="1" applyAlignment="1">
      <alignment vertical="center"/>
    </xf>
    <xf numFmtId="0" fontId="7" fillId="0" borderId="0" xfId="128" applyNumberFormat="1" applyFont="1" applyFill="1" applyBorder="1" applyAlignment="1">
      <alignment vertical="top"/>
    </xf>
    <xf numFmtId="9" fontId="32" fillId="0" borderId="0" xfId="4" applyFont="1" applyFill="1"/>
    <xf numFmtId="168" fontId="32" fillId="0" borderId="0" xfId="2" applyNumberFormat="1" applyFont="1" applyFill="1"/>
    <xf numFmtId="175" fontId="7" fillId="0" borderId="0" xfId="2" applyNumberFormat="1" applyFont="1" applyFill="1" applyAlignment="1">
      <alignment horizontal="justify" vertical="top" wrapText="1" readingOrder="1"/>
    </xf>
    <xf numFmtId="168" fontId="32" fillId="0" borderId="0" xfId="1" applyNumberFormat="1" applyFont="1" applyFill="1" applyAlignment="1">
      <alignment vertical="center"/>
    </xf>
    <xf numFmtId="9" fontId="32" fillId="0" borderId="0" xfId="4" applyFont="1" applyFill="1" applyAlignment="1">
      <alignment vertical="center"/>
    </xf>
    <xf numFmtId="168" fontId="32" fillId="0" borderId="0" xfId="1" applyNumberFormat="1" applyFont="1" applyFill="1"/>
    <xf numFmtId="0" fontId="32" fillId="0" borderId="0" xfId="1" applyNumberFormat="1" applyFont="1" applyFill="1" applyAlignment="1" applyProtection="1">
      <alignment vertical="top"/>
      <protection locked="0"/>
    </xf>
    <xf numFmtId="0" fontId="7" fillId="0" borderId="0" xfId="1" applyFont="1" applyFill="1" applyAlignment="1" applyProtection="1">
      <alignment vertical="top"/>
      <protection locked="0"/>
    </xf>
    <xf numFmtId="9" fontId="7" fillId="0" borderId="0" xfId="4" applyFont="1" applyFill="1" applyBorder="1" applyAlignment="1">
      <alignment vertical="top"/>
    </xf>
    <xf numFmtId="43" fontId="7" fillId="0" borderId="0" xfId="92" quotePrefix="1" applyFont="1" applyFill="1" applyAlignment="1">
      <alignment horizontal="center"/>
    </xf>
    <xf numFmtId="168" fontId="7" fillId="0" borderId="0" xfId="35" applyNumberFormat="1" applyFont="1" applyFill="1" applyBorder="1" applyAlignment="1">
      <alignment vertical="top"/>
    </xf>
    <xf numFmtId="178" fontId="7" fillId="0" borderId="0" xfId="2" applyNumberFormat="1" applyFont="1" applyFill="1" applyBorder="1" applyAlignment="1">
      <alignment vertical="top"/>
    </xf>
    <xf numFmtId="10" fontId="85" fillId="0" borderId="7" xfId="41" applyNumberFormat="1" applyFont="1" applyFill="1" applyBorder="1" applyAlignment="1">
      <alignment horizontal="center" vertical="center"/>
    </xf>
    <xf numFmtId="10" fontId="85" fillId="0" borderId="14" xfId="41" applyNumberFormat="1" applyFont="1" applyFill="1" applyBorder="1" applyAlignment="1">
      <alignment horizontal="center" vertical="center"/>
    </xf>
    <xf numFmtId="10" fontId="85" fillId="0" borderId="0" xfId="41" applyNumberFormat="1" applyFont="1" applyFill="1" applyBorder="1" applyAlignment="1">
      <alignment horizontal="center" vertical="center"/>
    </xf>
    <xf numFmtId="0" fontId="7" fillId="0" borderId="0" xfId="35" applyNumberFormat="1" applyFont="1" applyFill="1" applyBorder="1" applyAlignment="1">
      <alignment vertical="center"/>
    </xf>
    <xf numFmtId="168" fontId="7" fillId="0" borderId="0" xfId="35" applyNumberFormat="1" applyFont="1" applyFill="1" applyBorder="1" applyAlignment="1">
      <alignment vertical="center"/>
    </xf>
    <xf numFmtId="9" fontId="7" fillId="0" borderId="0" xfId="4" applyFont="1" applyFill="1" applyBorder="1" applyAlignment="1">
      <alignment vertical="center"/>
    </xf>
    <xf numFmtId="43" fontId="7" fillId="0" borderId="0" xfId="35" applyNumberFormat="1" applyFont="1" applyFill="1" applyBorder="1" applyAlignment="1">
      <alignment vertical="center"/>
    </xf>
    <xf numFmtId="0" fontId="5" fillId="0" borderId="0" xfId="66" applyNumberFormat="1" applyFont="1" applyFill="1" applyAlignment="1">
      <alignment vertical="center"/>
    </xf>
    <xf numFmtId="3" fontId="5" fillId="0" borderId="0" xfId="2" quotePrefix="1" applyNumberFormat="1" applyFont="1" applyFill="1" applyAlignment="1">
      <alignment horizontal="left"/>
    </xf>
    <xf numFmtId="3" fontId="5" fillId="0" borderId="0" xfId="2" quotePrefix="1" applyNumberFormat="1" applyFont="1" applyFill="1" applyAlignment="1">
      <alignment horizontal="left" vertical="top"/>
    </xf>
    <xf numFmtId="3" fontId="33" fillId="0" borderId="0" xfId="1" quotePrefix="1" applyNumberFormat="1" applyFont="1" applyFill="1" applyAlignment="1">
      <alignment horizontal="left" vertical="top"/>
    </xf>
    <xf numFmtId="168" fontId="6" fillId="0" borderId="4" xfId="92" applyNumberFormat="1" applyFont="1" applyFill="1" applyBorder="1" applyAlignment="1"/>
    <xf numFmtId="0" fontId="7" fillId="0" borderId="0" xfId="23" quotePrefix="1" applyNumberFormat="1" applyFont="1" applyFill="1" applyBorder="1" applyAlignment="1">
      <alignment vertical="top"/>
    </xf>
    <xf numFmtId="168" fontId="7" fillId="0" borderId="0" xfId="61" applyNumberFormat="1" applyFont="1" applyFill="1" applyBorder="1" applyAlignment="1">
      <alignment vertical="center"/>
    </xf>
    <xf numFmtId="3" fontId="5" fillId="0" borderId="0" xfId="59" applyNumberFormat="1" applyFont="1" applyFill="1" applyAlignment="1" applyProtection="1">
      <alignment horizontal="left" vertical="top"/>
    </xf>
    <xf numFmtId="43" fontId="6" fillId="0" borderId="0" xfId="92" applyFont="1" applyFill="1" applyBorder="1"/>
    <xf numFmtId="169" fontId="6" fillId="0" borderId="0" xfId="92" applyNumberFormat="1" applyFont="1" applyFill="1" applyBorder="1"/>
    <xf numFmtId="3" fontId="19" fillId="0" borderId="0" xfId="1" applyNumberFormat="1" applyFont="1" applyFill="1" applyAlignment="1">
      <alignment horizontal="center" vertical="top"/>
    </xf>
    <xf numFmtId="168" fontId="6" fillId="0" borderId="0" xfId="92" applyNumberFormat="1" applyFont="1" applyFill="1"/>
    <xf numFmtId="168" fontId="7" fillId="0" borderId="0" xfId="92" applyNumberFormat="1" applyFont="1" applyFill="1" applyAlignment="1" applyProtection="1">
      <alignment vertical="top"/>
    </xf>
    <xf numFmtId="168" fontId="7" fillId="0" borderId="0" xfId="92" applyNumberFormat="1" applyFont="1" applyFill="1" applyAlignment="1" applyProtection="1">
      <alignment horizontal="justify" vertical="top"/>
    </xf>
    <xf numFmtId="168" fontId="5" fillId="0" borderId="0" xfId="92" applyNumberFormat="1" applyFont="1" applyFill="1" applyBorder="1" applyAlignment="1">
      <alignment vertical="top"/>
    </xf>
    <xf numFmtId="168" fontId="44" fillId="0" borderId="0" xfId="92" applyNumberFormat="1" applyFont="1" applyFill="1" applyBorder="1" applyAlignment="1" applyProtection="1">
      <alignment horizontal="justify" vertical="top"/>
    </xf>
    <xf numFmtId="168" fontId="44" fillId="0" borderId="0" xfId="92" applyNumberFormat="1" applyFont="1" applyFill="1" applyAlignment="1" applyProtection="1">
      <alignment horizontal="justify" vertical="top"/>
    </xf>
    <xf numFmtId="168" fontId="6" fillId="0" borderId="0" xfId="92" applyNumberFormat="1" applyFont="1" applyFill="1" applyAlignment="1">
      <alignment horizontal="justify" vertical="top"/>
    </xf>
    <xf numFmtId="168" fontId="44" fillId="0" borderId="0" xfId="92" applyNumberFormat="1" applyFont="1" applyFill="1" applyBorder="1" applyAlignment="1">
      <alignment vertical="top"/>
    </xf>
    <xf numFmtId="168" fontId="32" fillId="0" borderId="0" xfId="92" applyNumberFormat="1" applyFont="1" applyFill="1" applyAlignment="1">
      <alignment vertical="top"/>
    </xf>
    <xf numFmtId="168" fontId="44" fillId="0" borderId="0" xfId="92" applyNumberFormat="1" applyFont="1" applyFill="1" applyBorder="1"/>
    <xf numFmtId="168" fontId="44" fillId="0" borderId="0" xfId="92" applyNumberFormat="1" applyFont="1" applyFill="1" applyBorder="1" applyAlignment="1">
      <alignment vertical="center"/>
    </xf>
    <xf numFmtId="168" fontId="32" fillId="0" borderId="0" xfId="92" applyNumberFormat="1" applyFont="1" applyFill="1" applyAlignment="1">
      <alignment vertical="center"/>
    </xf>
    <xf numFmtId="168" fontId="35" fillId="0" borderId="0" xfId="92" applyNumberFormat="1" applyFont="1" applyFill="1" applyAlignment="1">
      <alignment vertical="top"/>
    </xf>
    <xf numFmtId="168" fontId="32" fillId="0" borderId="0" xfId="92" quotePrefix="1" applyNumberFormat="1" applyFont="1" applyFill="1" applyAlignment="1">
      <alignment horizontal="justify" vertical="top" wrapText="1"/>
    </xf>
    <xf numFmtId="168" fontId="32" fillId="0" borderId="0" xfId="92" quotePrefix="1" applyNumberFormat="1" applyFont="1" applyFill="1" applyAlignment="1">
      <alignment vertical="top" wrapText="1"/>
    </xf>
    <xf numFmtId="168" fontId="7" fillId="0" borderId="0" xfId="92" quotePrefix="1" applyNumberFormat="1" applyFont="1" applyFill="1" applyAlignment="1">
      <alignment horizontal="center" vertical="top"/>
    </xf>
    <xf numFmtId="168" fontId="7" fillId="0" borderId="0" xfId="92" quotePrefix="1" applyNumberFormat="1" applyFont="1" applyFill="1" applyAlignment="1">
      <alignment horizontal="center"/>
    </xf>
    <xf numFmtId="168" fontId="7" fillId="0" borderId="0" xfId="92" quotePrefix="1" applyNumberFormat="1" applyFont="1" applyFill="1" applyBorder="1" applyAlignment="1">
      <alignment horizontal="center" vertical="center"/>
    </xf>
    <xf numFmtId="168" fontId="7" fillId="0" borderId="0" xfId="92" applyNumberFormat="1" applyFont="1" applyFill="1" applyAlignment="1">
      <alignment vertical="top" wrapText="1"/>
    </xf>
    <xf numFmtId="168" fontId="0" fillId="0" borderId="0" xfId="92" applyNumberFormat="1" applyFont="1" applyFill="1" applyAlignment="1">
      <alignment vertical="top" wrapText="1"/>
    </xf>
    <xf numFmtId="168" fontId="7" fillId="0" borderId="0" xfId="92" applyNumberFormat="1" applyFont="1" applyFill="1" applyAlignment="1">
      <alignment horizontal="justify" vertical="top" wrapText="1"/>
    </xf>
    <xf numFmtId="168" fontId="19" fillId="0" borderId="0" xfId="92" applyNumberFormat="1" applyFont="1" applyFill="1" applyAlignment="1">
      <alignment vertical="top" wrapText="1"/>
    </xf>
    <xf numFmtId="168" fontId="19" fillId="0" borderId="0" xfId="92" quotePrefix="1" applyNumberFormat="1" applyFont="1" applyFill="1" applyAlignment="1">
      <alignment vertical="top" wrapText="1"/>
    </xf>
    <xf numFmtId="168" fontId="6" fillId="0" borderId="0" xfId="92" quotePrefix="1" applyNumberFormat="1" applyFont="1" applyFill="1" applyAlignment="1">
      <alignment vertical="top"/>
    </xf>
    <xf numFmtId="168" fontId="6" fillId="0" borderId="0" xfId="92" applyNumberFormat="1" applyFont="1" applyFill="1" applyAlignment="1">
      <alignment vertical="top"/>
    </xf>
    <xf numFmtId="168" fontId="7" fillId="0" borderId="0" xfId="92" applyNumberFormat="1" applyFont="1" applyFill="1" applyAlignment="1" applyProtection="1">
      <alignment horizontal="justify" vertical="justify"/>
    </xf>
    <xf numFmtId="168" fontId="19" fillId="0" borderId="0" xfId="92" applyNumberFormat="1" applyFont="1" applyFill="1" applyAlignment="1" applyProtection="1">
      <alignment vertical="center"/>
    </xf>
    <xf numFmtId="168" fontId="7" fillId="0" borderId="0" xfId="92" applyNumberFormat="1" applyFont="1" applyFill="1" applyAlignment="1" applyProtection="1">
      <alignment vertical="top" wrapText="1"/>
    </xf>
    <xf numFmtId="168" fontId="7" fillId="0" borderId="0" xfId="92" applyNumberFormat="1" applyFont="1" applyFill="1" applyAlignment="1" applyProtection="1"/>
    <xf numFmtId="168" fontId="47" fillId="0" borderId="0" xfId="92" applyNumberFormat="1" applyFont="1" applyFill="1" applyAlignment="1">
      <alignment horizontal="justify" vertical="top"/>
    </xf>
    <xf numFmtId="168" fontId="7" fillId="0" borderId="0" xfId="92" applyNumberFormat="1" applyFont="1" applyFill="1" applyAlignment="1">
      <alignment horizontal="left" vertical="top"/>
    </xf>
    <xf numFmtId="168" fontId="5" fillId="0" borderId="0" xfId="2" applyNumberFormat="1" applyFont="1" applyFill="1" applyAlignment="1">
      <alignment horizontal="center"/>
    </xf>
    <xf numFmtId="168" fontId="7" fillId="0" borderId="8" xfId="46" applyNumberFormat="1" applyFont="1" applyFill="1" applyBorder="1" applyAlignment="1">
      <alignment vertical="center"/>
    </xf>
    <xf numFmtId="168" fontId="5" fillId="0" borderId="8" xfId="46" applyNumberFormat="1" applyFont="1" applyFill="1" applyBorder="1" applyAlignment="1">
      <alignment vertical="center"/>
    </xf>
    <xf numFmtId="168" fontId="7" fillId="0" borderId="4" xfId="1" applyNumberFormat="1" applyFont="1" applyFill="1" applyBorder="1" applyAlignment="1">
      <alignment vertical="top"/>
    </xf>
    <xf numFmtId="0" fontId="86" fillId="0" borderId="0" xfId="97" applyFont="1" applyFill="1"/>
    <xf numFmtId="3" fontId="86" fillId="0" borderId="0" xfId="123" applyNumberFormat="1" applyFont="1" applyFill="1" applyAlignment="1">
      <alignment horizontal="left"/>
    </xf>
    <xf numFmtId="168" fontId="5" fillId="0" borderId="0" xfId="2" quotePrefix="1" applyNumberFormat="1" applyFont="1" applyFill="1" applyAlignment="1">
      <alignment horizontal="center"/>
    </xf>
    <xf numFmtId="0" fontId="7" fillId="0" borderId="0" xfId="1" applyFont="1" applyFill="1" applyAlignment="1">
      <alignment horizontal="justify" vertical="top" wrapText="1"/>
    </xf>
    <xf numFmtId="0" fontId="7" fillId="0" borderId="0" xfId="1" applyFont="1" applyFill="1" applyAlignment="1">
      <alignment vertical="top"/>
    </xf>
    <xf numFmtId="0" fontId="7" fillId="0" borderId="0" xfId="57" applyNumberFormat="1" applyFont="1" applyFill="1" applyAlignment="1">
      <alignment horizontal="justify" vertical="top"/>
    </xf>
    <xf numFmtId="2" fontId="7" fillId="0" borderId="0" xfId="93" applyNumberFormat="1" applyFont="1" applyFill="1" applyAlignment="1" applyProtection="1">
      <alignment vertical="top" wrapText="1"/>
      <protection locked="0"/>
    </xf>
    <xf numFmtId="43" fontId="7" fillId="0" borderId="0" xfId="93" applyNumberFormat="1" applyFont="1" applyFill="1" applyAlignment="1" applyProtection="1">
      <alignment vertical="top" wrapText="1"/>
      <protection locked="0"/>
    </xf>
    <xf numFmtId="0" fontId="32" fillId="0" borderId="0" xfId="1" quotePrefix="1" applyFont="1" applyFill="1" applyAlignment="1">
      <alignment horizontal="justify" vertical="top" wrapText="1"/>
    </xf>
    <xf numFmtId="168" fontId="5" fillId="0" borderId="0" xfId="6" quotePrefix="1" applyNumberFormat="1" applyFont="1" applyFill="1" applyAlignment="1">
      <alignment horizontal="center"/>
    </xf>
    <xf numFmtId="168" fontId="5" fillId="0" borderId="0" xfId="6" applyNumberFormat="1" applyFont="1" applyFill="1" applyAlignment="1">
      <alignment horizontal="center"/>
    </xf>
    <xf numFmtId="0" fontId="32" fillId="0" borderId="0" xfId="1" quotePrefix="1" applyFont="1" applyFill="1" applyAlignment="1">
      <alignment horizontal="justify" vertical="top"/>
    </xf>
    <xf numFmtId="0" fontId="0" fillId="0" borderId="0" xfId="0" applyFill="1" applyAlignment="1">
      <alignment horizontal="justify" vertical="top" wrapText="1"/>
    </xf>
    <xf numFmtId="0" fontId="7" fillId="0" borderId="0" xfId="96" quotePrefix="1" applyFont="1" applyFill="1" applyAlignment="1">
      <alignment horizontal="justify" vertical="top" wrapText="1"/>
    </xf>
    <xf numFmtId="37" fontId="7" fillId="0" borderId="0" xfId="1" applyNumberFormat="1" applyFont="1" applyFill="1" applyAlignment="1" applyProtection="1">
      <alignment horizontal="justify" vertical="justify"/>
    </xf>
    <xf numFmtId="0" fontId="7" fillId="0" borderId="0" xfId="100" applyNumberFormat="1" applyFont="1" applyFill="1" applyAlignment="1" applyProtection="1">
      <alignment horizontal="justify" vertical="top" wrapText="1"/>
    </xf>
    <xf numFmtId="0" fontId="7" fillId="0" borderId="0" xfId="115" quotePrefix="1" applyFont="1" applyFill="1" applyAlignment="1">
      <alignment horizontal="center"/>
    </xf>
    <xf numFmtId="168" fontId="5" fillId="0" borderId="0" xfId="44" applyNumberFormat="1" applyFont="1" applyFill="1" applyBorder="1" applyAlignment="1">
      <alignment horizontal="center" vertical="center"/>
    </xf>
    <xf numFmtId="168" fontId="5" fillId="0" borderId="0" xfId="108" applyNumberFormat="1" applyFont="1" applyFill="1" applyAlignment="1" applyProtection="1">
      <alignment horizontal="center"/>
    </xf>
    <xf numFmtId="0" fontId="7" fillId="0" borderId="0" xfId="55" applyFont="1" applyFill="1" applyAlignment="1">
      <alignment vertical="top"/>
    </xf>
    <xf numFmtId="168" fontId="44" fillId="0" borderId="0" xfId="2" applyNumberFormat="1" applyFont="1" applyFill="1" applyBorder="1" applyAlignment="1">
      <alignment horizontal="left" indent="1" readingOrder="1"/>
    </xf>
    <xf numFmtId="0" fontId="5" fillId="0" borderId="0" xfId="109" quotePrefix="1" applyNumberFormat="1" applyFont="1" applyFill="1" applyAlignment="1">
      <alignment horizontal="center" vertical="top"/>
    </xf>
    <xf numFmtId="0" fontId="19" fillId="0" borderId="0" xfId="55" applyFont="1" applyFill="1" applyAlignment="1">
      <alignment vertical="top"/>
    </xf>
    <xf numFmtId="0" fontId="15" fillId="0" borderId="0" xfId="55" applyFont="1" applyFill="1" applyBorder="1" applyAlignment="1">
      <alignment horizontal="right" vertical="top"/>
    </xf>
    <xf numFmtId="168" fontId="5" fillId="0" borderId="0" xfId="55" applyNumberFormat="1" applyFont="1" applyFill="1" applyAlignment="1">
      <alignment horizontal="center" vertical="top"/>
    </xf>
    <xf numFmtId="168" fontId="69" fillId="0" borderId="0" xfId="26" applyNumberFormat="1" applyFont="1" applyFill="1" applyBorder="1" applyAlignment="1">
      <alignment horizontal="center" vertical="top"/>
    </xf>
    <xf numFmtId="168" fontId="7" fillId="0" borderId="2" xfId="26" applyNumberFormat="1" applyFont="1" applyFill="1" applyBorder="1" applyAlignment="1">
      <alignment horizontal="center" vertical="top"/>
    </xf>
    <xf numFmtId="185" fontId="7" fillId="0" borderId="0" xfId="55" applyNumberFormat="1" applyFont="1" applyFill="1" applyBorder="1" applyAlignment="1">
      <alignment horizontal="left" vertical="center"/>
    </xf>
    <xf numFmtId="0" fontId="5" fillId="0" borderId="0" xfId="55" applyFont="1" applyFill="1" applyBorder="1" applyAlignment="1">
      <alignment vertical="center"/>
    </xf>
    <xf numFmtId="0" fontId="7" fillId="0" borderId="0" xfId="55" applyFont="1" applyFill="1" applyBorder="1" applyAlignment="1">
      <alignment horizontal="justify" vertical="center"/>
    </xf>
    <xf numFmtId="168" fontId="51" fillId="0" borderId="0" xfId="2" applyNumberFormat="1" applyFont="1" applyFill="1" applyBorder="1" applyAlignment="1">
      <alignment vertical="center"/>
    </xf>
    <xf numFmtId="10" fontId="51" fillId="0" borderId="0" xfId="4" applyNumberFormat="1" applyFont="1" applyFill="1" applyBorder="1" applyAlignment="1">
      <alignment vertical="center"/>
    </xf>
    <xf numFmtId="168" fontId="5" fillId="0" borderId="4" xfId="26" applyNumberFormat="1" applyFont="1" applyFill="1" applyBorder="1" applyAlignment="1">
      <alignment horizontal="center" vertical="center"/>
    </xf>
    <xf numFmtId="41" fontId="5" fillId="0" borderId="0" xfId="55" applyNumberFormat="1" applyFont="1" applyFill="1" applyAlignment="1">
      <alignment vertical="center"/>
    </xf>
    <xf numFmtId="168" fontId="7" fillId="0" borderId="4" xfId="26" applyNumberFormat="1" applyFont="1" applyFill="1" applyBorder="1" applyAlignment="1">
      <alignment horizontal="center" vertical="center"/>
    </xf>
    <xf numFmtId="0" fontId="7" fillId="0" borderId="0" xfId="96" quotePrefix="1" applyFont="1" applyFill="1" applyAlignment="1">
      <alignment horizontal="center"/>
    </xf>
    <xf numFmtId="168" fontId="7" fillId="0" borderId="0" xfId="92" applyNumberFormat="1" applyFont="1" applyFill="1" applyAlignment="1"/>
    <xf numFmtId="169" fontId="7" fillId="0" borderId="0" xfId="92" applyNumberFormat="1" applyFont="1" applyFill="1" applyAlignment="1">
      <alignment vertical="top"/>
    </xf>
    <xf numFmtId="0" fontId="5" fillId="0" borderId="0" xfId="1" quotePrefix="1" applyFont="1" applyFill="1" applyAlignment="1">
      <alignment horizontal="center"/>
    </xf>
    <xf numFmtId="0" fontId="5" fillId="0" borderId="0" xfId="1" applyFont="1" applyFill="1" applyAlignment="1">
      <alignment horizontal="center"/>
    </xf>
    <xf numFmtId="0" fontId="5" fillId="0" borderId="0" xfId="2" quotePrefix="1" applyNumberFormat="1" applyFont="1" applyFill="1" applyAlignment="1">
      <alignment horizontal="center"/>
    </xf>
    <xf numFmtId="0" fontId="5" fillId="0" borderId="0" xfId="2" applyNumberFormat="1" applyFont="1" applyFill="1" applyAlignment="1">
      <alignment horizontal="center"/>
    </xf>
    <xf numFmtId="168" fontId="5" fillId="0" borderId="0" xfId="2" quotePrefix="1" applyNumberFormat="1" applyFont="1" applyFill="1" applyAlignment="1">
      <alignment horizontal="center"/>
    </xf>
    <xf numFmtId="168" fontId="5" fillId="0" borderId="0" xfId="2" applyNumberFormat="1" applyFont="1" applyFill="1" applyAlignment="1">
      <alignment horizontal="center"/>
    </xf>
    <xf numFmtId="0" fontId="19" fillId="0" borderId="0" xfId="1" applyFont="1" applyFill="1" applyAlignment="1">
      <alignment horizontal="left" vertical="top" wrapText="1"/>
    </xf>
    <xf numFmtId="0" fontId="0" fillId="0" borderId="0" xfId="0" applyAlignment="1">
      <alignment horizontal="left" vertical="top" wrapText="1"/>
    </xf>
    <xf numFmtId="168" fontId="73" fillId="0" borderId="14" xfId="2" applyNumberFormat="1" applyFont="1" applyFill="1" applyBorder="1" applyAlignment="1" applyProtection="1">
      <alignment horizontal="center"/>
      <protection locked="0"/>
    </xf>
    <xf numFmtId="0" fontId="18" fillId="0" borderId="0" xfId="1" applyFont="1" applyFill="1" applyAlignment="1">
      <alignment horizontal="center"/>
    </xf>
    <xf numFmtId="0" fontId="7" fillId="0" borderId="0" xfId="19" applyFont="1" applyFill="1" applyAlignment="1" applyProtection="1">
      <alignment horizontal="left" vertical="top" wrapText="1"/>
    </xf>
    <xf numFmtId="0" fontId="0" fillId="0" borderId="0" xfId="0" applyFill="1" applyAlignment="1">
      <alignment horizontal="left" vertical="top" wrapText="1"/>
    </xf>
    <xf numFmtId="0" fontId="6" fillId="0" borderId="12" xfId="0" applyFont="1" applyFill="1" applyBorder="1" applyAlignment="1">
      <alignment horizontal="center" vertical="top"/>
    </xf>
    <xf numFmtId="0" fontId="8" fillId="0" borderId="0" xfId="0" quotePrefix="1" applyFont="1" applyFill="1" applyAlignment="1">
      <alignment horizontal="center" vertical="top"/>
    </xf>
    <xf numFmtId="0" fontId="5" fillId="0" borderId="0" xfId="11" applyFont="1" applyFill="1" applyBorder="1" applyAlignment="1" applyProtection="1">
      <alignment horizontal="center" vertical="center" wrapText="1"/>
    </xf>
    <xf numFmtId="0" fontId="5" fillId="0" borderId="0" xfId="12" applyNumberFormat="1" applyFont="1" applyFill="1" applyBorder="1" applyAlignment="1">
      <alignment horizontal="center" vertical="center" wrapText="1"/>
    </xf>
    <xf numFmtId="0" fontId="8" fillId="0" borderId="2" xfId="0" applyFont="1" applyFill="1" applyBorder="1" applyAlignment="1">
      <alignment horizontal="center" vertical="top"/>
    </xf>
    <xf numFmtId="0" fontId="7" fillId="0" borderId="0" xfId="124" quotePrefix="1" applyFont="1" applyFill="1" applyAlignment="1" applyProtection="1">
      <alignment horizontal="left" vertical="top" wrapText="1"/>
    </xf>
    <xf numFmtId="0" fontId="7" fillId="0" borderId="0" xfId="124" applyFont="1" applyFill="1" applyBorder="1" applyAlignment="1" applyProtection="1">
      <alignment vertical="top" wrapText="1"/>
    </xf>
    <xf numFmtId="0" fontId="19" fillId="0" borderId="0" xfId="66" applyFont="1" applyFill="1" applyAlignment="1">
      <alignment horizontal="left" vertical="top" wrapText="1"/>
    </xf>
    <xf numFmtId="0" fontId="7" fillId="0" borderId="0" xfId="1" applyFont="1" applyFill="1" applyAlignment="1">
      <alignment horizontal="left" vertical="top" wrapText="1"/>
    </xf>
    <xf numFmtId="0" fontId="7" fillId="0" borderId="0" xfId="1" applyFont="1" applyFill="1" applyAlignment="1">
      <alignment vertical="top"/>
    </xf>
    <xf numFmtId="0" fontId="32" fillId="0" borderId="0" xfId="1" applyNumberFormat="1" applyFont="1" applyFill="1" applyAlignment="1" applyProtection="1">
      <alignment horizontal="justify" vertical="top"/>
      <protection locked="0"/>
    </xf>
    <xf numFmtId="0" fontId="7" fillId="0" borderId="0" xfId="28" applyFont="1" applyFill="1" applyAlignment="1">
      <alignment horizontal="left" vertical="center" wrapText="1"/>
    </xf>
    <xf numFmtId="0" fontId="7" fillId="0" borderId="0" xfId="28" applyFont="1" applyFill="1" applyAlignment="1">
      <alignment horizontal="left" vertical="top" wrapText="1"/>
    </xf>
    <xf numFmtId="0" fontId="7" fillId="0" borderId="0" xfId="1" quotePrefix="1" applyFont="1" applyFill="1" applyAlignment="1">
      <alignment horizontal="left" vertical="top" wrapText="1"/>
    </xf>
    <xf numFmtId="0" fontId="57" fillId="0" borderId="0" xfId="0" applyFont="1" applyAlignment="1">
      <alignment horizontal="left" vertical="top" wrapText="1"/>
    </xf>
    <xf numFmtId="0" fontId="7" fillId="0" borderId="0" xfId="0" applyFont="1" applyAlignment="1">
      <alignment horizontal="left" vertical="top" wrapText="1"/>
    </xf>
    <xf numFmtId="0" fontId="7" fillId="0" borderId="0" xfId="1" applyNumberFormat="1" applyFont="1" applyFill="1" applyAlignment="1">
      <alignment horizontal="justify" vertical="top"/>
    </xf>
    <xf numFmtId="0" fontId="7" fillId="0" borderId="0" xfId="1" applyFont="1" applyFill="1" applyAlignment="1">
      <alignment horizontal="justify" vertical="top"/>
    </xf>
    <xf numFmtId="0" fontId="7" fillId="0" borderId="0" xfId="1" applyFont="1" applyFill="1" applyAlignment="1">
      <alignment horizontal="justify" vertical="top" wrapText="1"/>
    </xf>
    <xf numFmtId="0" fontId="7" fillId="0" borderId="0" xfId="1" applyNumberFormat="1" applyFont="1" applyFill="1" applyAlignment="1">
      <alignment vertical="top" wrapText="1"/>
    </xf>
    <xf numFmtId="0" fontId="7" fillId="0" borderId="0" xfId="7" applyNumberFormat="1" applyFont="1" applyFill="1" applyAlignment="1">
      <alignment horizontal="justify" vertical="top"/>
    </xf>
    <xf numFmtId="0" fontId="7" fillId="0" borderId="0" xfId="124" applyFont="1" applyFill="1" applyAlignment="1" applyProtection="1">
      <alignment horizontal="left" vertical="top" wrapText="1"/>
    </xf>
    <xf numFmtId="0" fontId="7" fillId="0" borderId="16" xfId="46" applyFont="1" applyFill="1" applyBorder="1" applyAlignment="1">
      <alignment horizontal="center" vertical="center"/>
    </xf>
    <xf numFmtId="0" fontId="37" fillId="0" borderId="8" xfId="45" quotePrefix="1" applyNumberFormat="1" applyFont="1" applyFill="1" applyBorder="1" applyAlignment="1">
      <alignment horizontal="center" vertical="center" wrapText="1"/>
    </xf>
    <xf numFmtId="0" fontId="37" fillId="0" borderId="8" xfId="42" applyFont="1" applyFill="1" applyBorder="1" applyAlignment="1">
      <alignment horizontal="center" vertical="center"/>
    </xf>
    <xf numFmtId="0" fontId="37" fillId="0" borderId="10" xfId="45" applyNumberFormat="1" applyFont="1" applyFill="1" applyBorder="1" applyAlignment="1">
      <alignment horizontal="center" vertical="center" wrapText="1"/>
    </xf>
    <xf numFmtId="0" fontId="37" fillId="0" borderId="16" xfId="45" applyNumberFormat="1" applyFont="1" applyFill="1" applyBorder="1" applyAlignment="1">
      <alignment horizontal="center" vertical="center" wrapText="1"/>
    </xf>
    <xf numFmtId="0" fontId="37" fillId="0" borderId="18" xfId="45" applyNumberFormat="1" applyFont="1" applyFill="1" applyBorder="1" applyAlignment="1">
      <alignment horizontal="center" vertical="center" wrapText="1"/>
    </xf>
    <xf numFmtId="0" fontId="40" fillId="0" borderId="8" xfId="45" quotePrefix="1" applyNumberFormat="1" applyFont="1" applyFill="1" applyBorder="1" applyAlignment="1">
      <alignment horizontal="center" vertical="center" wrapText="1"/>
    </xf>
    <xf numFmtId="0" fontId="37" fillId="0" borderId="8" xfId="42" applyFont="1" applyFill="1" applyBorder="1" applyAlignment="1">
      <alignment horizontal="center"/>
    </xf>
    <xf numFmtId="0" fontId="37" fillId="0" borderId="9" xfId="32" applyFont="1" applyFill="1" applyBorder="1" applyAlignment="1">
      <alignment horizontal="center" vertical="center"/>
    </xf>
    <xf numFmtId="0" fontId="37" fillId="0" borderId="15" xfId="32" applyFont="1" applyFill="1" applyBorder="1" applyAlignment="1">
      <alignment horizontal="center" vertical="center"/>
    </xf>
    <xf numFmtId="0" fontId="37" fillId="0" borderId="17" xfId="32" applyFont="1" applyFill="1" applyBorder="1" applyAlignment="1">
      <alignment horizontal="center" vertical="center"/>
    </xf>
    <xf numFmtId="0" fontId="37" fillId="0" borderId="5" xfId="32" applyFont="1" applyFill="1" applyBorder="1" applyAlignment="1">
      <alignment horizontal="center" vertical="center"/>
    </xf>
    <xf numFmtId="0" fontId="37" fillId="0" borderId="6" xfId="32" applyFont="1" applyFill="1" applyBorder="1" applyAlignment="1">
      <alignment horizontal="center" vertical="center"/>
    </xf>
    <xf numFmtId="0" fontId="37" fillId="0" borderId="7" xfId="32" applyFont="1" applyFill="1" applyBorder="1" applyAlignment="1">
      <alignment horizontal="center" vertical="center"/>
    </xf>
    <xf numFmtId="0" fontId="37" fillId="0" borderId="11" xfId="42" applyFont="1" applyFill="1" applyBorder="1" applyAlignment="1">
      <alignment horizontal="center" vertical="top"/>
    </xf>
    <xf numFmtId="0" fontId="37" fillId="0" borderId="12" xfId="42" applyFont="1" applyFill="1" applyBorder="1" applyAlignment="1">
      <alignment horizontal="center" vertical="top"/>
    </xf>
    <xf numFmtId="0" fontId="37" fillId="0" borderId="13" xfId="42" applyFont="1" applyFill="1" applyBorder="1" applyAlignment="1">
      <alignment horizontal="center" vertical="top"/>
    </xf>
    <xf numFmtId="0" fontId="37" fillId="0" borderId="9" xfId="45" applyNumberFormat="1" applyFont="1" applyFill="1" applyBorder="1" applyAlignment="1">
      <alignment horizontal="center" vertical="center" wrapText="1"/>
    </xf>
    <xf numFmtId="0" fontId="37" fillId="0" borderId="15" xfId="45" applyNumberFormat="1" applyFont="1" applyFill="1" applyBorder="1" applyAlignment="1">
      <alignment horizontal="center" vertical="center" wrapText="1"/>
    </xf>
    <xf numFmtId="0" fontId="37" fillId="0" borderId="17" xfId="45" applyNumberFormat="1" applyFont="1" applyFill="1" applyBorder="1" applyAlignment="1">
      <alignment horizontal="center" vertical="center" wrapText="1"/>
    </xf>
    <xf numFmtId="179" fontId="37" fillId="0" borderId="14" xfId="44" applyNumberFormat="1" applyFont="1" applyFill="1" applyBorder="1" applyAlignment="1" applyProtection="1">
      <alignment horizontal="center" vertical="center" wrapText="1"/>
    </xf>
    <xf numFmtId="179" fontId="37" fillId="0" borderId="5" xfId="44" applyNumberFormat="1" applyFont="1" applyFill="1" applyBorder="1" applyAlignment="1" applyProtection="1">
      <alignment horizontal="center" vertical="center" wrapText="1"/>
    </xf>
    <xf numFmtId="179" fontId="37" fillId="0" borderId="6" xfId="44" applyNumberFormat="1" applyFont="1" applyFill="1" applyBorder="1" applyAlignment="1" applyProtection="1">
      <alignment horizontal="center" vertical="center" wrapText="1"/>
    </xf>
    <xf numFmtId="179" fontId="37" fillId="0" borderId="7" xfId="44" applyNumberFormat="1" applyFont="1" applyFill="1" applyBorder="1" applyAlignment="1" applyProtection="1">
      <alignment horizontal="center" vertical="center" wrapText="1"/>
    </xf>
    <xf numFmtId="179" fontId="37" fillId="0" borderId="11" xfId="44" applyNumberFormat="1" applyFont="1" applyFill="1" applyBorder="1" applyAlignment="1" applyProtection="1">
      <alignment horizontal="center" vertical="center" wrapText="1"/>
    </xf>
    <xf numFmtId="179" fontId="37" fillId="0" borderId="12" xfId="44" applyNumberFormat="1" applyFont="1" applyFill="1" applyBorder="1" applyAlignment="1" applyProtection="1">
      <alignment horizontal="center" vertical="center" wrapText="1"/>
    </xf>
    <xf numFmtId="179" fontId="37" fillId="0" borderId="13" xfId="44" applyNumberFormat="1" applyFont="1" applyFill="1" applyBorder="1" applyAlignment="1" applyProtection="1">
      <alignment horizontal="center" vertical="center" wrapText="1"/>
    </xf>
    <xf numFmtId="0" fontId="24" fillId="0" borderId="0" xfId="42" applyFont="1" applyFill="1" applyAlignment="1">
      <alignment horizontal="center"/>
    </xf>
    <xf numFmtId="168" fontId="24" fillId="0" borderId="0" xfId="2" quotePrefix="1" applyNumberFormat="1" applyFont="1" applyFill="1" applyBorder="1" applyAlignment="1">
      <alignment horizontal="center" vertical="top"/>
    </xf>
    <xf numFmtId="49" fontId="24" fillId="0" borderId="0" xfId="2" applyNumberFormat="1" applyFont="1" applyFill="1" applyBorder="1" applyAlignment="1" applyProtection="1">
      <alignment horizontal="center" vertical="top"/>
    </xf>
    <xf numFmtId="185" fontId="24" fillId="0" borderId="0" xfId="2" applyNumberFormat="1" applyFont="1" applyFill="1" applyBorder="1" applyAlignment="1" applyProtection="1">
      <alignment horizontal="center" vertical="top"/>
    </xf>
    <xf numFmtId="0" fontId="42" fillId="0" borderId="8" xfId="42" applyFont="1" applyFill="1" applyBorder="1" applyAlignment="1">
      <alignment horizontal="center" vertical="center"/>
    </xf>
    <xf numFmtId="179" fontId="42" fillId="0" borderId="11" xfId="44" applyNumberFormat="1" applyFont="1" applyFill="1" applyBorder="1" applyAlignment="1" applyProtection="1">
      <alignment horizontal="center" vertical="center" wrapText="1"/>
    </xf>
    <xf numFmtId="179" fontId="42" fillId="0" borderId="12" xfId="44" applyNumberFormat="1" applyFont="1" applyFill="1" applyBorder="1" applyAlignment="1" applyProtection="1">
      <alignment horizontal="center" vertical="center" wrapText="1"/>
    </xf>
    <xf numFmtId="179" fontId="42" fillId="0" borderId="13" xfId="44" applyNumberFormat="1" applyFont="1" applyFill="1" applyBorder="1" applyAlignment="1" applyProtection="1">
      <alignment horizontal="center" vertical="center" wrapText="1"/>
    </xf>
    <xf numFmtId="179" fontId="42" fillId="0" borderId="14" xfId="44" applyNumberFormat="1" applyFont="1" applyFill="1" applyBorder="1" applyAlignment="1" applyProtection="1">
      <alignment horizontal="center" vertical="center" wrapText="1"/>
    </xf>
    <xf numFmtId="179" fontId="42" fillId="0" borderId="5" xfId="44" applyNumberFormat="1" applyFont="1" applyFill="1" applyBorder="1" applyAlignment="1" applyProtection="1">
      <alignment horizontal="center" vertical="center" wrapText="1"/>
    </xf>
    <xf numFmtId="179" fontId="42" fillId="0" borderId="6" xfId="44" applyNumberFormat="1" applyFont="1" applyFill="1" applyBorder="1" applyAlignment="1" applyProtection="1">
      <alignment horizontal="center" vertical="center" wrapText="1"/>
    </xf>
    <xf numFmtId="179" fontId="42" fillId="0" borderId="7" xfId="44" applyNumberFormat="1" applyFont="1" applyFill="1" applyBorder="1" applyAlignment="1" applyProtection="1">
      <alignment horizontal="center" vertical="center" wrapText="1"/>
    </xf>
    <xf numFmtId="0" fontId="36" fillId="0" borderId="0" xfId="42" applyFont="1" applyFill="1" applyAlignment="1">
      <alignment horizontal="center"/>
    </xf>
    <xf numFmtId="168" fontId="36" fillId="0" borderId="0" xfId="2" quotePrefix="1" applyNumberFormat="1" applyFont="1" applyFill="1" applyBorder="1" applyAlignment="1">
      <alignment horizontal="center" vertical="top"/>
    </xf>
    <xf numFmtId="49" fontId="36" fillId="0" borderId="0" xfId="2" applyNumberFormat="1" applyFont="1" applyFill="1" applyBorder="1" applyAlignment="1" applyProtection="1">
      <alignment horizontal="center" vertical="top"/>
    </xf>
    <xf numFmtId="185" fontId="36" fillId="0" borderId="0" xfId="2" applyNumberFormat="1" applyFont="1" applyFill="1" applyBorder="1" applyAlignment="1" applyProtection="1">
      <alignment horizontal="center" vertical="top"/>
    </xf>
    <xf numFmtId="0" fontId="42" fillId="0" borderId="5" xfId="45" applyNumberFormat="1" applyFont="1" applyFill="1" applyBorder="1" applyAlignment="1">
      <alignment horizontal="center" vertical="center" wrapText="1"/>
    </xf>
    <xf numFmtId="0" fontId="42" fillId="0" borderId="6" xfId="45" applyNumberFormat="1" applyFont="1" applyFill="1" applyBorder="1" applyAlignment="1">
      <alignment horizontal="center" vertical="center" wrapText="1"/>
    </xf>
    <xf numFmtId="0" fontId="42" fillId="0" borderId="7" xfId="45" applyNumberFormat="1" applyFont="1" applyFill="1" applyBorder="1" applyAlignment="1">
      <alignment horizontal="center" vertical="center" wrapText="1"/>
    </xf>
    <xf numFmtId="0" fontId="42" fillId="0" borderId="14" xfId="42" applyFont="1" applyFill="1" applyBorder="1" applyAlignment="1">
      <alignment horizontal="center" vertical="center"/>
    </xf>
    <xf numFmtId="0" fontId="42" fillId="0" borderId="9" xfId="32" applyFont="1" applyFill="1" applyBorder="1" applyAlignment="1">
      <alignment horizontal="center" vertical="center"/>
    </xf>
    <xf numFmtId="0" fontId="42" fillId="0" borderId="15" xfId="32" applyFont="1" applyFill="1" applyBorder="1" applyAlignment="1">
      <alignment horizontal="center" vertical="center"/>
    </xf>
    <xf numFmtId="0" fontId="42" fillId="0" borderId="17" xfId="32" applyFont="1" applyFill="1" applyBorder="1" applyAlignment="1">
      <alignment horizontal="center" vertical="center"/>
    </xf>
    <xf numFmtId="0" fontId="42" fillId="0" borderId="8" xfId="42" applyFont="1" applyFill="1" applyBorder="1" applyAlignment="1">
      <alignment horizontal="center"/>
    </xf>
    <xf numFmtId="183" fontId="6" fillId="0" borderId="0" xfId="42" applyNumberFormat="1" applyFont="1" applyFill="1" applyAlignment="1">
      <alignment horizontal="justify" vertical="top"/>
    </xf>
    <xf numFmtId="168" fontId="40" fillId="0" borderId="11" xfId="2" quotePrefix="1" applyNumberFormat="1" applyFont="1" applyFill="1" applyBorder="1" applyAlignment="1">
      <alignment horizontal="center" vertical="center"/>
    </xf>
    <xf numFmtId="168" fontId="40" fillId="0" borderId="12" xfId="2" quotePrefix="1" applyNumberFormat="1" applyFont="1" applyFill="1" applyBorder="1" applyAlignment="1">
      <alignment horizontal="center" vertical="center"/>
    </xf>
    <xf numFmtId="168" fontId="40" fillId="0" borderId="13" xfId="2" quotePrefix="1" applyNumberFormat="1" applyFont="1" applyFill="1" applyBorder="1" applyAlignment="1">
      <alignment horizontal="center" vertical="center"/>
    </xf>
    <xf numFmtId="49" fontId="40" fillId="0" borderId="11" xfId="2" applyNumberFormat="1" applyFont="1" applyFill="1" applyBorder="1" applyAlignment="1" applyProtection="1">
      <alignment horizontal="center" vertical="center"/>
    </xf>
    <xf numFmtId="49" fontId="40" fillId="0" borderId="13" xfId="2" applyNumberFormat="1" applyFont="1" applyFill="1" applyBorder="1" applyAlignment="1" applyProtection="1">
      <alignment horizontal="center" vertical="center"/>
    </xf>
    <xf numFmtId="168" fontId="40" fillId="0" borderId="11" xfId="2" applyNumberFormat="1" applyFont="1" applyFill="1" applyBorder="1" applyAlignment="1" applyProtection="1">
      <alignment horizontal="center" vertical="center"/>
    </xf>
    <xf numFmtId="168" fontId="40" fillId="0" borderId="13" xfId="2" applyNumberFormat="1" applyFont="1" applyFill="1" applyBorder="1" applyAlignment="1" applyProtection="1">
      <alignment horizontal="center" vertical="center"/>
    </xf>
    <xf numFmtId="0" fontId="36" fillId="0" borderId="8" xfId="42" applyFont="1" applyFill="1" applyBorder="1" applyAlignment="1">
      <alignment horizontal="center"/>
    </xf>
    <xf numFmtId="168" fontId="36" fillId="0" borderId="0" xfId="2" quotePrefix="1" applyNumberFormat="1" applyFont="1" applyFill="1" applyBorder="1" applyAlignment="1" applyProtection="1">
      <alignment horizontal="center" vertical="top"/>
    </xf>
    <xf numFmtId="168" fontId="22" fillId="0" borderId="11" xfId="2" applyNumberFormat="1" applyFont="1" applyFill="1" applyBorder="1" applyAlignment="1" applyProtection="1">
      <alignment horizontal="center" vertical="center"/>
    </xf>
    <xf numFmtId="168" fontId="22" fillId="0" borderId="13" xfId="2" applyNumberFormat="1" applyFont="1" applyFill="1" applyBorder="1" applyAlignment="1" applyProtection="1">
      <alignment horizontal="center" vertical="center"/>
    </xf>
    <xf numFmtId="0" fontId="24" fillId="0" borderId="8" xfId="42" applyFont="1" applyFill="1" applyBorder="1" applyAlignment="1">
      <alignment horizontal="center"/>
    </xf>
    <xf numFmtId="168" fontId="22" fillId="0" borderId="14" xfId="2" quotePrefix="1" applyNumberFormat="1" applyFont="1" applyFill="1" applyBorder="1" applyAlignment="1">
      <alignment horizontal="center" vertical="center"/>
    </xf>
    <xf numFmtId="49" fontId="22" fillId="0" borderId="11" xfId="2" applyNumberFormat="1" applyFont="1" applyFill="1" applyBorder="1" applyAlignment="1" applyProtection="1">
      <alignment horizontal="center" vertical="center"/>
    </xf>
    <xf numFmtId="49" fontId="22" fillId="0" borderId="13" xfId="2" applyNumberFormat="1" applyFont="1" applyFill="1" applyBorder="1" applyAlignment="1" applyProtection="1">
      <alignment horizontal="center" vertical="center"/>
    </xf>
    <xf numFmtId="0" fontId="42" fillId="0" borderId="0" xfId="45" quotePrefix="1" applyNumberFormat="1" applyFont="1" applyFill="1" applyBorder="1" applyAlignment="1">
      <alignment horizontal="center" vertical="center" wrapText="1"/>
    </xf>
    <xf numFmtId="0" fontId="41" fillId="0" borderId="0" xfId="42" applyFont="1" applyFill="1" applyBorder="1" applyAlignment="1">
      <alignment vertical="center" wrapText="1"/>
    </xf>
    <xf numFmtId="0" fontId="6" fillId="0" borderId="0" xfId="54" applyNumberFormat="1" applyFont="1" applyFill="1" applyAlignment="1">
      <alignment horizontal="justify" vertical="justify"/>
    </xf>
    <xf numFmtId="183" fontId="6" fillId="0" borderId="0" xfId="42" applyNumberFormat="1" applyFont="1" applyFill="1" applyAlignment="1">
      <alignment horizontal="justify" vertical="top" wrapText="1"/>
    </xf>
    <xf numFmtId="0" fontId="37" fillId="0" borderId="14" xfId="42" applyFont="1" applyFill="1" applyBorder="1" applyAlignment="1">
      <alignment horizontal="center" vertical="top"/>
    </xf>
    <xf numFmtId="0" fontId="37" fillId="0" borderId="5" xfId="45" applyNumberFormat="1" applyFont="1" applyFill="1" applyBorder="1" applyAlignment="1">
      <alignment horizontal="center" vertical="center" wrapText="1"/>
    </xf>
    <xf numFmtId="0" fontId="37" fillId="0" borderId="6" xfId="45" applyNumberFormat="1" applyFont="1" applyFill="1" applyBorder="1" applyAlignment="1">
      <alignment horizontal="center" vertical="center" wrapText="1"/>
    </xf>
    <xf numFmtId="0" fontId="37" fillId="0" borderId="7" xfId="45" applyNumberFormat="1" applyFont="1" applyFill="1" applyBorder="1" applyAlignment="1">
      <alignment horizontal="center" vertical="center" wrapText="1"/>
    </xf>
    <xf numFmtId="168" fontId="8" fillId="0" borderId="5" xfId="92" applyNumberFormat="1" applyFont="1" applyFill="1" applyBorder="1" applyAlignment="1" applyProtection="1">
      <alignment horizontal="center" vertical="center" wrapText="1"/>
    </xf>
    <xf numFmtId="168" fontId="8" fillId="0" borderId="6" xfId="92" applyNumberFormat="1" applyFont="1" applyFill="1" applyBorder="1" applyAlignment="1" applyProtection="1">
      <alignment horizontal="center" vertical="center" wrapText="1"/>
    </xf>
    <xf numFmtId="168" fontId="8" fillId="0" borderId="7" xfId="92" applyNumberFormat="1" applyFont="1" applyFill="1" applyBorder="1" applyAlignment="1" applyProtection="1">
      <alignment horizontal="center" vertical="center" wrapText="1"/>
    </xf>
    <xf numFmtId="0" fontId="8" fillId="0" borderId="5" xfId="23" applyFont="1" applyFill="1" applyBorder="1" applyAlignment="1">
      <alignment horizontal="center" vertical="center" wrapText="1"/>
    </xf>
    <xf numFmtId="0" fontId="6" fillId="0" borderId="6" xfId="52" applyFont="1" applyBorder="1" applyAlignment="1">
      <alignment horizontal="center" vertical="center" wrapText="1"/>
    </xf>
    <xf numFmtId="0" fontId="6" fillId="0" borderId="7" xfId="52" applyFont="1" applyBorder="1" applyAlignment="1">
      <alignment horizontal="center" vertical="center" wrapText="1"/>
    </xf>
    <xf numFmtId="0" fontId="8" fillId="0" borderId="5" xfId="23" applyFont="1" applyFill="1" applyBorder="1" applyAlignment="1">
      <alignment horizontal="center" vertical="center"/>
    </xf>
    <xf numFmtId="0" fontId="8" fillId="0" borderId="6" xfId="23" applyFont="1" applyFill="1" applyBorder="1" applyAlignment="1">
      <alignment horizontal="center" vertical="center"/>
    </xf>
    <xf numFmtId="0" fontId="8" fillId="0" borderId="7" xfId="23" applyFont="1" applyFill="1" applyBorder="1" applyAlignment="1">
      <alignment horizontal="center" vertical="center"/>
    </xf>
    <xf numFmtId="0" fontId="11" fillId="0" borderId="0" xfId="0" applyFont="1" applyFill="1" applyBorder="1"/>
    <xf numFmtId="0" fontId="11" fillId="0" borderId="0" xfId="0" applyFont="1" applyFill="1"/>
    <xf numFmtId="179" fontId="8" fillId="0" borderId="11" xfId="44" applyNumberFormat="1" applyFont="1" applyFill="1" applyBorder="1" applyAlignment="1" applyProtection="1">
      <alignment horizontal="center" vertical="center" wrapText="1"/>
    </xf>
    <xf numFmtId="179" fontId="8" fillId="0" borderId="12" xfId="44" applyNumberFormat="1" applyFont="1" applyFill="1" applyBorder="1" applyAlignment="1" applyProtection="1">
      <alignment horizontal="center" vertical="center" wrapText="1"/>
    </xf>
    <xf numFmtId="179" fontId="8" fillId="0" borderId="13" xfId="44" applyNumberFormat="1" applyFont="1" applyFill="1" applyBorder="1" applyAlignment="1" applyProtection="1">
      <alignment horizontal="center" vertical="center" wrapText="1"/>
    </xf>
    <xf numFmtId="0" fontId="8" fillId="0" borderId="0" xfId="45" quotePrefix="1" applyNumberFormat="1" applyFont="1" applyFill="1" applyBorder="1" applyAlignment="1">
      <alignment horizontal="center" vertical="center"/>
    </xf>
    <xf numFmtId="0" fontId="8" fillId="0" borderId="0" xfId="42" applyFont="1" applyFill="1" applyBorder="1" applyAlignment="1">
      <alignment horizontal="center" vertical="center"/>
    </xf>
    <xf numFmtId="168" fontId="8" fillId="0" borderId="5" xfId="92" applyNumberFormat="1" applyFont="1" applyFill="1" applyBorder="1" applyAlignment="1">
      <alignment horizontal="center" vertical="center" wrapText="1"/>
    </xf>
    <xf numFmtId="168" fontId="6" fillId="0" borderId="6" xfId="92" applyNumberFormat="1" applyFont="1" applyBorder="1" applyAlignment="1">
      <alignment horizontal="center" vertical="center" wrapText="1"/>
    </xf>
    <xf numFmtId="168" fontId="6" fillId="0" borderId="7" xfId="92" applyNumberFormat="1" applyFont="1" applyBorder="1" applyAlignment="1">
      <alignment horizontal="center" vertical="center" wrapText="1"/>
    </xf>
    <xf numFmtId="0" fontId="8" fillId="0" borderId="0" xfId="45" applyNumberFormat="1" applyFont="1" applyFill="1" applyBorder="1" applyAlignment="1">
      <alignment horizontal="center" vertical="center" wrapText="1"/>
    </xf>
    <xf numFmtId="168" fontId="8" fillId="0" borderId="0" xfId="92" applyNumberFormat="1" applyFont="1" applyFill="1" applyBorder="1" applyAlignment="1" applyProtection="1">
      <alignment horizontal="center" vertical="center" wrapText="1"/>
    </xf>
    <xf numFmtId="0" fontId="8" fillId="0" borderId="0" xfId="45" quotePrefix="1" applyNumberFormat="1" applyFont="1" applyFill="1" applyBorder="1" applyAlignment="1">
      <alignment horizontal="center" vertical="center" wrapText="1"/>
    </xf>
    <xf numFmtId="0" fontId="8" fillId="0" borderId="0" xfId="42" applyFont="1" applyFill="1" applyBorder="1" applyAlignment="1">
      <alignment horizontal="center"/>
    </xf>
    <xf numFmtId="43" fontId="6" fillId="0" borderId="0" xfId="44" applyNumberFormat="1" applyFont="1" applyFill="1" applyBorder="1" applyAlignment="1" applyProtection="1">
      <alignment horizontal="center" vertical="top"/>
    </xf>
    <xf numFmtId="179" fontId="8" fillId="0" borderId="0" xfId="44" applyNumberFormat="1" applyFont="1" applyFill="1" applyBorder="1" applyAlignment="1" applyProtection="1">
      <alignment horizontal="center" vertical="center" wrapText="1"/>
    </xf>
    <xf numFmtId="168" fontId="8" fillId="0" borderId="0" xfId="92" applyNumberFormat="1" applyFont="1" applyFill="1" applyBorder="1" applyAlignment="1">
      <alignment horizontal="center" vertical="center" wrapText="1"/>
    </xf>
    <xf numFmtId="183" fontId="6" fillId="0" borderId="0" xfId="42" applyNumberFormat="1" applyFont="1" applyFill="1" applyBorder="1" applyAlignment="1">
      <alignment horizontal="justify" vertical="top"/>
    </xf>
    <xf numFmtId="168" fontId="6" fillId="0" borderId="0" xfId="2" quotePrefix="1" applyNumberFormat="1" applyFont="1" applyFill="1" applyBorder="1" applyAlignment="1">
      <alignment horizontal="center" vertical="top"/>
    </xf>
    <xf numFmtId="0" fontId="6" fillId="0" borderId="0" xfId="42" applyFont="1" applyFill="1" applyBorder="1" applyAlignment="1">
      <alignment horizontal="center"/>
    </xf>
    <xf numFmtId="49" fontId="6" fillId="0" borderId="0" xfId="2" applyNumberFormat="1" applyFont="1" applyFill="1" applyBorder="1" applyAlignment="1" applyProtection="1">
      <alignment horizontal="center" vertical="top"/>
    </xf>
    <xf numFmtId="185" fontId="6" fillId="0" borderId="0" xfId="2" applyNumberFormat="1" applyFont="1" applyFill="1" applyBorder="1" applyAlignment="1" applyProtection="1">
      <alignment horizontal="center" vertical="top"/>
    </xf>
    <xf numFmtId="168" fontId="8" fillId="0" borderId="0" xfId="2" quotePrefix="1" applyNumberFormat="1" applyFont="1" applyFill="1" applyBorder="1" applyAlignment="1">
      <alignment horizontal="center" vertical="center"/>
    </xf>
    <xf numFmtId="49" fontId="8" fillId="0" borderId="0" xfId="2" applyNumberFormat="1" applyFont="1" applyFill="1" applyBorder="1" applyAlignment="1" applyProtection="1">
      <alignment horizontal="center" vertical="center"/>
    </xf>
    <xf numFmtId="168" fontId="8" fillId="0" borderId="0" xfId="2" applyNumberFormat="1" applyFont="1" applyFill="1" applyBorder="1" applyAlignment="1" applyProtection="1">
      <alignment horizontal="center" vertical="center"/>
    </xf>
    <xf numFmtId="0" fontId="12" fillId="0" borderId="0" xfId="0" applyFont="1" applyFill="1" applyAlignment="1">
      <alignment vertical="top" wrapText="1"/>
    </xf>
    <xf numFmtId="168" fontId="8" fillId="0" borderId="11" xfId="92" applyNumberFormat="1" applyFont="1" applyFill="1" applyBorder="1" applyAlignment="1" applyProtection="1">
      <alignment horizontal="center" vertical="center" wrapText="1"/>
    </xf>
    <xf numFmtId="168" fontId="8" fillId="0" borderId="12" xfId="92" applyNumberFormat="1" applyFont="1" applyFill="1" applyBorder="1" applyAlignment="1" applyProtection="1">
      <alignment horizontal="center" vertical="center" wrapText="1"/>
    </xf>
    <xf numFmtId="168" fontId="8" fillId="0" borderId="13" xfId="92" applyNumberFormat="1" applyFont="1" applyFill="1" applyBorder="1" applyAlignment="1" applyProtection="1">
      <alignment horizontal="center" vertical="center" wrapText="1"/>
    </xf>
    <xf numFmtId="0" fontId="32" fillId="0" borderId="0" xfId="1" quotePrefix="1" applyFont="1" applyFill="1" applyAlignment="1">
      <alignment horizontal="justify" vertical="top" wrapText="1"/>
    </xf>
    <xf numFmtId="0" fontId="32" fillId="0" borderId="0" xfId="1" applyFont="1" applyFill="1" applyAlignment="1">
      <alignment horizontal="justify" vertical="top" wrapText="1"/>
    </xf>
    <xf numFmtId="179" fontId="14" fillId="0" borderId="5" xfId="44" applyNumberFormat="1" applyFont="1" applyFill="1" applyBorder="1" applyAlignment="1" applyProtection="1">
      <alignment horizontal="center" vertical="center" wrapText="1"/>
    </xf>
    <xf numFmtId="179" fontId="14" fillId="0" borderId="6" xfId="44" applyNumberFormat="1" applyFont="1" applyFill="1" applyBorder="1" applyAlignment="1" applyProtection="1">
      <alignment horizontal="center" vertical="center" wrapText="1"/>
    </xf>
    <xf numFmtId="179" fontId="14" fillId="0" borderId="7" xfId="44" applyNumberFormat="1" applyFont="1" applyFill="1" applyBorder="1" applyAlignment="1" applyProtection="1">
      <alignment horizontal="center" vertical="center" wrapText="1"/>
    </xf>
    <xf numFmtId="0" fontId="14" fillId="0" borderId="9" xfId="45" applyNumberFormat="1" applyFont="1" applyFill="1" applyBorder="1" applyAlignment="1">
      <alignment horizontal="center" vertical="center" wrapText="1"/>
    </xf>
    <xf numFmtId="0" fontId="14" fillId="0" borderId="10" xfId="45" applyNumberFormat="1" applyFont="1" applyFill="1" applyBorder="1" applyAlignment="1">
      <alignment horizontal="center" vertical="center" wrapText="1"/>
    </xf>
    <xf numFmtId="0" fontId="14" fillId="0" borderId="15" xfId="45" applyNumberFormat="1" applyFont="1" applyFill="1" applyBorder="1" applyAlignment="1">
      <alignment horizontal="center" vertical="center" wrapText="1"/>
    </xf>
    <xf numFmtId="0" fontId="14" fillId="0" borderId="16" xfId="45" applyNumberFormat="1" applyFont="1" applyFill="1" applyBorder="1" applyAlignment="1">
      <alignment horizontal="center" vertical="center" wrapText="1"/>
    </xf>
    <xf numFmtId="0" fontId="14" fillId="0" borderId="17" xfId="45" applyNumberFormat="1" applyFont="1" applyFill="1" applyBorder="1" applyAlignment="1">
      <alignment horizontal="center" vertical="center" wrapText="1"/>
    </xf>
    <xf numFmtId="0" fontId="14" fillId="0" borderId="18" xfId="45" applyNumberFormat="1" applyFont="1" applyFill="1" applyBorder="1" applyAlignment="1">
      <alignment horizontal="center" vertical="center" wrapText="1"/>
    </xf>
    <xf numFmtId="0" fontId="7" fillId="0" borderId="0" xfId="57" applyNumberFormat="1" applyFont="1" applyFill="1" applyAlignment="1">
      <alignment horizontal="justify" vertical="top"/>
    </xf>
    <xf numFmtId="0" fontId="7" fillId="0" borderId="0" xfId="1" applyFont="1" applyFill="1" applyAlignment="1" applyProtection="1">
      <alignment horizontal="justify" vertical="top" wrapText="1"/>
    </xf>
    <xf numFmtId="0" fontId="14" fillId="0" borderId="9" xfId="32" applyFont="1" applyFill="1" applyBorder="1" applyAlignment="1">
      <alignment horizontal="center" vertical="center" wrapText="1"/>
    </xf>
    <xf numFmtId="0" fontId="14" fillId="0" borderId="8" xfId="32" applyFont="1" applyFill="1" applyBorder="1" applyAlignment="1">
      <alignment horizontal="center" vertical="center" wrapText="1"/>
    </xf>
    <xf numFmtId="0" fontId="14" fillId="0" borderId="15" xfId="32" applyFont="1" applyFill="1" applyBorder="1" applyAlignment="1">
      <alignment horizontal="center" vertical="center" wrapText="1"/>
    </xf>
    <xf numFmtId="0" fontId="14" fillId="0" borderId="0" xfId="32" applyFont="1" applyFill="1" applyBorder="1" applyAlignment="1">
      <alignment horizontal="center" vertical="center" wrapText="1"/>
    </xf>
    <xf numFmtId="0" fontId="14" fillId="0" borderId="17" xfId="32" applyFont="1" applyFill="1" applyBorder="1" applyAlignment="1">
      <alignment horizontal="center" vertical="center" wrapText="1"/>
    </xf>
    <xf numFmtId="0" fontId="14" fillId="0" borderId="2" xfId="32" applyFont="1" applyFill="1" applyBorder="1" applyAlignment="1">
      <alignment horizontal="center" vertical="center" wrapText="1"/>
    </xf>
    <xf numFmtId="179" fontId="14" fillId="0" borderId="9" xfId="44" applyNumberFormat="1" applyFont="1" applyFill="1" applyBorder="1" applyAlignment="1" applyProtection="1">
      <alignment horizontal="center" vertical="center" wrapText="1"/>
    </xf>
    <xf numFmtId="179" fontId="14" fillId="0" borderId="10" xfId="44" applyNumberFormat="1" applyFont="1" applyFill="1" applyBorder="1" applyAlignment="1" applyProtection="1">
      <alignment horizontal="center" vertical="center" wrapText="1"/>
    </xf>
    <xf numFmtId="179" fontId="14" fillId="0" borderId="15" xfId="44" applyNumberFormat="1" applyFont="1" applyFill="1" applyBorder="1" applyAlignment="1" applyProtection="1">
      <alignment horizontal="center" vertical="center" wrapText="1"/>
    </xf>
    <xf numFmtId="179" fontId="14" fillId="0" borderId="16" xfId="44" applyNumberFormat="1" applyFont="1" applyFill="1" applyBorder="1" applyAlignment="1" applyProtection="1">
      <alignment horizontal="center" vertical="center" wrapText="1"/>
    </xf>
    <xf numFmtId="179" fontId="14" fillId="0" borderId="17" xfId="44" applyNumberFormat="1" applyFont="1" applyFill="1" applyBorder="1" applyAlignment="1" applyProtection="1">
      <alignment horizontal="center" vertical="center" wrapText="1"/>
    </xf>
    <xf numFmtId="179" fontId="14" fillId="0" borderId="18" xfId="44" applyNumberFormat="1" applyFont="1" applyFill="1" applyBorder="1" applyAlignment="1" applyProtection="1">
      <alignment horizontal="center" vertical="center" wrapText="1"/>
    </xf>
    <xf numFmtId="183" fontId="7" fillId="0" borderId="0" xfId="42" applyNumberFormat="1" applyFont="1" applyFill="1" applyAlignment="1">
      <alignment horizontal="justify" vertical="top"/>
    </xf>
    <xf numFmtId="168" fontId="5" fillId="0" borderId="0" xfId="6" quotePrefix="1" applyNumberFormat="1" applyFont="1" applyFill="1" applyAlignment="1">
      <alignment horizontal="center"/>
    </xf>
    <xf numFmtId="168" fontId="5" fillId="0" borderId="0" xfId="6" applyNumberFormat="1" applyFont="1" applyFill="1" applyAlignment="1">
      <alignment horizontal="center"/>
    </xf>
    <xf numFmtId="0" fontId="32" fillId="0" borderId="0" xfId="1" quotePrefix="1" applyFont="1" applyFill="1" applyAlignment="1">
      <alignment horizontal="justify" vertical="top"/>
    </xf>
    <xf numFmtId="0" fontId="32" fillId="0" borderId="0" xfId="1" quotePrefix="1" applyFont="1" applyFill="1" applyAlignment="1">
      <alignment horizontal="justify" vertical="justify" wrapText="1"/>
    </xf>
    <xf numFmtId="0" fontId="7" fillId="0" borderId="0" xfId="59" applyFont="1" applyFill="1" applyAlignment="1" applyProtection="1">
      <alignment horizontal="justify" vertical="top"/>
    </xf>
    <xf numFmtId="37" fontId="7" fillId="0" borderId="0" xfId="1" applyNumberFormat="1" applyFont="1" applyFill="1" applyAlignment="1" applyProtection="1">
      <alignment horizontal="justify" vertical="justify"/>
    </xf>
    <xf numFmtId="37" fontId="7" fillId="0" borderId="0" xfId="1" applyNumberFormat="1" applyFont="1" applyFill="1" applyAlignment="1" applyProtection="1">
      <alignment horizontal="justify" vertical="top"/>
    </xf>
    <xf numFmtId="0" fontId="7" fillId="0" borderId="0" xfId="100" applyNumberFormat="1" applyFont="1" applyFill="1" applyAlignment="1" applyProtection="1">
      <alignment horizontal="justify" vertical="top" wrapText="1"/>
    </xf>
    <xf numFmtId="0" fontId="7" fillId="0" borderId="0" xfId="55" quotePrefix="1" applyFont="1" applyFill="1" applyAlignment="1">
      <alignment horizontal="left" vertical="top" wrapText="1"/>
    </xf>
    <xf numFmtId="0" fontId="7" fillId="0" borderId="0" xfId="55" applyFont="1" applyFill="1" applyAlignment="1">
      <alignment horizontal="left" vertical="top" wrapText="1"/>
    </xf>
    <xf numFmtId="0" fontId="7" fillId="0" borderId="0" xfId="1" applyFont="1" applyFill="1" applyAlignment="1">
      <alignment horizontal="left" wrapText="1"/>
    </xf>
    <xf numFmtId="43" fontId="7" fillId="0" borderId="0" xfId="93" applyNumberFormat="1" applyFont="1" applyFill="1" applyAlignment="1" applyProtection="1">
      <alignment vertical="top" wrapText="1"/>
      <protection locked="0"/>
    </xf>
    <xf numFmtId="0" fontId="35" fillId="0" borderId="0" xfId="0" quotePrefix="1" applyFont="1" applyFill="1" applyAlignment="1">
      <alignment horizontal="justify" vertical="top"/>
    </xf>
    <xf numFmtId="0" fontId="19" fillId="0" borderId="0" xfId="96" quotePrefix="1" applyFont="1" applyFill="1" applyAlignment="1">
      <alignment horizontal="justify" vertical="top" wrapText="1"/>
    </xf>
    <xf numFmtId="0" fontId="7" fillId="0" borderId="0" xfId="0" quotePrefix="1" applyFont="1" applyFill="1" applyAlignment="1" applyProtection="1">
      <alignment horizontal="justify" vertical="top" wrapText="1"/>
      <protection locked="0"/>
    </xf>
    <xf numFmtId="0" fontId="7" fillId="0" borderId="0" xfId="23" applyNumberFormat="1" applyFont="1" applyFill="1" applyBorder="1" applyAlignment="1">
      <alignment horizontal="justify" vertical="top" wrapText="1"/>
    </xf>
    <xf numFmtId="0" fontId="0" fillId="0" borderId="0" xfId="0" applyFill="1" applyAlignment="1">
      <alignment horizontal="justify" vertical="top" wrapText="1"/>
    </xf>
    <xf numFmtId="0" fontId="7" fillId="0" borderId="0" xfId="96" quotePrefix="1" applyFont="1" applyFill="1" applyAlignment="1">
      <alignment horizontal="justify" vertical="top" wrapText="1"/>
    </xf>
    <xf numFmtId="2" fontId="7" fillId="0" borderId="0" xfId="93" applyNumberFormat="1" applyFont="1" applyFill="1" applyAlignment="1" applyProtection="1">
      <alignment vertical="top" wrapText="1"/>
      <protection locked="0"/>
    </xf>
    <xf numFmtId="0" fontId="7" fillId="0" borderId="0" xfId="57" quotePrefix="1" applyNumberFormat="1" applyFont="1" applyFill="1" applyAlignment="1">
      <alignment horizontal="justify" vertical="top"/>
    </xf>
    <xf numFmtId="0" fontId="5" fillId="0" borderId="0" xfId="57" applyNumberFormat="1" applyFont="1" applyFill="1" applyAlignment="1">
      <alignment horizontal="justify" vertical="top"/>
    </xf>
    <xf numFmtId="0" fontId="7" fillId="0" borderId="14" xfId="115" applyNumberFormat="1" applyFont="1" applyFill="1" applyBorder="1" applyAlignment="1">
      <alignment horizontal="center" vertical="center" wrapText="1"/>
    </xf>
    <xf numFmtId="0" fontId="7" fillId="0" borderId="5" xfId="115" applyNumberFormat="1" applyFont="1" applyFill="1" applyBorder="1" applyAlignment="1">
      <alignment horizontal="center" vertical="center" wrapText="1"/>
    </xf>
    <xf numFmtId="0" fontId="7" fillId="0" borderId="6" xfId="115" applyNumberFormat="1" applyFont="1" applyFill="1" applyBorder="1" applyAlignment="1">
      <alignment horizontal="center" vertical="center" wrapText="1"/>
    </xf>
    <xf numFmtId="0" fontId="7" fillId="0" borderId="7" xfId="115" applyNumberFormat="1" applyFont="1" applyFill="1" applyBorder="1" applyAlignment="1">
      <alignment horizontal="center" vertical="center" wrapText="1"/>
    </xf>
    <xf numFmtId="0" fontId="7" fillId="0" borderId="0" xfId="115" quotePrefix="1" applyFont="1" applyFill="1" applyAlignment="1">
      <alignment horizontal="center"/>
    </xf>
    <xf numFmtId="0" fontId="19" fillId="0" borderId="0" xfId="96" quotePrefix="1" applyFont="1" applyFill="1" applyAlignment="1">
      <alignment horizontal="center"/>
    </xf>
    <xf numFmtId="0" fontId="20" fillId="0" borderId="0" xfId="96" quotePrefix="1" applyFont="1" applyFill="1" applyAlignment="1">
      <alignment horizontal="center"/>
    </xf>
    <xf numFmtId="0" fontId="7" fillId="0" borderId="0" xfId="115" applyFont="1" applyFill="1" applyBorder="1" applyAlignment="1">
      <alignment horizontal="center"/>
    </xf>
    <xf numFmtId="0" fontId="5" fillId="0" borderId="0" xfId="115" quotePrefix="1" applyFont="1" applyFill="1" applyAlignment="1">
      <alignment horizontal="center"/>
    </xf>
    <xf numFmtId="0" fontId="5" fillId="0" borderId="14" xfId="115" applyNumberFormat="1" applyFont="1" applyFill="1" applyBorder="1" applyAlignment="1">
      <alignment horizontal="center" vertical="center" wrapText="1"/>
    </xf>
    <xf numFmtId="0" fontId="5" fillId="0" borderId="5" xfId="115" applyNumberFormat="1" applyFont="1" applyFill="1" applyBorder="1" applyAlignment="1">
      <alignment horizontal="center" vertical="center" wrapText="1"/>
    </xf>
    <xf numFmtId="0" fontId="5" fillId="0" borderId="6" xfId="115" applyNumberFormat="1" applyFont="1" applyFill="1" applyBorder="1" applyAlignment="1">
      <alignment horizontal="center" vertical="center" wrapText="1"/>
    </xf>
    <xf numFmtId="0" fontId="5" fillId="0" borderId="7" xfId="115" applyNumberFormat="1" applyFont="1" applyFill="1" applyBorder="1" applyAlignment="1">
      <alignment horizontal="center" vertical="center" wrapText="1"/>
    </xf>
    <xf numFmtId="0" fontId="7" fillId="0" borderId="0" xfId="57" applyNumberFormat="1" applyFont="1" applyFill="1" applyAlignment="1">
      <alignment horizontal="justify" vertical="top" wrapText="1"/>
    </xf>
    <xf numFmtId="0" fontId="32" fillId="0" borderId="0" xfId="23" applyFont="1" applyFill="1" applyAlignment="1">
      <alignment horizontal="justify" vertical="top" wrapText="1"/>
    </xf>
    <xf numFmtId="0" fontId="5" fillId="0" borderId="0" xfId="115" applyFont="1" applyFill="1" applyBorder="1" applyAlignment="1">
      <alignment horizontal="center"/>
    </xf>
    <xf numFmtId="0" fontId="5" fillId="0" borderId="0" xfId="105" quotePrefix="1" applyFont="1" applyFill="1" applyAlignment="1">
      <alignment horizontal="center"/>
    </xf>
    <xf numFmtId="0" fontId="7" fillId="0" borderId="12" xfId="82" quotePrefix="1" applyFont="1" applyFill="1" applyBorder="1" applyAlignment="1">
      <alignment horizontal="center" vertical="top"/>
    </xf>
    <xf numFmtId="0" fontId="7" fillId="0" borderId="0" xfId="59" applyFont="1" applyFill="1" applyAlignment="1" applyProtection="1">
      <alignment vertical="top"/>
      <protection locked="0"/>
    </xf>
    <xf numFmtId="182" fontId="5" fillId="0" borderId="2" xfId="105" applyNumberFormat="1" applyFont="1" applyFill="1" applyBorder="1" applyAlignment="1">
      <alignment horizontal="center" vertical="top" wrapText="1"/>
    </xf>
    <xf numFmtId="0" fontId="5" fillId="0" borderId="12" xfId="82" quotePrefix="1" applyFont="1" applyFill="1" applyBorder="1" applyAlignment="1">
      <alignment horizontal="center" vertical="top"/>
    </xf>
    <xf numFmtId="0" fontId="7" fillId="0" borderId="0" xfId="73" applyFont="1" applyFill="1" applyAlignment="1">
      <alignment horizontal="justify" vertical="top" wrapText="1"/>
    </xf>
    <xf numFmtId="0" fontId="7" fillId="0" borderId="0" xfId="73" applyFont="1" applyFill="1" applyAlignment="1">
      <alignment horizontal="justify" vertical="top"/>
    </xf>
    <xf numFmtId="0" fontId="7" fillId="0" borderId="0" xfId="1" applyFont="1" applyFill="1" applyBorder="1" applyAlignment="1">
      <alignment horizontal="justify" vertical="top" wrapText="1"/>
    </xf>
    <xf numFmtId="0" fontId="7" fillId="0" borderId="0" xfId="34" applyFont="1" applyFill="1" applyBorder="1" applyAlignment="1">
      <alignment horizontal="justify" vertical="top" wrapText="1"/>
    </xf>
    <xf numFmtId="11" fontId="7" fillId="0" borderId="0" xfId="59" applyNumberFormat="1" applyFont="1" applyFill="1" applyAlignment="1" applyProtection="1">
      <alignment horizontal="justify" vertical="top" wrapText="1"/>
    </xf>
    <xf numFmtId="0" fontId="7" fillId="0" borderId="0" xfId="59" applyNumberFormat="1" applyFont="1" applyFill="1" applyAlignment="1" applyProtection="1">
      <alignment horizontal="justify" vertical="top" wrapText="1"/>
    </xf>
    <xf numFmtId="0" fontId="7" fillId="0" borderId="0" xfId="59" applyFont="1" applyFill="1" applyAlignment="1" applyProtection="1">
      <alignment horizontal="justify" vertical="top" wrapText="1"/>
    </xf>
    <xf numFmtId="0" fontId="5" fillId="0" borderId="0" xfId="64" quotePrefix="1" applyFont="1" applyFill="1" applyAlignment="1">
      <alignment horizontal="center"/>
    </xf>
    <xf numFmtId="0" fontId="19" fillId="0" borderId="0" xfId="59" applyFont="1" applyFill="1" applyAlignment="1" applyProtection="1">
      <alignment horizontal="justify" vertical="top" wrapText="1"/>
    </xf>
    <xf numFmtId="0" fontId="21" fillId="0" borderId="14" xfId="59" applyFont="1" applyFill="1" applyBorder="1" applyAlignment="1" applyProtection="1">
      <alignment horizontal="center" vertical="center" wrapText="1"/>
    </xf>
    <xf numFmtId="0" fontId="6" fillId="0" borderId="0" xfId="1" applyFont="1" applyFill="1" applyAlignment="1">
      <alignment horizontal="justify" vertical="top"/>
    </xf>
    <xf numFmtId="0" fontId="25" fillId="0" borderId="14" xfId="59" applyFont="1" applyFill="1" applyBorder="1" applyAlignment="1" applyProtection="1">
      <alignment horizontal="center" vertical="center" wrapText="1"/>
    </xf>
    <xf numFmtId="168" fontId="21" fillId="0" borderId="0" xfId="69" quotePrefix="1" applyNumberFormat="1" applyFont="1" applyFill="1" applyBorder="1" applyAlignment="1">
      <alignment horizontal="center" vertical="center"/>
    </xf>
    <xf numFmtId="168" fontId="25" fillId="0" borderId="0" xfId="69" quotePrefix="1" applyNumberFormat="1" applyFont="1" applyFill="1" applyBorder="1" applyAlignment="1">
      <alignment horizontal="center" vertical="top"/>
    </xf>
    <xf numFmtId="0" fontId="21" fillId="0" borderId="9" xfId="59" applyFont="1" applyFill="1" applyBorder="1" applyAlignment="1" applyProtection="1">
      <alignment horizontal="center" vertical="center"/>
    </xf>
    <xf numFmtId="0" fontId="48" fillId="0" borderId="10" xfId="59" applyFont="1" applyFill="1" applyBorder="1" applyAlignment="1" applyProtection="1">
      <alignment vertical="top"/>
    </xf>
    <xf numFmtId="0" fontId="48" fillId="0" borderId="15" xfId="59" applyFont="1" applyFill="1" applyBorder="1" applyAlignment="1" applyProtection="1">
      <alignment vertical="top"/>
    </xf>
    <xf numFmtId="0" fontId="48" fillId="0" borderId="16" xfId="59" applyFont="1" applyFill="1" applyBorder="1" applyAlignment="1" applyProtection="1">
      <alignment vertical="top"/>
    </xf>
    <xf numFmtId="0" fontId="48" fillId="0" borderId="17" xfId="59" applyFont="1" applyFill="1" applyBorder="1" applyAlignment="1" applyProtection="1">
      <alignment vertical="top"/>
    </xf>
    <xf numFmtId="0" fontId="48" fillId="0" borderId="18" xfId="59" applyFont="1" applyFill="1" applyBorder="1" applyAlignment="1" applyProtection="1">
      <alignment vertical="top"/>
    </xf>
    <xf numFmtId="0" fontId="21" fillId="0" borderId="11" xfId="59" quotePrefix="1" applyFont="1" applyFill="1" applyBorder="1" applyAlignment="1" applyProtection="1">
      <alignment horizontal="center" vertical="center"/>
    </xf>
    <xf numFmtId="0" fontId="21" fillId="0" borderId="12" xfId="59" applyFont="1" applyFill="1" applyBorder="1" applyAlignment="1" applyProtection="1">
      <alignment horizontal="center" vertical="center"/>
    </xf>
    <xf numFmtId="0" fontId="21" fillId="0" borderId="13" xfId="59" applyFont="1" applyFill="1" applyBorder="1" applyAlignment="1" applyProtection="1">
      <alignment horizontal="center" vertical="center"/>
    </xf>
    <xf numFmtId="0" fontId="21" fillId="0" borderId="14" xfId="46" applyFont="1" applyFill="1" applyBorder="1" applyAlignment="1">
      <alignment horizontal="center" vertical="center" wrapText="1"/>
    </xf>
    <xf numFmtId="0" fontId="21" fillId="0" borderId="14" xfId="59" applyFont="1" applyFill="1" applyBorder="1" applyAlignment="1" applyProtection="1">
      <alignment vertical="center"/>
    </xf>
    <xf numFmtId="0" fontId="21" fillId="0" borderId="14" xfId="59" applyNumberFormat="1" applyFont="1" applyFill="1" applyBorder="1" applyAlignment="1" applyProtection="1">
      <alignment horizontal="center" vertical="center"/>
    </xf>
    <xf numFmtId="0" fontId="25" fillId="0" borderId="9" xfId="59" applyFont="1" applyFill="1" applyBorder="1" applyAlignment="1" applyProtection="1">
      <alignment horizontal="center" vertical="center" wrapText="1"/>
    </xf>
    <xf numFmtId="0" fontId="25" fillId="0" borderId="10" xfId="59" applyFont="1" applyFill="1" applyBorder="1" applyAlignment="1" applyProtection="1">
      <alignment horizontal="center" vertical="center" wrapText="1"/>
    </xf>
    <xf numFmtId="0" fontId="25" fillId="0" borderId="15" xfId="59" applyFont="1" applyFill="1" applyBorder="1" applyAlignment="1" applyProtection="1">
      <alignment horizontal="center" vertical="center" wrapText="1"/>
    </xf>
    <xf numFmtId="0" fontId="25" fillId="0" borderId="16" xfId="59" applyFont="1" applyFill="1" applyBorder="1" applyAlignment="1" applyProtection="1">
      <alignment horizontal="center" vertical="center" wrapText="1"/>
    </xf>
    <xf numFmtId="0" fontId="25" fillId="0" borderId="17" xfId="59" applyFont="1" applyFill="1" applyBorder="1" applyAlignment="1" applyProtection="1">
      <alignment horizontal="center" vertical="center" wrapText="1"/>
    </xf>
    <xf numFmtId="0" fontId="25" fillId="0" borderId="18" xfId="59" applyFont="1" applyFill="1" applyBorder="1" applyAlignment="1" applyProtection="1">
      <alignment horizontal="center" vertical="center" wrapText="1"/>
    </xf>
    <xf numFmtId="0" fontId="21" fillId="0" borderId="9" xfId="59" applyFont="1" applyFill="1" applyBorder="1" applyAlignment="1" applyProtection="1">
      <alignment horizontal="center" vertical="center" wrapText="1"/>
    </xf>
    <xf numFmtId="0" fontId="21" fillId="0" borderId="10" xfId="59" applyFont="1" applyFill="1" applyBorder="1" applyAlignment="1" applyProtection="1">
      <alignment horizontal="center" vertical="center" wrapText="1"/>
    </xf>
    <xf numFmtId="0" fontId="21" fillId="0" borderId="15" xfId="59" applyFont="1" applyFill="1" applyBorder="1" applyAlignment="1" applyProtection="1">
      <alignment horizontal="center" vertical="center" wrapText="1"/>
    </xf>
    <xf numFmtId="0" fontId="21" fillId="0" borderId="16" xfId="59" applyFont="1" applyFill="1" applyBorder="1" applyAlignment="1" applyProtection="1">
      <alignment horizontal="center" vertical="center" wrapText="1"/>
    </xf>
    <xf numFmtId="0" fontId="21" fillId="0" borderId="17" xfId="59" applyFont="1" applyFill="1" applyBorder="1" applyAlignment="1" applyProtection="1">
      <alignment horizontal="center" vertical="center" wrapText="1"/>
    </xf>
    <xf numFmtId="0" fontId="21" fillId="0" borderId="18" xfId="59" applyFont="1" applyFill="1" applyBorder="1" applyAlignment="1" applyProtection="1">
      <alignment horizontal="center" vertical="center" wrapText="1"/>
    </xf>
    <xf numFmtId="0" fontId="25" fillId="0" borderId="9" xfId="59" applyFont="1" applyFill="1" applyBorder="1" applyAlignment="1" applyProtection="1">
      <alignment horizontal="center" vertical="center"/>
    </xf>
    <xf numFmtId="0" fontId="25" fillId="0" borderId="11" xfId="59" quotePrefix="1" applyFont="1" applyFill="1" applyBorder="1" applyAlignment="1" applyProtection="1">
      <alignment horizontal="center" vertical="top"/>
    </xf>
    <xf numFmtId="0" fontId="25" fillId="0" borderId="12" xfId="59" applyFont="1" applyFill="1" applyBorder="1" applyAlignment="1" applyProtection="1">
      <alignment horizontal="center" vertical="top"/>
    </xf>
    <xf numFmtId="0" fontId="25" fillId="0" borderId="13" xfId="59" applyFont="1" applyFill="1" applyBorder="1" applyAlignment="1" applyProtection="1">
      <alignment horizontal="center" vertical="top"/>
    </xf>
    <xf numFmtId="0" fontId="25" fillId="0" borderId="14" xfId="46" applyFont="1" applyFill="1" applyBorder="1" applyAlignment="1">
      <alignment horizontal="center" vertical="center" wrapText="1"/>
    </xf>
    <xf numFmtId="0" fontId="25" fillId="0" borderId="14" xfId="59" applyNumberFormat="1" applyFont="1" applyFill="1" applyBorder="1" applyAlignment="1" applyProtection="1">
      <alignment horizontal="center" vertical="center"/>
    </xf>
    <xf numFmtId="0" fontId="5" fillId="0" borderId="11" xfId="88" applyFont="1" applyFill="1" applyBorder="1" applyAlignment="1">
      <alignment horizontal="center" vertical="top"/>
    </xf>
    <xf numFmtId="0" fontId="5" fillId="0" borderId="12" xfId="88" applyFont="1" applyFill="1" applyBorder="1" applyAlignment="1">
      <alignment horizontal="center" vertical="top"/>
    </xf>
    <xf numFmtId="0" fontId="5" fillId="0" borderId="13" xfId="88" applyFont="1" applyFill="1" applyBorder="1" applyAlignment="1">
      <alignment horizontal="center" vertical="top"/>
    </xf>
    <xf numFmtId="0" fontId="5" fillId="0" borderId="9" xfId="59" applyFont="1" applyFill="1" applyBorder="1" applyAlignment="1" applyProtection="1">
      <alignment horizontal="center" vertical="center" wrapText="1"/>
    </xf>
    <xf numFmtId="0" fontId="5" fillId="0" borderId="10" xfId="59" applyFont="1" applyFill="1" applyBorder="1" applyAlignment="1" applyProtection="1">
      <alignment horizontal="center" vertical="center" wrapText="1"/>
    </xf>
    <xf numFmtId="0" fontId="5" fillId="0" borderId="15" xfId="59" applyFont="1" applyFill="1" applyBorder="1" applyAlignment="1" applyProtection="1">
      <alignment horizontal="center" vertical="center" wrapText="1"/>
    </xf>
    <xf numFmtId="0" fontId="5" fillId="0" borderId="16" xfId="59" applyFont="1" applyFill="1" applyBorder="1" applyAlignment="1" applyProtection="1">
      <alignment horizontal="center" vertical="center" wrapText="1"/>
    </xf>
    <xf numFmtId="0" fontId="5" fillId="0" borderId="17" xfId="59" applyFont="1" applyFill="1" applyBorder="1" applyAlignment="1" applyProtection="1">
      <alignment horizontal="center" vertical="center" wrapText="1"/>
    </xf>
    <xf numFmtId="0" fontId="5" fillId="0" borderId="18" xfId="59" applyFont="1" applyFill="1" applyBorder="1" applyAlignment="1" applyProtection="1">
      <alignment horizontal="center" vertical="center" wrapText="1"/>
    </xf>
    <xf numFmtId="0" fontId="5" fillId="0" borderId="14" xfId="59" applyFont="1" applyFill="1" applyBorder="1" applyAlignment="1" applyProtection="1">
      <alignment horizontal="center" vertical="center" wrapText="1"/>
    </xf>
    <xf numFmtId="0" fontId="20" fillId="0" borderId="11" xfId="59" applyFont="1" applyFill="1" applyBorder="1" applyAlignment="1" applyProtection="1">
      <alignment horizontal="center" vertical="top"/>
    </xf>
    <xf numFmtId="0" fontId="20" fillId="0" borderId="12" xfId="59" applyFont="1" applyFill="1" applyBorder="1" applyAlignment="1" applyProtection="1">
      <alignment horizontal="center" vertical="top"/>
    </xf>
    <xf numFmtId="0" fontId="19" fillId="0" borderId="12" xfId="59" applyFont="1" applyFill="1" applyBorder="1" applyAlignment="1" applyProtection="1">
      <alignment horizontal="center" vertical="top"/>
    </xf>
    <xf numFmtId="11" fontId="20" fillId="0" borderId="11" xfId="59" applyNumberFormat="1" applyFont="1" applyFill="1" applyBorder="1" applyAlignment="1" applyProtection="1">
      <alignment horizontal="center" vertical="top"/>
    </xf>
    <xf numFmtId="11" fontId="20" fillId="0" borderId="12" xfId="59" applyNumberFormat="1" applyFont="1" applyFill="1" applyBorder="1" applyAlignment="1" applyProtection="1">
      <alignment horizontal="center" vertical="top"/>
    </xf>
    <xf numFmtId="0" fontId="5" fillId="0" borderId="9" xfId="86" applyFont="1" applyFill="1" applyBorder="1" applyAlignment="1">
      <alignment horizontal="center" vertical="center"/>
    </xf>
    <xf numFmtId="0" fontId="5" fillId="0" borderId="8" xfId="86" applyFont="1" applyFill="1" applyBorder="1" applyAlignment="1">
      <alignment horizontal="center" vertical="center"/>
    </xf>
    <xf numFmtId="0" fontId="5" fillId="0" borderId="17" xfId="86" applyFont="1" applyFill="1" applyBorder="1" applyAlignment="1">
      <alignment horizontal="center" vertical="center"/>
    </xf>
    <xf numFmtId="0" fontId="5" fillId="0" borderId="2" xfId="86" applyFont="1" applyFill="1" applyBorder="1" applyAlignment="1">
      <alignment horizontal="center" vertical="center"/>
    </xf>
    <xf numFmtId="0" fontId="5" fillId="0" borderId="14" xfId="86" applyFont="1" applyFill="1" applyBorder="1" applyAlignment="1">
      <alignment horizontal="center" vertical="center"/>
    </xf>
    <xf numFmtId="0" fontId="7" fillId="0" borderId="0" xfId="86" applyNumberFormat="1" applyFont="1" applyFill="1" applyAlignment="1">
      <alignment horizontal="justify" vertical="top"/>
    </xf>
    <xf numFmtId="0" fontId="19" fillId="0" borderId="14" xfId="1" applyFont="1" applyFill="1" applyBorder="1" applyAlignment="1" applyProtection="1">
      <alignment horizontal="center" vertical="center"/>
    </xf>
    <xf numFmtId="0" fontId="5" fillId="0" borderId="5" xfId="86" applyFont="1" applyFill="1" applyBorder="1" applyAlignment="1">
      <alignment horizontal="center" vertical="center"/>
    </xf>
    <xf numFmtId="0" fontId="7" fillId="0" borderId="7" xfId="1" applyFont="1" applyFill="1" applyBorder="1" applyAlignment="1">
      <alignment horizontal="center" vertical="center"/>
    </xf>
    <xf numFmtId="168" fontId="5" fillId="0" borderId="11" xfId="87" applyNumberFormat="1" applyFont="1" applyFill="1" applyBorder="1" applyAlignment="1">
      <alignment horizontal="center" vertical="top" wrapText="1"/>
    </xf>
    <xf numFmtId="168" fontId="5" fillId="0" borderId="12" xfId="87" applyNumberFormat="1" applyFont="1" applyFill="1" applyBorder="1" applyAlignment="1">
      <alignment horizontal="center" vertical="top" wrapText="1"/>
    </xf>
    <xf numFmtId="168" fontId="5" fillId="0" borderId="13" xfId="87" applyNumberFormat="1" applyFont="1" applyFill="1" applyBorder="1" applyAlignment="1">
      <alignment horizontal="center" vertical="top" wrapText="1"/>
    </xf>
    <xf numFmtId="0" fontId="5" fillId="0" borderId="11" xfId="59" quotePrefix="1" applyFont="1" applyFill="1" applyBorder="1" applyAlignment="1" applyProtection="1">
      <alignment horizontal="center" vertical="center"/>
    </xf>
    <xf numFmtId="0" fontId="5" fillId="0" borderId="12" xfId="59" quotePrefix="1" applyFont="1" applyFill="1" applyBorder="1" applyAlignment="1" applyProtection="1">
      <alignment horizontal="center" vertical="center"/>
    </xf>
    <xf numFmtId="0" fontId="5" fillId="0" borderId="13" xfId="59" quotePrefix="1" applyFont="1" applyFill="1" applyBorder="1" applyAlignment="1" applyProtection="1">
      <alignment horizontal="center" vertical="center"/>
    </xf>
    <xf numFmtId="0" fontId="5" fillId="0" borderId="11" xfId="88" applyFont="1" applyFill="1" applyBorder="1" applyAlignment="1">
      <alignment horizontal="center" vertical="top" wrapText="1"/>
    </xf>
    <xf numFmtId="0" fontId="5" fillId="0" borderId="13" xfId="88" applyFont="1" applyFill="1" applyBorder="1" applyAlignment="1">
      <alignment horizontal="center" vertical="top" wrapText="1"/>
    </xf>
    <xf numFmtId="0" fontId="5" fillId="0" borderId="9" xfId="59" applyFont="1" applyFill="1" applyBorder="1" applyAlignment="1" applyProtection="1">
      <alignment horizontal="center" vertical="center"/>
    </xf>
    <xf numFmtId="0" fontId="5" fillId="0" borderId="8" xfId="59" applyFont="1" applyFill="1" applyBorder="1" applyAlignment="1" applyProtection="1">
      <alignment horizontal="center" vertical="center"/>
    </xf>
    <xf numFmtId="0" fontId="5" fillId="0" borderId="10" xfId="59" applyFont="1" applyFill="1" applyBorder="1" applyAlignment="1" applyProtection="1">
      <alignment horizontal="center" vertical="center"/>
    </xf>
    <xf numFmtId="0" fontId="5" fillId="0" borderId="15" xfId="59" applyFont="1" applyFill="1" applyBorder="1" applyAlignment="1" applyProtection="1">
      <alignment horizontal="center" vertical="center"/>
    </xf>
    <xf numFmtId="0" fontId="5" fillId="0" borderId="0" xfId="59" applyFont="1" applyFill="1" applyBorder="1" applyAlignment="1" applyProtection="1">
      <alignment horizontal="center" vertical="center"/>
    </xf>
    <xf numFmtId="0" fontId="5" fillId="0" borderId="16" xfId="59" applyFont="1" applyFill="1" applyBorder="1" applyAlignment="1" applyProtection="1">
      <alignment horizontal="center" vertical="center"/>
    </xf>
    <xf numFmtId="0" fontId="5" fillId="0" borderId="17" xfId="59" applyFont="1" applyFill="1" applyBorder="1" applyAlignment="1" applyProtection="1">
      <alignment horizontal="center" vertical="center"/>
    </xf>
    <xf numFmtId="0" fontId="5" fillId="0" borderId="2" xfId="59" applyFont="1" applyFill="1" applyBorder="1" applyAlignment="1" applyProtection="1">
      <alignment horizontal="center" vertical="center"/>
    </xf>
    <xf numFmtId="0" fontId="5" fillId="0" borderId="18" xfId="59" applyFont="1" applyFill="1" applyBorder="1" applyAlignment="1" applyProtection="1">
      <alignment horizontal="center" vertical="center"/>
    </xf>
    <xf numFmtId="0" fontId="7" fillId="0" borderId="0" xfId="91" applyFont="1" applyFill="1" applyAlignment="1" applyProtection="1">
      <alignment horizontal="justify" vertical="top" wrapText="1"/>
    </xf>
    <xf numFmtId="0" fontId="7" fillId="0" borderId="0" xfId="59" applyNumberFormat="1" applyFont="1" applyFill="1" applyAlignment="1" applyProtection="1">
      <alignment horizontal="justify" vertical="top"/>
    </xf>
    <xf numFmtId="0" fontId="7" fillId="0" borderId="0" xfId="91" applyFont="1" applyFill="1" applyAlignment="1" applyProtection="1">
      <alignment horizontal="justify" vertical="top"/>
    </xf>
    <xf numFmtId="0" fontId="7" fillId="0" borderId="0" xfId="14" applyFont="1" applyFill="1" applyAlignment="1">
      <alignment horizontal="center" vertical="top" wrapText="1"/>
    </xf>
    <xf numFmtId="0" fontId="7" fillId="0" borderId="0" xfId="1" quotePrefix="1" applyFont="1" applyFill="1" applyAlignment="1" applyProtection="1">
      <alignment horizontal="center" vertical="top"/>
    </xf>
    <xf numFmtId="0" fontId="7" fillId="0" borderId="0" xfId="1" applyFont="1" applyFill="1" applyAlignment="1" applyProtection="1">
      <alignment horizontal="center" vertical="top"/>
    </xf>
    <xf numFmtId="0" fontId="7" fillId="0" borderId="0" xfId="14" applyFont="1" applyFill="1" applyAlignment="1">
      <alignment horizontal="center" vertical="top"/>
    </xf>
    <xf numFmtId="0" fontId="14" fillId="0" borderId="11" xfId="1" applyFont="1" applyFill="1" applyBorder="1" applyAlignment="1" applyProtection="1">
      <alignment horizontal="center" vertical="center"/>
    </xf>
    <xf numFmtId="0" fontId="15" fillId="0" borderId="12" xfId="1" applyFont="1" applyFill="1" applyBorder="1" applyAlignment="1">
      <alignment vertical="center"/>
    </xf>
    <xf numFmtId="0" fontId="15" fillId="0" borderId="13" xfId="1" applyFont="1" applyFill="1" applyBorder="1" applyAlignment="1">
      <alignment vertical="center"/>
    </xf>
    <xf numFmtId="0" fontId="5" fillId="0" borderId="2" xfId="59" quotePrefix="1" applyFont="1" applyFill="1" applyBorder="1" applyAlignment="1" applyProtection="1">
      <alignment horizontal="center" vertical="top"/>
    </xf>
    <xf numFmtId="0" fontId="5" fillId="0" borderId="2" xfId="59" applyFont="1" applyFill="1" applyBorder="1" applyAlignment="1" applyProtection="1">
      <alignment horizontal="center" vertical="top"/>
    </xf>
    <xf numFmtId="0" fontId="5" fillId="0" borderId="0" xfId="59" applyFont="1" applyFill="1" applyAlignment="1" applyProtection="1">
      <alignment horizontal="center" vertical="center" wrapText="1"/>
    </xf>
    <xf numFmtId="0" fontId="5" fillId="0" borderId="0" xfId="100" quotePrefix="1" applyFont="1" applyFill="1" applyAlignment="1" applyProtection="1">
      <alignment horizontal="center" vertical="center"/>
    </xf>
    <xf numFmtId="0" fontId="18" fillId="0" borderId="0" xfId="100" applyFont="1" applyFill="1" applyAlignment="1">
      <alignment vertical="center"/>
      <protection locked="0"/>
    </xf>
    <xf numFmtId="0" fontId="7" fillId="0" borderId="0" xfId="97" applyFont="1" applyFill="1" applyAlignment="1">
      <alignment horizontal="justify" vertical="top"/>
    </xf>
    <xf numFmtId="0" fontId="7" fillId="0" borderId="0" xfId="59" quotePrefix="1" applyFont="1" applyFill="1" applyAlignment="1" applyProtection="1">
      <alignment horizontal="justify" vertical="top" wrapText="1"/>
    </xf>
    <xf numFmtId="0" fontId="7" fillId="0" borderId="0" xfId="98" quotePrefix="1" applyFont="1" applyFill="1" applyAlignment="1">
      <alignment horizontal="justify" vertical="top" wrapText="1"/>
    </xf>
    <xf numFmtId="0" fontId="19" fillId="0" borderId="0" xfId="1" applyFont="1" applyFill="1" applyAlignment="1" applyProtection="1">
      <alignment horizontal="justify" vertical="top" wrapText="1"/>
    </xf>
    <xf numFmtId="37" fontId="5" fillId="0" borderId="0" xfId="70" quotePrefix="1" applyFont="1" applyFill="1" applyBorder="1" applyAlignment="1">
      <alignment horizontal="center" vertical="top"/>
    </xf>
    <xf numFmtId="0" fontId="5" fillId="0" borderId="0" xfId="61" quotePrefix="1" applyNumberFormat="1" applyFont="1" applyFill="1" applyBorder="1" applyAlignment="1">
      <alignment horizontal="center" vertical="top"/>
    </xf>
    <xf numFmtId="15" fontId="7" fillId="0" borderId="2" xfId="0" quotePrefix="1" applyNumberFormat="1" applyFont="1" applyFill="1" applyBorder="1" applyAlignment="1">
      <alignment horizontal="center" vertical="top"/>
    </xf>
    <xf numFmtId="0" fontId="7" fillId="0" borderId="0" xfId="61" quotePrefix="1" applyNumberFormat="1" applyFont="1" applyFill="1" applyBorder="1" applyAlignment="1">
      <alignment horizontal="center" vertical="top"/>
    </xf>
    <xf numFmtId="0" fontId="7" fillId="0" borderId="0" xfId="104" applyFont="1" applyFill="1" applyAlignment="1">
      <alignment horizontal="justify" vertical="top" wrapText="1"/>
    </xf>
    <xf numFmtId="15" fontId="5" fillId="0" borderId="2" xfId="0" quotePrefix="1" applyNumberFormat="1" applyFont="1" applyFill="1" applyBorder="1" applyAlignment="1">
      <alignment horizontal="center" vertical="top"/>
    </xf>
    <xf numFmtId="0" fontId="7" fillId="0" borderId="0" xfId="100" applyFont="1" applyFill="1" applyAlignment="1" applyProtection="1">
      <alignment horizontal="left" vertical="top" wrapText="1"/>
    </xf>
    <xf numFmtId="0" fontId="0" fillId="0" borderId="16" xfId="0" applyFill="1" applyBorder="1" applyAlignment="1">
      <alignment horizontal="left" vertical="top" wrapText="1"/>
    </xf>
    <xf numFmtId="0" fontId="7" fillId="0" borderId="0" xfId="59" applyFont="1" applyFill="1" applyAlignment="1" applyProtection="1">
      <alignment horizontal="left" vertical="top" wrapText="1"/>
    </xf>
    <xf numFmtId="0" fontId="7" fillId="0" borderId="0" xfId="103" applyFont="1" applyFill="1" applyAlignment="1">
      <alignment horizontal="justify" vertical="top" wrapText="1"/>
    </xf>
    <xf numFmtId="0" fontId="57" fillId="0" borderId="0" xfId="0" quotePrefix="1" applyFont="1" applyFill="1" applyAlignment="1">
      <alignment wrapText="1"/>
    </xf>
    <xf numFmtId="0" fontId="57" fillId="0" borderId="0" xfId="0" applyFont="1" applyFill="1" applyAlignment="1">
      <alignment wrapText="1"/>
    </xf>
    <xf numFmtId="0" fontId="57" fillId="0" borderId="0" xfId="0" quotePrefix="1" applyFont="1" applyFill="1" applyAlignment="1"/>
    <xf numFmtId="0" fontId="7" fillId="0" borderId="0" xfId="96" quotePrefix="1" applyFont="1" applyFill="1" applyAlignment="1">
      <alignment horizontal="center"/>
    </xf>
    <xf numFmtId="0" fontId="32" fillId="0" borderId="0" xfId="120" applyFont="1" applyFill="1" applyAlignment="1">
      <alignment horizontal="justify" vertical="top" wrapText="1"/>
    </xf>
  </cellXfs>
  <cellStyles count="129">
    <cellStyle name=" 1 2" xfId="31"/>
    <cellStyle name="=C:\WINNT\SYSTEM32\COMMAND.COM 2 2" xfId="23"/>
    <cellStyle name="=C:\WINNT\SYSTEM32\COMMAND.COM 2 2 2" xfId="10"/>
    <cellStyle name="=C:\WINNT\SYSTEM32\COMMAND.COM 2 2 2 2" xfId="111"/>
    <cellStyle name="=C:\WINNT\SYSTEM32\COMMAND.COM 2 2 2 2 2" xfId="115"/>
    <cellStyle name="=C:\WINNT\SYSTEM32\COMMAND.COM 2 2 3" xfId="29"/>
    <cellStyle name="=C:\WINNT\SYSTEM32\COMMAND.COM 2 2 4" xfId="120"/>
    <cellStyle name="=C:\WINNT\SYSTEM32\COMMAND.COM 3" xfId="7"/>
    <cellStyle name="=C:\WINNT\SYSTEM32\COMMAND.COM 3 2" xfId="37"/>
    <cellStyle name="=C:\WINNT\SYSTEM32\COMMAND.COM 3 3" xfId="28"/>
    <cellStyle name="=C:\WINNT\SYSTEM32\COMMAND.COM 3 5" xfId="60"/>
    <cellStyle name="=C:\WINNT\SYSTEM32\COMMAND.COM 31" xfId="127"/>
    <cellStyle name="=C:\WINNT\SYSTEM32\COMMAND.COM 5 2" xfId="35"/>
    <cellStyle name="=C:\WINNT\SYSTEM32\COMMAND.COM_AFS___HFT____Invest_note 2" xfId="43"/>
    <cellStyle name="=C:\WINNT\SYSTEM32\COMMAND.COM_Notes 1-5" xfId="39"/>
    <cellStyle name="Comma" xfId="92" builtinId="3"/>
    <cellStyle name="Comma 10 2" xfId="5"/>
    <cellStyle name="Comma 10 2 3" xfId="20"/>
    <cellStyle name="Comma 10 2 4" xfId="116"/>
    <cellStyle name="Comma 10 4" xfId="65"/>
    <cellStyle name="Comma 11 10" xfId="101"/>
    <cellStyle name="Comma 11 2" xfId="26"/>
    <cellStyle name="Comma 11 3" xfId="44"/>
    <cellStyle name="Comma 11 4" xfId="71"/>
    <cellStyle name="Comma 12" xfId="61"/>
    <cellStyle name="Comma 12 2" xfId="122"/>
    <cellStyle name="Comma 121" xfId="12"/>
    <cellStyle name="Comma 13 2" xfId="9"/>
    <cellStyle name="Comma 13 2 3" xfId="87"/>
    <cellStyle name="Comma 14" xfId="112"/>
    <cellStyle name="Comma 14 2" xfId="78"/>
    <cellStyle name="Comma 18" xfId="15"/>
    <cellStyle name="Comma 18 2" xfId="90"/>
    <cellStyle name="Comma 2" xfId="2"/>
    <cellStyle name="Comma 2 10" xfId="8"/>
    <cellStyle name="Comma 2 10 2" xfId="54"/>
    <cellStyle name="Comma 2 2" xfId="3"/>
    <cellStyle name="Comma 2 2 2" xfId="108"/>
    <cellStyle name="Comma 2 2 2 2 2" xfId="74"/>
    <cellStyle name="Comma 2 3" xfId="119"/>
    <cellStyle name="Comma 2 6" xfId="6"/>
    <cellStyle name="Comma 2 6 2" xfId="69"/>
    <cellStyle name="Comma 2 9" xfId="50"/>
    <cellStyle name="Comma 3 3" xfId="47"/>
    <cellStyle name="Comma 37" xfId="18"/>
    <cellStyle name="Comma 4 3 4" xfId="17"/>
    <cellStyle name="Comma 5" xfId="58"/>
    <cellStyle name="Comma 5 2" xfId="57"/>
    <cellStyle name="Comma 5 2 2" xfId="77"/>
    <cellStyle name="Comma 70" xfId="80"/>
    <cellStyle name="Comma 8 2" xfId="45"/>
    <cellStyle name="Comma 8 3" xfId="53"/>
    <cellStyle name="Comma_Accouns - UMF (in thousand)-final" xfId="109"/>
    <cellStyle name="Comma_September 2011" xfId="13"/>
    <cellStyle name="Normal" xfId="0" builtinId="0"/>
    <cellStyle name="Normal - Style1" xfId="33"/>
    <cellStyle name="Normal - Style1 10" xfId="103"/>
    <cellStyle name="Normal - Style1 2 2" xfId="102"/>
    <cellStyle name="Normal 10 6" xfId="14"/>
    <cellStyle name="Normal 10 6 2" xfId="117"/>
    <cellStyle name="Normal 10 65" xfId="128"/>
    <cellStyle name="Normal 11" xfId="55"/>
    <cellStyle name="Normal 11 2 2" xfId="86"/>
    <cellStyle name="Normal 111" xfId="52"/>
    <cellStyle name="Normal 13 10" xfId="114"/>
    <cellStyle name="Normal 18" xfId="24"/>
    <cellStyle name="Normal 2" xfId="1"/>
    <cellStyle name="Normal 2 10" xfId="110"/>
    <cellStyle name="Normal 2 10 2" xfId="96"/>
    <cellStyle name="Normal 2 10 3" xfId="66"/>
    <cellStyle name="Normal 2 2" xfId="93"/>
    <cellStyle name="Normal 2 2 2" xfId="46"/>
    <cellStyle name="Normal 2 2 2 2" xfId="68"/>
    <cellStyle name="Normal 2 2 2 3" xfId="88"/>
    <cellStyle name="Normal 2 2 2 3 2" xfId="124"/>
    <cellStyle name="Normal 2 2 2 4" xfId="121"/>
    <cellStyle name="Normal 2 2 32" xfId="113"/>
    <cellStyle name="Normal 2 3" xfId="100"/>
    <cellStyle name="Normal 2 6" xfId="36"/>
    <cellStyle name="Normal 2 6 2" xfId="75"/>
    <cellStyle name="Normal 2 77" xfId="123"/>
    <cellStyle name="Normal 20" xfId="59"/>
    <cellStyle name="Normal 20 3" xfId="91"/>
    <cellStyle name="Normal 22 3" xfId="11"/>
    <cellStyle name="Normal 22 3 2" xfId="118"/>
    <cellStyle name="Normal 3" xfId="98"/>
    <cellStyle name="Normal 3 2 2 2 2" xfId="32"/>
    <cellStyle name="Normal 3 3" xfId="106"/>
    <cellStyle name="Normal 35" xfId="99"/>
    <cellStyle name="Normal 4 2" xfId="107"/>
    <cellStyle name="Normal 4 3" xfId="62"/>
    <cellStyle name="Normal 44 2 4" xfId="19"/>
    <cellStyle name="Normal 6 2" xfId="42"/>
    <cellStyle name="Normal 6 2 2 2" xfId="89"/>
    <cellStyle name="Normal 6 2 3" xfId="81"/>
    <cellStyle name="Normal 7" xfId="30"/>
    <cellStyle name="Normal 72" xfId="73"/>
    <cellStyle name="Normal 73" xfId="79"/>
    <cellStyle name="Normal_Accounts 2003 " xfId="64"/>
    <cellStyle name="Normal_Accounts after SHR changes Final" xfId="82"/>
    <cellStyle name="Normal_ACCOUNTS MSF PERPETUAL 2008 Kamran review 2" xfId="104"/>
    <cellStyle name="Normal_Accounts SMF June 2010" xfId="22"/>
    <cellStyle name="Normal_ACF JUNE 2004  ACCT 2 2" xfId="70"/>
    <cellStyle name="Normal_DCF Jun 30, 2007 2" xfId="48"/>
    <cellStyle name="Normal_DSF Dec 2007 (11.1.08) 2" xfId="16"/>
    <cellStyle name="Normal_FBGF financials June 2010" xfId="105"/>
    <cellStyle name="Normal_Half_Yearly_Accounts_NCF_2006__auditors_ 2" xfId="56"/>
    <cellStyle name="Normal_NIT-EMOF SEP Accounts 2009" xfId="27"/>
    <cellStyle name="Normal_PPFL accounts June 30, 2010(FORMATTED)" xfId="97"/>
    <cellStyle name="Normal_SHEET 2" xfId="125"/>
    <cellStyle name="Normal_Shell Accounts 2005 - August 2 consolidated accounts" xfId="67"/>
    <cellStyle name="Normal_UTP - First Draft 20 July 2009" xfId="72"/>
    <cellStyle name="Normal_UTP Half Yearly Acc 31 - 2002" xfId="21"/>
    <cellStyle name="Normal_Worksheet in   PGF 2005 final 2" xfId="38"/>
    <cellStyle name="Normal_Worksheet in 2232 PICIC Investment Fund - 2006" xfId="83"/>
    <cellStyle name="Percent" xfId="95" builtinId="5"/>
    <cellStyle name="Percent 2" xfId="4"/>
    <cellStyle name="Percent 2 2 13 2 2" xfId="41"/>
    <cellStyle name="Percent 2 2 2" xfId="85"/>
    <cellStyle name="Percent 2 2 3" xfId="51"/>
    <cellStyle name="Percent 2 6" xfId="49"/>
    <cellStyle name="Percent 3 3" xfId="84"/>
    <cellStyle name="Style 1 2" xfId="63"/>
    <cellStyle name="Style 1 2 10" xfId="25"/>
    <cellStyle name="Style 1 2 2" xfId="34"/>
    <cellStyle name="Style 1 2 3" xfId="126"/>
    <cellStyle name="Style 1 3" xfId="40"/>
    <cellStyle name="Style 1 3 2" xfId="76"/>
    <cellStyle name="Style 2" xfId="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externalLink" Target="externalLinks/externalLink19.xml"/><Relationship Id="rId47" Type="http://schemas.openxmlformats.org/officeDocument/2006/relationships/externalLink" Target="externalLinks/externalLink24.xml"/><Relationship Id="rId63" Type="http://schemas.openxmlformats.org/officeDocument/2006/relationships/externalLink" Target="externalLinks/externalLink40.xml"/><Relationship Id="rId68"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externalLink" Target="externalLinks/externalLink14.xml"/><Relationship Id="rId40" Type="http://schemas.openxmlformats.org/officeDocument/2006/relationships/externalLink" Target="externalLinks/externalLink17.xml"/><Relationship Id="rId45" Type="http://schemas.openxmlformats.org/officeDocument/2006/relationships/externalLink" Target="externalLinks/externalLink22.xml"/><Relationship Id="rId53" Type="http://schemas.openxmlformats.org/officeDocument/2006/relationships/externalLink" Target="externalLinks/externalLink30.xml"/><Relationship Id="rId58" Type="http://schemas.openxmlformats.org/officeDocument/2006/relationships/externalLink" Target="externalLinks/externalLink35.xml"/><Relationship Id="rId66" Type="http://schemas.openxmlformats.org/officeDocument/2006/relationships/externalLink" Target="externalLinks/externalLink43.xml"/><Relationship Id="rId74" Type="http://schemas.openxmlformats.org/officeDocument/2006/relationships/customXml" Target="../customXml/item3.xml"/><Relationship Id="rId79" Type="http://schemas.openxmlformats.org/officeDocument/2006/relationships/customXml" Target="../customXml/item8.xml"/><Relationship Id="rId5" Type="http://schemas.openxmlformats.org/officeDocument/2006/relationships/worksheet" Target="worksheets/sheet5.xml"/><Relationship Id="rId61" Type="http://schemas.openxmlformats.org/officeDocument/2006/relationships/externalLink" Target="externalLinks/externalLink3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externalLink" Target="externalLinks/externalLink12.xml"/><Relationship Id="rId43" Type="http://schemas.openxmlformats.org/officeDocument/2006/relationships/externalLink" Target="externalLinks/externalLink20.xml"/><Relationship Id="rId48" Type="http://schemas.openxmlformats.org/officeDocument/2006/relationships/externalLink" Target="externalLinks/externalLink25.xml"/><Relationship Id="rId56" Type="http://schemas.openxmlformats.org/officeDocument/2006/relationships/externalLink" Target="externalLinks/externalLink33.xml"/><Relationship Id="rId64" Type="http://schemas.openxmlformats.org/officeDocument/2006/relationships/externalLink" Target="externalLinks/externalLink41.xml"/><Relationship Id="rId69" Type="http://schemas.openxmlformats.org/officeDocument/2006/relationships/styles" Target="styles.xml"/><Relationship Id="rId77" Type="http://schemas.openxmlformats.org/officeDocument/2006/relationships/customXml" Target="../customXml/item6.xml"/><Relationship Id="rId8" Type="http://schemas.openxmlformats.org/officeDocument/2006/relationships/worksheet" Target="worksheets/sheet8.xml"/><Relationship Id="rId51" Type="http://schemas.openxmlformats.org/officeDocument/2006/relationships/externalLink" Target="externalLinks/externalLink28.xml"/><Relationship Id="rId72" Type="http://schemas.openxmlformats.org/officeDocument/2006/relationships/customXml" Target="../customXml/item1.xml"/><Relationship Id="rId80" Type="http://schemas.openxmlformats.org/officeDocument/2006/relationships/customXml" Target="../customXml/item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externalLink" Target="externalLinks/externalLink10.xml"/><Relationship Id="rId38" Type="http://schemas.openxmlformats.org/officeDocument/2006/relationships/externalLink" Target="externalLinks/externalLink15.xml"/><Relationship Id="rId46" Type="http://schemas.openxmlformats.org/officeDocument/2006/relationships/externalLink" Target="externalLinks/externalLink23.xml"/><Relationship Id="rId59" Type="http://schemas.openxmlformats.org/officeDocument/2006/relationships/externalLink" Target="externalLinks/externalLink36.xml"/><Relationship Id="rId67" Type="http://schemas.openxmlformats.org/officeDocument/2006/relationships/pivotCacheDefinition" Target="pivotCache/pivotCacheDefinition1.xml"/><Relationship Id="rId20" Type="http://schemas.openxmlformats.org/officeDocument/2006/relationships/worksheet" Target="worksheets/sheet20.xml"/><Relationship Id="rId41" Type="http://schemas.openxmlformats.org/officeDocument/2006/relationships/externalLink" Target="externalLinks/externalLink18.xml"/><Relationship Id="rId54" Type="http://schemas.openxmlformats.org/officeDocument/2006/relationships/externalLink" Target="externalLinks/externalLink31.xml"/><Relationship Id="rId62" Type="http://schemas.openxmlformats.org/officeDocument/2006/relationships/externalLink" Target="externalLinks/externalLink39.xml"/><Relationship Id="rId70" Type="http://schemas.openxmlformats.org/officeDocument/2006/relationships/sharedStrings" Target="sharedStrings.xml"/><Relationship Id="rId75"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externalLink" Target="externalLinks/externalLink13.xml"/><Relationship Id="rId49" Type="http://schemas.openxmlformats.org/officeDocument/2006/relationships/externalLink" Target="externalLinks/externalLink26.xml"/><Relationship Id="rId57" Type="http://schemas.openxmlformats.org/officeDocument/2006/relationships/externalLink" Target="externalLinks/externalLink34.xml"/><Relationship Id="rId10" Type="http://schemas.openxmlformats.org/officeDocument/2006/relationships/worksheet" Target="worksheets/sheet10.xml"/><Relationship Id="rId31" Type="http://schemas.openxmlformats.org/officeDocument/2006/relationships/externalLink" Target="externalLinks/externalLink8.xml"/><Relationship Id="rId44" Type="http://schemas.openxmlformats.org/officeDocument/2006/relationships/externalLink" Target="externalLinks/externalLink21.xml"/><Relationship Id="rId52" Type="http://schemas.openxmlformats.org/officeDocument/2006/relationships/externalLink" Target="externalLinks/externalLink29.xml"/><Relationship Id="rId60" Type="http://schemas.openxmlformats.org/officeDocument/2006/relationships/externalLink" Target="externalLinks/externalLink37.xml"/><Relationship Id="rId65" Type="http://schemas.openxmlformats.org/officeDocument/2006/relationships/externalLink" Target="externalLinks/externalLink42.xml"/><Relationship Id="rId73" Type="http://schemas.openxmlformats.org/officeDocument/2006/relationships/customXml" Target="../customXml/item2.xml"/><Relationship Id="rId78" Type="http://schemas.openxmlformats.org/officeDocument/2006/relationships/customXml" Target="../customXml/item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6.xml"/><Relationship Id="rId34" Type="http://schemas.openxmlformats.org/officeDocument/2006/relationships/externalLink" Target="externalLinks/externalLink11.xml"/><Relationship Id="rId50" Type="http://schemas.openxmlformats.org/officeDocument/2006/relationships/externalLink" Target="externalLinks/externalLink27.xml"/><Relationship Id="rId55" Type="http://schemas.openxmlformats.org/officeDocument/2006/relationships/externalLink" Target="externalLinks/externalLink32.xml"/><Relationship Id="rId76" Type="http://schemas.openxmlformats.org/officeDocument/2006/relationships/customXml" Target="../customXml/item5.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6.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66674</xdr:colOff>
      <xdr:row>49</xdr:row>
      <xdr:rowOff>66675</xdr:rowOff>
    </xdr:from>
    <xdr:to>
      <xdr:col>8</xdr:col>
      <xdr:colOff>224118</xdr:colOff>
      <xdr:row>61</xdr:row>
      <xdr:rowOff>28575</xdr:rowOff>
    </xdr:to>
    <xdr:sp macro="" textlink="">
      <xdr:nvSpPr>
        <xdr:cNvPr id="2" name="TextBox 1"/>
        <xdr:cNvSpPr txBox="1"/>
      </xdr:nvSpPr>
      <xdr:spPr>
        <a:xfrm>
          <a:off x="458880" y="7361704"/>
          <a:ext cx="6869767" cy="184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                                          For MCB-Arif Habib Savings and Investments Limited</a:t>
          </a:r>
        </a:p>
        <a:p>
          <a:pPr algn="l"/>
          <a:r>
            <a:rPr lang="en-US" sz="1000" b="1">
              <a:latin typeface="Arial" panose="020B0604020202020204" pitchFamily="34" charset="0"/>
              <a:cs typeface="Arial" panose="020B0604020202020204" pitchFamily="34" charset="0"/>
            </a:rPr>
            <a:t>                                                                       (Management Company)</a:t>
          </a: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_______________________                           _______________________                         ______________________</a:t>
          </a:r>
        </a:p>
        <a:p>
          <a:r>
            <a:rPr lang="en-US" sz="1000" b="1">
              <a:latin typeface="Arial" panose="020B0604020202020204" pitchFamily="34" charset="0"/>
              <a:cs typeface="Arial" panose="020B0604020202020204" pitchFamily="34" charset="0"/>
            </a:rPr>
            <a:t>  Chief Executive Officer                                   Chief Financial Officer                                           Director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361950</xdr:colOff>
      <xdr:row>8</xdr:row>
      <xdr:rowOff>66675</xdr:rowOff>
    </xdr:from>
    <xdr:to>
      <xdr:col>25</xdr:col>
      <xdr:colOff>76200</xdr:colOff>
      <xdr:row>27</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23283" t="17320" r="25247" b="27335"/>
        <a:stretch>
          <a:fillRect/>
        </a:stretch>
      </xdr:blipFill>
      <xdr:spPr bwMode="auto">
        <a:xfrm>
          <a:off x="9763125" y="1600200"/>
          <a:ext cx="5200650" cy="3143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66675</xdr:colOff>
      <xdr:row>31</xdr:row>
      <xdr:rowOff>9525</xdr:rowOff>
    </xdr:from>
    <xdr:to>
      <xdr:col>25</xdr:col>
      <xdr:colOff>380275</xdr:colOff>
      <xdr:row>82</xdr:row>
      <xdr:rowOff>132302</xdr:rowOff>
    </xdr:to>
    <xdr:pic>
      <xdr:nvPicPr>
        <xdr:cNvPr id="4" name="Picture 3"/>
        <xdr:cNvPicPr>
          <a:picLocks noChangeAspect="1"/>
        </xdr:cNvPicPr>
      </xdr:nvPicPr>
      <xdr:blipFill>
        <a:blip xmlns:r="http://schemas.openxmlformats.org/officeDocument/2006/relationships" r:embed="rId2"/>
        <a:stretch>
          <a:fillRect/>
        </a:stretch>
      </xdr:blipFill>
      <xdr:spPr>
        <a:xfrm>
          <a:off x="9686925" y="4924425"/>
          <a:ext cx="5800000" cy="8380952"/>
        </a:xfrm>
        <a:prstGeom prst="rect">
          <a:avLst/>
        </a:prstGeom>
      </xdr:spPr>
    </xdr:pic>
    <xdr:clientData/>
  </xdr:twoCellAnchor>
  <xdr:twoCellAnchor editAs="oneCell">
    <xdr:from>
      <xdr:col>25</xdr:col>
      <xdr:colOff>266700</xdr:colOff>
      <xdr:row>7</xdr:row>
      <xdr:rowOff>123825</xdr:rowOff>
    </xdr:from>
    <xdr:to>
      <xdr:col>35</xdr:col>
      <xdr:colOff>75462</xdr:colOff>
      <xdr:row>49</xdr:row>
      <xdr:rowOff>84880</xdr:rowOff>
    </xdr:to>
    <xdr:pic>
      <xdr:nvPicPr>
        <xdr:cNvPr id="2" name="Picture 1"/>
        <xdr:cNvPicPr>
          <a:picLocks noChangeAspect="1"/>
        </xdr:cNvPicPr>
      </xdr:nvPicPr>
      <xdr:blipFill>
        <a:blip xmlns:r="http://schemas.openxmlformats.org/officeDocument/2006/relationships" r:embed="rId3"/>
        <a:stretch>
          <a:fillRect/>
        </a:stretch>
      </xdr:blipFill>
      <xdr:spPr>
        <a:xfrm>
          <a:off x="15373350" y="1152525"/>
          <a:ext cx="5904762" cy="67619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9</xdr:col>
      <xdr:colOff>313600</xdr:colOff>
      <xdr:row>52</xdr:row>
      <xdr:rowOff>46577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85725"/>
          <a:ext cx="5800000" cy="83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247651</xdr:colOff>
      <xdr:row>72</xdr:row>
      <xdr:rowOff>133350</xdr:rowOff>
    </xdr:from>
    <xdr:to>
      <xdr:col>8</xdr:col>
      <xdr:colOff>495300</xdr:colOff>
      <xdr:row>85</xdr:row>
      <xdr:rowOff>57150</xdr:rowOff>
    </xdr:to>
    <xdr:sp macro="" textlink="">
      <xdr:nvSpPr>
        <xdr:cNvPr id="2" name="TextBox 1"/>
        <xdr:cNvSpPr txBox="1"/>
      </xdr:nvSpPr>
      <xdr:spPr>
        <a:xfrm>
          <a:off x="247651" y="9286875"/>
          <a:ext cx="7153274" cy="202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a:latin typeface="Arial" panose="020B0604020202020204" pitchFamily="34" charset="0"/>
              <a:cs typeface="Arial" panose="020B0604020202020204" pitchFamily="34" charset="0"/>
            </a:rPr>
            <a:t>For MCB-Arif Habib Savings and Investments Limited</a:t>
          </a:r>
        </a:p>
        <a:p>
          <a:pPr algn="ctr"/>
          <a:r>
            <a:rPr lang="en-US" sz="1000" b="1">
              <a:latin typeface="Arial" panose="020B0604020202020204" pitchFamily="34" charset="0"/>
              <a:cs typeface="Arial" panose="020B0604020202020204" pitchFamily="34" charset="0"/>
            </a:rPr>
            <a:t>(Management Company)</a:t>
          </a: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_______________________                           _______________________                         ______________________</a:t>
          </a:r>
        </a:p>
        <a:p>
          <a:r>
            <a:rPr lang="en-US" sz="1000" b="1">
              <a:latin typeface="Arial" panose="020B0604020202020204" pitchFamily="34" charset="0"/>
              <a:cs typeface="Arial" panose="020B0604020202020204" pitchFamily="34" charset="0"/>
            </a:rPr>
            <a:t>    Chief Executive Officer                                  Chief Financial Officer                                           Director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21</xdr:row>
      <xdr:rowOff>85725</xdr:rowOff>
    </xdr:from>
    <xdr:to>
      <xdr:col>8</xdr:col>
      <xdr:colOff>361950</xdr:colOff>
      <xdr:row>33</xdr:row>
      <xdr:rowOff>47625</xdr:rowOff>
    </xdr:to>
    <xdr:sp macro="" textlink="">
      <xdr:nvSpPr>
        <xdr:cNvPr id="2" name="TextBox 1"/>
        <xdr:cNvSpPr txBox="1"/>
      </xdr:nvSpPr>
      <xdr:spPr>
        <a:xfrm>
          <a:off x="333375" y="2781300"/>
          <a:ext cx="6981825" cy="1905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                                                For MCB-Arif Habib Savings and Investments Limited</a:t>
          </a:r>
        </a:p>
        <a:p>
          <a:pPr algn="l"/>
          <a:r>
            <a:rPr lang="en-US" sz="1000" b="1">
              <a:latin typeface="Arial" panose="020B0604020202020204" pitchFamily="34" charset="0"/>
              <a:cs typeface="Arial" panose="020B0604020202020204" pitchFamily="34" charset="0"/>
            </a:rPr>
            <a:t>                                                                          (Management Company)</a:t>
          </a:r>
        </a:p>
        <a:p>
          <a:pPr algn="l"/>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_______________________                           _______________________                         ______________________</a:t>
          </a:r>
        </a:p>
        <a:p>
          <a:r>
            <a:rPr lang="en-US" sz="1000" b="1">
              <a:latin typeface="Arial" panose="020B0604020202020204" pitchFamily="34" charset="0"/>
              <a:cs typeface="Arial" panose="020B0604020202020204" pitchFamily="34" charset="0"/>
            </a:rPr>
            <a:t>   Chief Executive Officer                                   Chief Financial Officer                                           Director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179917</xdr:colOff>
      <xdr:row>74</xdr:row>
      <xdr:rowOff>70748</xdr:rowOff>
    </xdr:from>
    <xdr:to>
      <xdr:col>29</xdr:col>
      <xdr:colOff>10584</xdr:colOff>
      <xdr:row>83</xdr:row>
      <xdr:rowOff>95250</xdr:rowOff>
    </xdr:to>
    <xdr:sp macro="" textlink="">
      <xdr:nvSpPr>
        <xdr:cNvPr id="2" name="TextBox 1"/>
        <xdr:cNvSpPr txBox="1"/>
      </xdr:nvSpPr>
      <xdr:spPr>
        <a:xfrm>
          <a:off x="179917" y="11553665"/>
          <a:ext cx="8096250" cy="1453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                                                                For MCB-Arif Habib Savings and Investments Limited</a:t>
          </a:r>
        </a:p>
        <a:p>
          <a:pPr algn="l"/>
          <a:r>
            <a:rPr lang="en-US" sz="1000" b="1">
              <a:latin typeface="Arial" panose="020B0604020202020204" pitchFamily="34" charset="0"/>
              <a:cs typeface="Arial" panose="020B0604020202020204" pitchFamily="34" charset="0"/>
            </a:rPr>
            <a:t>                                                                                          (Management Company)</a:t>
          </a: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    _______________________                                       ______________________                                              ______________________</a:t>
          </a:r>
        </a:p>
        <a:p>
          <a:r>
            <a:rPr lang="en-US" sz="1000" b="1">
              <a:latin typeface="Arial" panose="020B0604020202020204" pitchFamily="34" charset="0"/>
              <a:cs typeface="Arial" panose="020B0604020202020204" pitchFamily="34" charset="0"/>
            </a:rPr>
            <a:t>    Chief Executive Officer                                      </a:t>
          </a:r>
          <a:r>
            <a:rPr lang="en-US" sz="1000" b="1" baseline="0">
              <a:latin typeface="Arial" panose="020B0604020202020204" pitchFamily="34" charset="0"/>
              <a:cs typeface="Arial" panose="020B0604020202020204" pitchFamily="34" charset="0"/>
            </a:rPr>
            <a:t>              </a:t>
          </a:r>
          <a:r>
            <a:rPr lang="en-US" sz="1000" b="1">
              <a:latin typeface="Arial" panose="020B0604020202020204" pitchFamily="34" charset="0"/>
              <a:cs typeface="Arial" panose="020B0604020202020204" pitchFamily="34" charset="0"/>
            </a:rPr>
            <a:t> Chief Financial Officer                                                            Director	             </a:t>
          </a: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endParaRPr lang="en-US" sz="1000" b="1">
            <a:latin typeface="Arial" panose="020B0604020202020204" pitchFamily="34" charset="0"/>
            <a:cs typeface="Arial" panose="020B0604020202020204" pitchFamily="34" charset="0"/>
          </a:endParaRPr>
        </a:p>
        <a:p>
          <a:r>
            <a:rPr lang="en-US" sz="1000" b="1">
              <a:latin typeface="Arial" panose="020B0604020202020204" pitchFamily="34" charset="0"/>
              <a:cs typeface="Arial" panose="020B0604020202020204" pitchFamily="34" charset="0"/>
            </a:rPr>
            <a:t>Director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295274</xdr:colOff>
      <xdr:row>55</xdr:row>
      <xdr:rowOff>57150</xdr:rowOff>
    </xdr:from>
    <xdr:to>
      <xdr:col>8</xdr:col>
      <xdr:colOff>291353</xdr:colOff>
      <xdr:row>65</xdr:row>
      <xdr:rowOff>57150</xdr:rowOff>
    </xdr:to>
    <xdr:sp macro="" textlink="">
      <xdr:nvSpPr>
        <xdr:cNvPr id="2" name="TextBox 1"/>
        <xdr:cNvSpPr txBox="1"/>
      </xdr:nvSpPr>
      <xdr:spPr>
        <a:xfrm>
          <a:off x="295274" y="8495179"/>
          <a:ext cx="6910108" cy="1568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                                              For MCB-Arif Habib Savings and Investments Limited</a:t>
          </a:r>
        </a:p>
        <a:p>
          <a:pPr algn="l"/>
          <a:r>
            <a:rPr lang="en-US" sz="1000" b="1">
              <a:latin typeface="Arial" panose="020B0604020202020204" pitchFamily="34" charset="0"/>
              <a:cs typeface="Arial" panose="020B0604020202020204" pitchFamily="34" charset="0"/>
            </a:rPr>
            <a:t>                                                                          (Management Company)</a:t>
          </a: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_______________________                           _______________________                         ______________________</a:t>
          </a:r>
        </a:p>
        <a:p>
          <a:r>
            <a:rPr lang="en-US" sz="1000" b="1">
              <a:latin typeface="Arial" panose="020B0604020202020204" pitchFamily="34" charset="0"/>
              <a:cs typeface="Arial" panose="020B0604020202020204" pitchFamily="34" charset="0"/>
            </a:rPr>
            <a:t>  Chief Executive Officer                                   Chief Financial Officer                                           Director</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7</xdr:col>
      <xdr:colOff>447675</xdr:colOff>
      <xdr:row>32</xdr:row>
      <xdr:rowOff>0</xdr:rowOff>
    </xdr:from>
    <xdr:ext cx="112048" cy="20193"/>
    <xdr:sp macro="" textlink="">
      <xdr:nvSpPr>
        <xdr:cNvPr id="2" name="Text Box 2"/>
        <xdr:cNvSpPr txBox="1">
          <a:spLocks noChangeAspect="1" noChangeArrowheads="1"/>
        </xdr:cNvSpPr>
      </xdr:nvSpPr>
      <xdr:spPr bwMode="auto">
        <a:xfrm>
          <a:off x="4924425" y="3305175"/>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32</xdr:row>
      <xdr:rowOff>0</xdr:rowOff>
    </xdr:from>
    <xdr:ext cx="108238" cy="3810"/>
    <xdr:sp macro="" textlink="">
      <xdr:nvSpPr>
        <xdr:cNvPr id="3" name="Text Box 3"/>
        <xdr:cNvSpPr txBox="1">
          <a:spLocks noChangeAspect="1" noChangeArrowheads="1"/>
        </xdr:cNvSpPr>
      </xdr:nvSpPr>
      <xdr:spPr bwMode="auto">
        <a:xfrm>
          <a:off x="4924425" y="330517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447675</xdr:colOff>
      <xdr:row>32</xdr:row>
      <xdr:rowOff>0</xdr:rowOff>
    </xdr:from>
    <xdr:ext cx="112048" cy="23241"/>
    <xdr:sp macro="" textlink="">
      <xdr:nvSpPr>
        <xdr:cNvPr id="4" name="Text Box 2"/>
        <xdr:cNvSpPr txBox="1">
          <a:spLocks noChangeAspect="1" noChangeArrowheads="1"/>
        </xdr:cNvSpPr>
      </xdr:nvSpPr>
      <xdr:spPr bwMode="auto">
        <a:xfrm>
          <a:off x="4924425" y="3305175"/>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32</xdr:row>
      <xdr:rowOff>0</xdr:rowOff>
    </xdr:from>
    <xdr:ext cx="108238" cy="3810"/>
    <xdr:sp macro="" textlink="">
      <xdr:nvSpPr>
        <xdr:cNvPr id="5" name="Text Box 3"/>
        <xdr:cNvSpPr txBox="1">
          <a:spLocks noChangeAspect="1" noChangeArrowheads="1"/>
        </xdr:cNvSpPr>
      </xdr:nvSpPr>
      <xdr:spPr bwMode="auto">
        <a:xfrm>
          <a:off x="4924425" y="330517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447675</xdr:colOff>
      <xdr:row>81</xdr:row>
      <xdr:rowOff>0</xdr:rowOff>
    </xdr:from>
    <xdr:ext cx="112048" cy="20193"/>
    <xdr:sp macro="" textlink="">
      <xdr:nvSpPr>
        <xdr:cNvPr id="2" name="Text Box 2"/>
        <xdr:cNvSpPr txBox="1">
          <a:spLocks noChangeAspect="1" noChangeArrowheads="1"/>
        </xdr:cNvSpPr>
      </xdr:nvSpPr>
      <xdr:spPr bwMode="auto">
        <a:xfrm>
          <a:off x="5143500" y="5419725"/>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81</xdr:row>
      <xdr:rowOff>0</xdr:rowOff>
    </xdr:from>
    <xdr:ext cx="108238" cy="3810"/>
    <xdr:sp macro="" textlink="">
      <xdr:nvSpPr>
        <xdr:cNvPr id="3" name="Text Box 3"/>
        <xdr:cNvSpPr txBox="1">
          <a:spLocks noChangeAspect="1" noChangeArrowheads="1"/>
        </xdr:cNvSpPr>
      </xdr:nvSpPr>
      <xdr:spPr bwMode="auto">
        <a:xfrm>
          <a:off x="5153025" y="541972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447675</xdr:colOff>
      <xdr:row>81</xdr:row>
      <xdr:rowOff>0</xdr:rowOff>
    </xdr:from>
    <xdr:ext cx="112048" cy="23241"/>
    <xdr:sp macro="" textlink="">
      <xdr:nvSpPr>
        <xdr:cNvPr id="4" name="Text Box 2"/>
        <xdr:cNvSpPr txBox="1">
          <a:spLocks noChangeAspect="1" noChangeArrowheads="1"/>
        </xdr:cNvSpPr>
      </xdr:nvSpPr>
      <xdr:spPr bwMode="auto">
        <a:xfrm>
          <a:off x="5143500" y="5419725"/>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81</xdr:row>
      <xdr:rowOff>0</xdr:rowOff>
    </xdr:from>
    <xdr:ext cx="108238" cy="3810"/>
    <xdr:sp macro="" textlink="">
      <xdr:nvSpPr>
        <xdr:cNvPr id="5" name="Text Box 3"/>
        <xdr:cNvSpPr txBox="1">
          <a:spLocks noChangeAspect="1" noChangeArrowheads="1"/>
        </xdr:cNvSpPr>
      </xdr:nvSpPr>
      <xdr:spPr bwMode="auto">
        <a:xfrm>
          <a:off x="5153025" y="5419725"/>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447675</xdr:colOff>
      <xdr:row>73</xdr:row>
      <xdr:rowOff>0</xdr:rowOff>
    </xdr:from>
    <xdr:ext cx="112048" cy="20193"/>
    <xdr:sp macro="" textlink="">
      <xdr:nvSpPr>
        <xdr:cNvPr id="2" name="Text Box 2"/>
        <xdr:cNvSpPr txBox="1">
          <a:spLocks noChangeAspect="1" noChangeArrowheads="1"/>
        </xdr:cNvSpPr>
      </xdr:nvSpPr>
      <xdr:spPr bwMode="auto">
        <a:xfrm>
          <a:off x="5648325" y="8743950"/>
          <a:ext cx="112048" cy="20193"/>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73</xdr:row>
      <xdr:rowOff>0</xdr:rowOff>
    </xdr:from>
    <xdr:ext cx="108238" cy="3810"/>
    <xdr:sp macro="" textlink="">
      <xdr:nvSpPr>
        <xdr:cNvPr id="3" name="Text Box 3"/>
        <xdr:cNvSpPr txBox="1">
          <a:spLocks noChangeAspect="1" noChangeArrowheads="1"/>
        </xdr:cNvSpPr>
      </xdr:nvSpPr>
      <xdr:spPr bwMode="auto">
        <a:xfrm>
          <a:off x="5657850" y="874395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447675</xdr:colOff>
      <xdr:row>73</xdr:row>
      <xdr:rowOff>0</xdr:rowOff>
    </xdr:from>
    <xdr:ext cx="112048" cy="23241"/>
    <xdr:sp macro="" textlink="">
      <xdr:nvSpPr>
        <xdr:cNvPr id="4" name="Text Box 2"/>
        <xdr:cNvSpPr txBox="1">
          <a:spLocks noChangeAspect="1" noChangeArrowheads="1"/>
        </xdr:cNvSpPr>
      </xdr:nvSpPr>
      <xdr:spPr bwMode="auto">
        <a:xfrm>
          <a:off x="5648325" y="8743950"/>
          <a:ext cx="112048" cy="23241"/>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oneCellAnchor>
    <xdr:from>
      <xdr:col>7</xdr:col>
      <xdr:colOff>457200</xdr:colOff>
      <xdr:row>73</xdr:row>
      <xdr:rowOff>0</xdr:rowOff>
    </xdr:from>
    <xdr:ext cx="108238" cy="3810"/>
    <xdr:sp macro="" textlink="">
      <xdr:nvSpPr>
        <xdr:cNvPr id="5" name="Text Box 3"/>
        <xdr:cNvSpPr txBox="1">
          <a:spLocks noChangeAspect="1" noChangeArrowheads="1"/>
        </xdr:cNvSpPr>
      </xdr:nvSpPr>
      <xdr:spPr bwMode="auto">
        <a:xfrm>
          <a:off x="5657850" y="8743950"/>
          <a:ext cx="108238" cy="3810"/>
        </a:xfrm>
        <a:prstGeom prst="rect">
          <a:avLst/>
        </a:prstGeom>
        <a:noFill/>
        <a:ln w="9525">
          <a:noFill/>
          <a:miter lim="800000"/>
          <a:headEnd/>
          <a:tailEnd/>
        </a:ln>
      </xdr:spPr>
      <xdr:txBody>
        <a:bodyPr vertOverflow="clip" wrap="square" lIns="27432" tIns="18288" rIns="0" bIns="0" anchor="t" upright="1"/>
        <a:lstStyle/>
        <a:p>
          <a:pPr algn="l" rtl="0">
            <a:defRPr sz="1000"/>
          </a:pPr>
          <a:r>
            <a:rPr lang="en-US" sz="700" b="0" i="0" u="none" strike="noStrike" baseline="0">
              <a:solidFill>
                <a:srgbClr val="000000"/>
              </a:solidFill>
              <a:latin typeface="Arial Narrow"/>
            </a:rPr>
            <a:t>*</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16</xdr:col>
      <xdr:colOff>95250</xdr:colOff>
      <xdr:row>274</xdr:row>
      <xdr:rowOff>0</xdr:rowOff>
    </xdr:from>
    <xdr:to>
      <xdr:col>16384</xdr:col>
      <xdr:colOff>612964</xdr:colOff>
      <xdr:row>274</xdr:row>
      <xdr:rowOff>79460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283" t="17320" r="25247" b="27335"/>
        <a:stretch>
          <a:fillRect/>
        </a:stretch>
      </xdr:blipFill>
      <xdr:spPr bwMode="auto">
        <a:xfrm>
          <a:off x="10553700" y="28203525"/>
          <a:ext cx="5200650" cy="314325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243095</xdr:colOff>
      <xdr:row>471</xdr:row>
      <xdr:rowOff>114300</xdr:rowOff>
    </xdr:from>
    <xdr:to>
      <xdr:col>12</xdr:col>
      <xdr:colOff>364434</xdr:colOff>
      <xdr:row>481</xdr:row>
      <xdr:rowOff>66675</xdr:rowOff>
    </xdr:to>
    <xdr:sp macro="" textlink="">
      <xdr:nvSpPr>
        <xdr:cNvPr id="3" name="TextBox 2"/>
        <xdr:cNvSpPr txBox="1"/>
      </xdr:nvSpPr>
      <xdr:spPr>
        <a:xfrm>
          <a:off x="243095" y="83520170"/>
          <a:ext cx="6929643" cy="1608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b="1">
              <a:latin typeface="Arial" panose="020B0604020202020204" pitchFamily="34" charset="0"/>
              <a:cs typeface="Arial" panose="020B0604020202020204" pitchFamily="34" charset="0"/>
            </a:rPr>
            <a:t>                                              For MCB-Arif Habib Savings and Investments Limited</a:t>
          </a:r>
        </a:p>
        <a:p>
          <a:pPr algn="l"/>
          <a:r>
            <a:rPr lang="en-US" sz="1000" b="1">
              <a:latin typeface="Arial" panose="020B0604020202020204" pitchFamily="34" charset="0"/>
              <a:cs typeface="Arial" panose="020B0604020202020204" pitchFamily="34" charset="0"/>
            </a:rPr>
            <a:t>                                                                    (Management Company)</a:t>
          </a: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a:p>
          <a:r>
            <a:rPr lang="en-US" sz="1000">
              <a:latin typeface="Arial" panose="020B0604020202020204" pitchFamily="34" charset="0"/>
              <a:cs typeface="Arial" panose="020B0604020202020204" pitchFamily="34" charset="0"/>
            </a:rPr>
            <a:t>_______________________                           _______________________                    ______________________</a:t>
          </a:r>
        </a:p>
        <a:p>
          <a:r>
            <a:rPr lang="en-US" sz="1000" b="1">
              <a:latin typeface="Arial" panose="020B0604020202020204" pitchFamily="34" charset="0"/>
              <a:cs typeface="Arial" panose="020B0604020202020204" pitchFamily="34" charset="0"/>
            </a:rPr>
            <a:t>  Chief Executive Officer                                   Chief Financial Officer                                        Director</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averi\quarter\WINDOWS\Desktop\AamirZaveri\Accounts\QuartRepo\1st%20Quarter\1st%20QuarterAccoun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WINDOWS\BS300603-QTR-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Fund%20Accounting\Operations\Printing\Annual%202020\Draft\Draft%20Accounts\Draft%201\Draft%20Financial%20Statement%20%20PIF%20-%20June%2030,%20202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10.1.10\Operations\Users\farheen.nafees\Desktop\WINDOWS\BS3006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erguson\AFF%20SHARED\AFF%20SHARED\talha%20a%20ghani\JAN%202008\CFS\Non-Statistical%20Sampling%20Template%20C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10.1.10\Operations\Users\farheen.nafees\Desktop\WINDOWS\BS300603-CYRU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10.1.10\Operations\Documents%20and%20Settings\AShamim\My%20Documents\BIDAUC.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ILE_SERVER\Audit\My%20Documents\Final%20Accounts%202001As%20per%20Auditor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myasco\Data\Watts\Stat%20Accounts%202004\JUNE%202004\Consolidated\Auditors\final%20accounts%202001Complete%20Adjustment.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Worksheet%20in%205110%20Bank%20balances%20Combined%20Leadsheet"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hmed-ali\Clientdata\Documents%20and%20Settings\auditors\Desktop\sarah\Investment%20in%20shares%20-%20HFT%20and%20AFS(em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myasco\statement%20of%20changes%20in%20equity.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Worksheet%20in%20%20%20tbill%20mark%20up%20-or%20auditor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k-khifsr01\AuditB06\Accounts-kp\stand%20alone\September%202006\FBL%20Balance%20With%20%20a%20%20CDB%2030.09.20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ileserver\audit\Auditors\final%20accounts%202001Complete%20Adjustmen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10.1.10\Operations\Users\farheen.nafees\Desktop\iqbal%20sharif%20back%20up\E%20%20back\OVS%2003\June%2003\Book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10.1.10\Operations\Users\zuhair.abbas\AppData\Local\Deloitte.DA4\Docs\Temp\5000001253\2285947102100000036\2231%20PIEF%20Financial%20statements%20-%20Final%20Draft%20-%20June%2030%202016.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ctuary-6\Server\pervez\ddrive\DATA\MPDATA\EXDATA\TAX\TAX%20%202002%20-%202003\TAX%20JULY-2002-JUNE-2003%20(REV%20APRIL%2020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0.10.1.10\Operations\Users\myasco\Desktop\Zuhair\Treasury%2023-6-09\MM%2018-06-2009.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Worksheet%20in%205444.1%20Movement%20valuation%20and%20Recalculations%20-%20PIB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Khawaja\account-bal-\FINAL%20ACCOUNTS2001\Final%20Accounts%202001As%20per%20Auditor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amirzaveri\mcr-working\SEPublishAccountsOsam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My%20Documents\OVS-2001\My%20Documents\XeeShan\temp\OVERSEAS%20AL%20BKU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Audit%20Back%20up\ubl\FJ%20June\T_Bills%20PIB%20FIB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ctuary-6\Server\pervez\ddrive\DATA\MPDATA\EXDATA\New%20Salary%20Structure\Salary%20Restructuring%20(worksheet%20for%20implementation%20Arear%20Final%20working).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Worksheet%20in%203144%20DEBT%20Movement"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0.10.1.10\Operations\Users\muhammad.saqib\AppData\Local\Microsoft\Windows\Temporary%20Internet%20Files\Content.Outlook\9XMYT7WI\Worksheet%20in%202234%20%20PSAF%20FS%20June%2030,%202014.xls" TargetMode="External"/></Relationships>
</file>

<file path=xl/externalLinks/_rels/externalLink34.xml.rels><?xml version="1.0" encoding="UTF-8" standalone="yes"?>
<Relationships xmlns="http://schemas.openxmlformats.org/package/2006/relationships"><Relationship Id="rId1" Type="http://schemas.microsoft.com/office/2006/relationships/xlExternalLinkPath/xlPathMissing" Target="Worksheet%20in%203141-4%20Substantive%20verification%20of%20sale%20of%20listed%20equity%20securite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Worksheet%20in%205242%20Movement%20and%20Valuation%20-%20T.bills%202012"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10.10.1.10\Operations\Users\Yousuf.Adil\Desktop\5250-1%20DEBT%20Movement.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Worksheet%20in%205242-1%20Movement%20and%20valuation%20of%20PIB"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10.10.1.10\Operations\Users\adhedhi\AppData\Local\Deloitte.DA4\Docs\5000010788\2799274689400002101\23020.02.01.02%20Movement%20valuation%20and%20Recalculations%20-%20PIBs.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20%20Movement%20and%20Valuation%20-%20T-Bil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md\d_samd\AAMIR\CASH%20RECOVERY\Rec-198.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Worksheet%20in%205410-1%20T-%20Bills%20-%20AF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Users/zohaib.hassan/AppData/Local/Microsoft/Windows/INetCache/Content.Outlook/C2BECPB7/EQUITY%20FINAL.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Cliental\MCBAH\Audit%20-%20June%202019\FS\Formatted\PSF%20-%20%20June%2030,%202018.XLSX"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Startup" Target="AS2AFUNC.xla"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APR-02%20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tesham\shared\WINDOWS\TEMP\OVS-2002\%20LS%20APR%200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k-khifsr01\AuditB06\Accounts-kp\stand%20alone\2005\December%202005\Intialed%20Accounts%20from%20AFF\dom%20co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hawaja\account-bal-\FINAL%20ACCOUNTS2001\JUNE2002Account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hmed-ali\Clientdata\DOCUME~1\asif_110\LOCALS~1\Temp\WINDOWS\TEMP\My%20Documents\er\AUG03\My%20Documents\fmmfmsl\FMMdec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otes4-8.2"/>
      <sheetName val="Note1-3"/>
      <sheetName val="Stat-Equity"/>
      <sheetName val="DirRep"/>
      <sheetName val="CashFlow"/>
      <sheetName val="Balancesheet"/>
      <sheetName val="last qrt2001"/>
      <sheetName val="Profit&amp;Loss"/>
      <sheetName val="last qrt2000"/>
      <sheetName val="Sheet1"/>
      <sheetName val="62"/>
      <sheetName val="Notes4-8_2"/>
      <sheetName val="last_qrt2001"/>
      <sheetName val="last_qrt2000"/>
      <sheetName val="Sheet1_"/>
      <sheetName val="Note6-8_2"/>
      <sheetName val="Notes35-36"/>
      <sheetName val="A"/>
      <sheetName val="Consolidated"/>
      <sheetName val="Assets"/>
      <sheetName val="BS-JPN"/>
      <sheetName val="BK"/>
      <sheetName val="Cash_Flow__HOH"/>
      <sheetName val="CIB2"/>
      <sheetName val="NOSTRO12"/>
      <sheetName val="INC-EXP"/>
      <sheetName val="Parameters"/>
      <sheetName val="Summary"/>
      <sheetName val="RC-0997"/>
      <sheetName val="Sheet4"/>
      <sheetName val="new_sum"/>
      <sheetName val="Investments"/>
      <sheetName val="fx_130"/>
      <sheetName val="Lead"/>
      <sheetName val="blot"/>
      <sheetName val="FIB-TFC"/>
      <sheetName val="Currency"/>
      <sheetName val="CP_STATytd"/>
      <sheetName val="Rentals-SAM_KHI"/>
      <sheetName val="Letter"/>
      <sheetName val="Premier"/>
      <sheetName val="Dep_Allocation"/>
      <sheetName val="A-C_CODE_&amp;_NAME"/>
      <sheetName val="WIP-YRN"/>
      <sheetName val="Macro1"/>
      <sheetName val="SAN"/>
      <sheetName val="DISB"/>
      <sheetName val="Goodwill"/>
      <sheetName val="Min.Tax"/>
      <sheetName val="Current Tax"/>
      <sheetName val="Historical Losses (2)"/>
      <sheetName val="Data Validation List"/>
      <sheetName val="Credit Review"/>
      <sheetName val="Lists"/>
      <sheetName val="TRAN"/>
      <sheetName val="Notes4-8_21"/>
      <sheetName val="last_qrt20011"/>
      <sheetName val="last_qrt20001"/>
      <sheetName val="Data_Validation_List"/>
      <sheetName val="Min_Tax"/>
      <sheetName val="Current_Tax"/>
      <sheetName val="Historical_Losses_(2)"/>
      <sheetName val="Sheet3"/>
      <sheetName val="1st QuarterAccounts"/>
      <sheetName val=""/>
      <sheetName val="Disposals"/>
      <sheetName val="Link with Kibor"/>
      <sheetName val="Link with Advances"/>
      <sheetName val="P &amp; L"/>
      <sheetName val="EMOF Portfolio"/>
      <sheetName val="Notes4-8_22"/>
      <sheetName val="last_qrt20012"/>
      <sheetName val="last_qrt20002"/>
      <sheetName val="Data_Validation_List1"/>
      <sheetName val="Min_Tax1"/>
      <sheetName val="Current_Tax1"/>
      <sheetName val="Historical_Losses_(2)1"/>
      <sheetName val="Credit_Review"/>
      <sheetName val="1st_QuarterAccounts"/>
      <sheetName val="CWS1"/>
      <sheetName val="CWSSUM1"/>
      <sheetName val="TKT"/>
      <sheetName val="TKTSUM"/>
      <sheetName val="Sheet2"/>
      <sheetName val="CLV assumptions"/>
      <sheetName val="Custom_LLR"/>
      <sheetName val="LLR"/>
      <sheetName val="DATA"/>
      <sheetName val="CF wrking"/>
      <sheetName val="Grouping"/>
      <sheetName val="(E-1)-Lead Sheet"/>
      <sheetName val="Cash Flow  HOH"/>
      <sheetName val=" Travel Club"/>
      <sheetName val="Child"/>
      <sheetName val="(A-1)-Lead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MAT-0303"/>
      <sheetName val="INDEX"/>
      <sheetName val="MAT-MANUAL"/>
      <sheetName val="DOMESTIC-AL"/>
      <sheetName val="BSDOMOVS"/>
      <sheetName val="Balance Sheet"/>
      <sheetName val="BSCOMBINED "/>
      <sheetName val="Note 1-7-A"/>
      <sheetName val="Note16-20-A"/>
      <sheetName val="Balance Sheet-A"/>
      <sheetName val="Profit&amp;Loss-Rev"/>
      <sheetName val="Profit&amp;Loss-Rev-A"/>
      <sheetName val="Cash flow-A"/>
      <sheetName val="Changes in equity-A"/>
      <sheetName val="Note 1-7"/>
      <sheetName val="Sheet1-A"/>
      <sheetName val="Note 8-11"/>
      <sheetName val="Note 8-11-A"/>
      <sheetName val="Note 12-15"/>
      <sheetName val="Note 12-15-A"/>
      <sheetName val="Note16-20"/>
      <sheetName val="Note16-20 (2)"/>
      <sheetName val="Note 21 - 23"/>
      <sheetName val="Note 10-10.1"/>
      <sheetName val="Note 10.2-10.7"/>
      <sheetName val="Note 11 - 12.1"/>
      <sheetName val="Note 16.2-18"/>
      <sheetName val="Note 22-23"/>
      <sheetName val="Note 28.1-30"/>
      <sheetName val="Note 37-38"/>
      <sheetName val="Note 24-A"/>
      <sheetName val="Note 24"/>
      <sheetName val="Note 25"/>
      <sheetName val="Note 25-A"/>
      <sheetName val="Note 26 "/>
      <sheetName val="Note 26-A"/>
      <sheetName val="Note 27"/>
      <sheetName val="Note 28"/>
      <sheetName val="Note 28-A"/>
      <sheetName val="Note 29-30"/>
      <sheetName val="Contingencies-A"/>
      <sheetName val="Note 42.2-44"/>
      <sheetName val="Sheet2"/>
      <sheetName val="BS-OVS"/>
      <sheetName val="Adj-Note"/>
      <sheetName val="Balance_Sheet"/>
      <sheetName val="BSCOMBINED_"/>
      <sheetName val="Note_1-7-A"/>
      <sheetName val="Balance_Sheet-A"/>
      <sheetName val="Cash_flow-A"/>
      <sheetName val="Changes_in_equity-A"/>
      <sheetName val="Note_1-7"/>
      <sheetName val="Note_8-11"/>
      <sheetName val="Note_8-11-A"/>
      <sheetName val="Note_12-15"/>
      <sheetName val="Note_12-15-A"/>
      <sheetName val="Note16-20_(2)"/>
      <sheetName val="Note_21_-_23"/>
      <sheetName val="Note_10-10_1"/>
      <sheetName val="Note_10_2-10_7"/>
      <sheetName val="Note_11_-_12_1"/>
      <sheetName val="Note_16_2-18"/>
      <sheetName val="Note_22-23"/>
      <sheetName val="Note_28_1-30"/>
      <sheetName val="Note_37-38"/>
      <sheetName val="Note_24-A"/>
      <sheetName val="Note_24"/>
      <sheetName val="Note_25"/>
      <sheetName val="Note_25-A"/>
      <sheetName val="Note_26_"/>
      <sheetName val="Note_26-A"/>
      <sheetName val="Note_27"/>
      <sheetName val="Note_28"/>
      <sheetName val="Note_28-A"/>
      <sheetName val="Note_29-30"/>
      <sheetName val="Note_42_2-44"/>
      <sheetName val="Balance_Sheet1"/>
      <sheetName val="BSCOMBINED_1"/>
      <sheetName val="Note_1-7-A1"/>
      <sheetName val="Balance_Sheet-A1"/>
      <sheetName val="Cash_flow-A1"/>
      <sheetName val="Changes_in_equity-A1"/>
      <sheetName val="Note_1-71"/>
      <sheetName val="Note_8-111"/>
      <sheetName val="Note_8-11-A1"/>
      <sheetName val="Note_12-151"/>
      <sheetName val="Note_12-15-A1"/>
      <sheetName val="Note16-20_(2)1"/>
      <sheetName val="Note_21_-_231"/>
      <sheetName val="Note_10-10_11"/>
      <sheetName val="Note_10_2-10_71"/>
      <sheetName val="Note_11_-_12_11"/>
      <sheetName val="Note_16_2-181"/>
      <sheetName val="Note_22-231"/>
      <sheetName val="Note_28_1-301"/>
      <sheetName val="Note_37-381"/>
      <sheetName val="Note_24-A1"/>
      <sheetName val="Note_241"/>
      <sheetName val="Note_251"/>
      <sheetName val="Note_25-A1"/>
      <sheetName val="Note_26_1"/>
      <sheetName val="Note_26-A1"/>
      <sheetName val="Note_271"/>
      <sheetName val="Note_281"/>
      <sheetName val="Note_28-A1"/>
      <sheetName val="Note_29-301"/>
      <sheetName val="Note_42_2-441"/>
      <sheetName val="December 06"/>
      <sheetName val="November 06"/>
      <sheetName val="Code"/>
      <sheetName val="PKRV"/>
      <sheetName val="FEb"/>
      <sheetName val="Lookups"/>
      <sheetName val="Implied Rate"/>
      <sheetName val="Data-922"/>
      <sheetName val="Sheet4"/>
      <sheetName val="FX"/>
      <sheetName val="Parameters"/>
      <sheetName val="BAHRAIN"/>
      <sheetName val="DD110"/>
      <sheetName val="O.Profit(aferalloc)"/>
      <sheetName val="Ranges"/>
      <sheetName val="A-C CODE &amp; NAME"/>
      <sheetName val="Macro1"/>
      <sheetName val="DISTRIBUTION"/>
      <sheetName val="SUMMARY"/>
      <sheetName val="acct"/>
      <sheetName val="A"/>
      <sheetName val="Adj"/>
      <sheetName val="Elim"/>
      <sheetName val="Balance_Sheet2"/>
      <sheetName val="BSCOMBINED_2"/>
      <sheetName val="Note_1-7-A2"/>
      <sheetName val="Balance_Sheet-A2"/>
      <sheetName val="Cash_flow-A2"/>
      <sheetName val="Changes_in_equity-A2"/>
      <sheetName val="Note_1-72"/>
      <sheetName val="Note_8-112"/>
      <sheetName val="Note_8-11-A2"/>
      <sheetName val="Note_12-152"/>
      <sheetName val="Note_12-15-A2"/>
      <sheetName val="Note16-20_(2)2"/>
      <sheetName val="Note_21_-_232"/>
      <sheetName val="Note_10-10_12"/>
      <sheetName val="Note_10_2-10_72"/>
      <sheetName val="Note_11_-_12_12"/>
      <sheetName val="Note_16_2-182"/>
      <sheetName val="Note_22-232"/>
      <sheetName val="Note_28_1-302"/>
      <sheetName val="Note_37-382"/>
      <sheetName val="Note_24-A2"/>
      <sheetName val="Note_242"/>
      <sheetName val="Note_252"/>
      <sheetName val="Note_25-A2"/>
      <sheetName val="Note_26_2"/>
      <sheetName val="Note_26-A2"/>
      <sheetName val="Note_272"/>
      <sheetName val="Note_282"/>
      <sheetName val="Note_28-A2"/>
      <sheetName val="Note_29-302"/>
      <sheetName val="Note_42_2-442"/>
      <sheetName val="December_06"/>
      <sheetName val="November_06"/>
      <sheetName val="Implied_Rate"/>
      <sheetName val="O_Profit(aferalloc)"/>
      <sheetName val="A-C_CODE_&amp;_NAME"/>
      <sheetName val="RATES"/>
      <sheetName val="BK"/>
      <sheetName val="BR"/>
      <sheetName val="Note-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refreshError="1"/>
      <sheetData sheetId="169" refreshError="1"/>
      <sheetData sheetId="17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 2018"/>
      <sheetName val="SOAL"/>
      <sheetName val="IS"/>
      <sheetName val="SOCI"/>
      <sheetName val="UHF New"/>
      <sheetName val="Cashflow"/>
      <sheetName val="1 - 4.2"/>
      <sheetName val="5 - 5.1.2"/>
      <sheetName val="5.1.2.1 - 5.1.7"/>
      <sheetName val="5.2 - 5.3"/>
      <sheetName val="5.2 - 25"/>
      <sheetName val="17.1"/>
      <sheetName val="18"/>
      <sheetName val="19 - 19.1.2"/>
      <sheetName val="19.1.3 - 19.3"/>
      <sheetName val="Banks Rating"/>
      <sheetName val="TER Working"/>
      <sheetName val="Provision Reversal"/>
      <sheetName val="Lead - 2020"/>
    </sheetNames>
    <sheetDataSet>
      <sheetData sheetId="0" refreshError="1"/>
      <sheetData sheetId="1">
        <row r="41">
          <cell r="F41">
            <v>54.207000000000001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ow r="2">
          <cell r="N2">
            <v>0</v>
          </cell>
          <cell r="O2">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CONTENTS"/>
      <sheetName val="BSDOMOVS"/>
      <sheetName val="BSCOMBINED "/>
      <sheetName val="Balance Sheet"/>
      <sheetName val="Profit&amp;Loss-Rev"/>
      <sheetName val="Note 1-7"/>
      <sheetName val="Note 8-11"/>
      <sheetName val="Note 12-15"/>
      <sheetName val="Note16-20"/>
      <sheetName val="Note 10-10.1"/>
      <sheetName val="Note 10.2-10.7"/>
      <sheetName val="Note 11 - 12.1"/>
      <sheetName val="Note 16.2-18"/>
      <sheetName val="Note 22-23"/>
      <sheetName val="Note 28.1-30"/>
      <sheetName val="Note 21 - 23"/>
      <sheetName val="Note 37-38"/>
      <sheetName val="Note 24"/>
      <sheetName val="Note 25"/>
      <sheetName val="Note 26 "/>
      <sheetName val="Note 27"/>
      <sheetName val="Note 28"/>
      <sheetName val="Note 29-30"/>
      <sheetName val="MAT-0602"/>
      <sheetName val="Note 28A"/>
      <sheetName val="Note 42.2-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allSamp"/>
      <sheetName val="Non-Statistical Sampling"/>
      <sheetName val="Instructions"/>
      <sheetName val="First Sample Results"/>
      <sheetName val="DropDown"/>
      <sheetName val="Currency"/>
      <sheetName val="last qrt2001"/>
      <sheetName val="Non-Statistical_Sampling"/>
      <sheetName val="First_Sample_Results"/>
      <sheetName val="TRAN"/>
      <sheetName val="AUM Analysis"/>
    </sheetNames>
    <sheetDataSet>
      <sheetData sheetId="0"/>
      <sheetData sheetId="1"/>
      <sheetData sheetId="2"/>
      <sheetData sheetId="3"/>
      <sheetData sheetId="4">
        <row r="1">
          <cell r="B1" t="str">
            <v>?</v>
          </cell>
          <cell r="D1" t="str">
            <v>?</v>
          </cell>
          <cell r="H1" t="str">
            <v>Ratio Estimation</v>
          </cell>
        </row>
        <row r="2">
          <cell r="B2" t="str">
            <v>Low</v>
          </cell>
          <cell r="D2" t="str">
            <v>Random</v>
          </cell>
          <cell r="H2" t="str">
            <v>Difference Estimation</v>
          </cell>
        </row>
        <row r="3">
          <cell r="B3" t="str">
            <v>Moderate</v>
          </cell>
          <cell r="D3" t="str">
            <v>Haphazard</v>
          </cell>
        </row>
        <row r="4">
          <cell r="B4" t="str">
            <v>High</v>
          </cell>
          <cell r="D4" t="str">
            <v>Systematic</v>
          </cell>
        </row>
      </sheetData>
      <sheetData sheetId="5">
        <row r="3">
          <cell r="C3" t="str">
            <v>Rupee</v>
          </cell>
        </row>
        <row r="9">
          <cell r="B9" t="str">
            <v>Currency?</v>
          </cell>
        </row>
        <row r="10">
          <cell r="B10" t="str">
            <v>AUS$</v>
          </cell>
        </row>
        <row r="11">
          <cell r="B11" t="str">
            <v>CAN$</v>
          </cell>
        </row>
        <row r="12">
          <cell r="B12" t="str">
            <v>Euro</v>
          </cell>
        </row>
        <row r="13">
          <cell r="B13" t="str">
            <v>Pound</v>
          </cell>
        </row>
        <row r="14">
          <cell r="B14" t="str">
            <v>US$</v>
          </cell>
        </row>
        <row r="15">
          <cell r="B15" t="str">
            <v>Yen</v>
          </cell>
        </row>
        <row r="16">
          <cell r="B16" t="str">
            <v>Colon</v>
          </cell>
        </row>
        <row r="17">
          <cell r="B17" t="str">
            <v>Dong</v>
          </cell>
        </row>
        <row r="18">
          <cell r="B18" t="str">
            <v>Franc</v>
          </cell>
        </row>
        <row r="19">
          <cell r="B19" t="str">
            <v>Kip</v>
          </cell>
        </row>
        <row r="20">
          <cell r="B20" t="str">
            <v>Kroner</v>
          </cell>
        </row>
        <row r="21">
          <cell r="B21" t="str">
            <v>Lira</v>
          </cell>
        </row>
        <row r="22">
          <cell r="B22" t="str">
            <v>Naira</v>
          </cell>
        </row>
        <row r="23">
          <cell r="B23" t="str">
            <v>Reais</v>
          </cell>
        </row>
        <row r="24">
          <cell r="B24" t="str">
            <v>Rubles</v>
          </cell>
        </row>
        <row r="25">
          <cell r="B25" t="str">
            <v>Rupee</v>
          </cell>
        </row>
        <row r="26">
          <cell r="B26" t="str">
            <v>Sequel</v>
          </cell>
        </row>
        <row r="27">
          <cell r="B27" t="str">
            <v>Thai</v>
          </cell>
        </row>
        <row r="28">
          <cell r="B28" t="str">
            <v>Tugrik</v>
          </cell>
        </row>
        <row r="29">
          <cell r="B29" t="str">
            <v>Won</v>
          </cell>
        </row>
        <row r="30">
          <cell r="B30" t="str">
            <v>Yuan</v>
          </cell>
        </row>
        <row r="31">
          <cell r="B31" t="str">
            <v>Other</v>
          </cell>
        </row>
      </sheetData>
      <sheetData sheetId="6" refreshError="1"/>
      <sheetData sheetId="7"/>
      <sheetData sheetId="8"/>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BS-DOM"/>
      <sheetName val="BS-OVS"/>
      <sheetName val="BSCOMBINED "/>
      <sheetName val="Balance Sheet-Auditors"/>
      <sheetName val="Profit&amp;Loss-Auditors"/>
      <sheetName val="Changes in equity-A"/>
      <sheetName val="Note 1-5-A"/>
      <sheetName val="Note 6-8 A"/>
      <sheetName val="Note 9-11-A"/>
      <sheetName val="Note 12-14-A"/>
      <sheetName val="Note 15-A"/>
      <sheetName val="Note16-20-A"/>
      <sheetName val="Note 24.1-A"/>
      <sheetName val="Note 28-A"/>
      <sheetName val="Cash flow-A"/>
      <sheetName val="Note 10-10.1"/>
      <sheetName val="Note 10.2-10.7"/>
      <sheetName val="Note 11 - 12.1"/>
      <sheetName val="Note 16.2-18"/>
      <sheetName val="Note 22-23"/>
      <sheetName val="Note 28.1-30"/>
      <sheetName val="Note 37-38"/>
      <sheetName val="Note 24-A"/>
      <sheetName val="Note 25-A"/>
      <sheetName val="Note 26-A"/>
      <sheetName val="Note 42.2-44"/>
      <sheetName val="Note 21-A"/>
      <sheetName val="Note 22,23-A"/>
      <sheetName val="Sheet3"/>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BER"/>
      <sheetName val="Main"/>
      <sheetName val="ORP"/>
      <sheetName val="Encash"/>
      <sheetName val="Pay"/>
      <sheetName val="TBA"/>
      <sheetName val="ORP2"/>
      <sheetName val="OPR1"/>
      <sheetName val="DialogSBPDisc"/>
      <sheetName val="DialogSBPRRepo"/>
      <sheetName val="DialogR_RepoMTY"/>
      <sheetName val="DialogRepoMTY"/>
      <sheetName val="DialogSBPRepo"/>
      <sheetName val="dialmain"/>
      <sheetName val="Module6"/>
      <sheetName val="Module5"/>
      <sheetName val="DialogSBPORP"/>
      <sheetName val="RREPOMAT"/>
      <sheetName val="TBillsAuction"/>
      <sheetName val="Payment"/>
      <sheetName val="Encashment"/>
      <sheetName val="TBILLS"/>
      <sheetName val="TB-PRICE"/>
      <sheetName val="OMO"/>
      <sheetName val="Cheque"/>
      <sheetName val="Lists"/>
      <sheetName val="Module2"/>
      <sheetName val="Module1"/>
      <sheetName val="Module3"/>
      <sheetName val="Module4"/>
      <sheetName val="Module7"/>
      <sheetName val="Module8"/>
      <sheetName val="Module9"/>
      <sheetName val="Module10"/>
      <sheetName val="Module11"/>
      <sheetName val="Module12"/>
      <sheetName val="BIDAUC"/>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t²"/>
      <sheetName val="nt__2"/>
      <sheetName val="nt__3"/>
      <sheetName val="nt__4"/>
      <sheetName val="Total Adjustments"/>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Notes25-26.1"/>
      <sheetName val="Notes26.2-32"/>
      <sheetName val="Notes33-34"/>
      <sheetName val="Notes39-40"/>
      <sheetName val="Notes41-42.1"/>
      <sheetName val="Notes41-42.1 (2)"/>
      <sheetName val="Notes42.2-44"/>
      <sheetName val="Note 45"/>
      <sheetName val="Annexure"/>
      <sheetName val="affair"/>
      <sheetName val="inc-exp"/>
      <sheetName val="pinex"/>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PremiumMaturity"/>
      <sheetName val="NEWAD"/>
      <sheetName val="pinex (2)"/>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Total_Adjustments"/>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Note1_11"/>
      <sheetName val="Total_Adjustments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A"/>
      <sheetName val="CliftonMain-1003-P&amp;L"/>
      <sheetName val="CliftonMain-1003-EXP"/>
      <sheetName val="SALARY"/>
      <sheetName val="Parameters"/>
      <sheetName val="broker sheet-2"/>
      <sheetName val="pinex_(2)"/>
      <sheetName val="Rate_Input"/>
      <sheetName val="Profit_Worksheet"/>
      <sheetName val="acct"/>
      <sheetName val="2000_ Projects Summary"/>
      <sheetName val="Sheet5"/>
      <sheetName val="Augbkp98"/>
      <sheetName val="pinex_(2)1"/>
      <sheetName val="Rate_Input1"/>
      <sheetName val="Profit_Worksheet1"/>
      <sheetName val="SOURCE"/>
      <sheetName val="PDF1"/>
      <sheetName val="Currency"/>
      <sheetName val="DropDown"/>
      <sheetName val="Segment new 1"/>
      <sheetName val="Drop down"/>
      <sheetName val="16-Avg Sales Price"/>
      <sheetName val="Statement of Claims"/>
      <sheetName val="Notes _2_"/>
      <sheetName val="PL_Million_"/>
      <sheetName val="Fin_Histo_PL"/>
      <sheetName val="Deposit"/>
      <sheetName val="stdd costBPCS"/>
      <sheetName val="B-S(p)"/>
      <sheetName val="Code"/>
      <sheetName val="BS-OVS"/>
      <sheetName val="Abu Dhabi"/>
      <sheetName val="Total_Adjustments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pinex_(2)2"/>
      <sheetName val="Rate_Input2"/>
      <sheetName val="Profit_Worksheet2"/>
      <sheetName val="2000__Projects_Summary"/>
      <sheetName val="broker_sheet-2"/>
      <sheetName val="BSDOMOVS"/>
      <sheetName val="EDP_Euros"/>
      <sheetName val="Iberdrola_Euros"/>
      <sheetName val="BS"/>
      <sheetName val="Non-Statistical Sampling"/>
      <sheetName val="REV VAR INC"/>
      <sheetName val="Segment_new_1"/>
      <sheetName val="Drop_down"/>
      <sheetName val="16-Avg_Sales_Price"/>
      <sheetName val="stdd_costBPCS"/>
      <sheetName val="Statement_of_Claims"/>
      <sheetName val="Revenue-Fire-Marine-Motor"/>
      <sheetName val="Graphs 1"/>
      <sheetName val="Macro1"/>
      <sheetName val="Summary"/>
      <sheetName val="Grouping"/>
      <sheetName val="Notes__2_"/>
      <sheetName val="Non-Statistical_Sampling"/>
      <sheetName val="REV_VAR_INC"/>
      <sheetName val="Report .1"/>
      <sheetName val="Final Accounts 2001As per Audit"/>
      <sheetName val="Aylık"/>
      <sheetName val="Net"/>
      <sheetName val="Profiles"/>
      <sheetName val="ៀFinal Accou"/>
      <sheetName val="ḜFinal Accou"/>
      <sheetName val="⒐Final Accou"/>
      <sheetName val="nt__5"/>
      <sheetName val="nt__6"/>
      <sheetName val="nt__7"/>
      <sheetName val="nt__8"/>
      <sheetName val="nt__9"/>
      <sheetName val="DATABASE"/>
      <sheetName val="MMR"/>
      <sheetName val="Cash Flow"/>
      <sheetName val="Total_Adjustments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pinex_(2)3"/>
      <sheetName val="Rate_Input3"/>
      <sheetName val="Profit_Worksheet3"/>
      <sheetName val="2000__Projects_Summary1"/>
      <sheetName val="broker_sheet-21"/>
      <sheetName val="cpur"/>
      <sheetName val="IGData"/>
      <sheetName val="Rate Verification"/>
      <sheetName val="Product Wise Breakup"/>
      <sheetName val="Monthly breakup"/>
      <sheetName val="Categoried of Deposit (2)"/>
      <sheetName val="PPC-ORD DTL"/>
      <sheetName val="Abu_Dhabi"/>
      <sheetName val="A-C CODE &amp; NAME"/>
      <sheetName val="会社別"/>
      <sheetName val="B-6"/>
      <sheetName val="Adv to vendor"/>
      <sheetName val="GP Analysis"/>
      <sheetName val="FundsNW"/>
      <sheetName val="Stock in Trade"/>
      <sheetName val="Rentals-SAM KHI"/>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sheetData sheetId="11"/>
      <sheetData sheetId="12"/>
      <sheetData sheetId="13"/>
      <sheetData sheetId="14" refreshError="1"/>
      <sheetData sheetId="15"/>
      <sheetData sheetId="16"/>
      <sheetData sheetId="17" refreshError="1"/>
      <sheetData sheetId="18"/>
      <sheetData sheetId="19"/>
      <sheetData sheetId="20"/>
      <sheetData sheetId="21"/>
      <sheetData sheetId="22"/>
      <sheetData sheetId="23"/>
      <sheetData sheetId="24"/>
      <sheetData sheetId="25"/>
      <sheetData sheetId="26" refreshError="1"/>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sheetData sheetId="198"/>
      <sheetData sheetId="199"/>
      <sheetData sheetId="200" refreshError="1"/>
      <sheetData sheetId="201" refreshError="1"/>
      <sheetData sheetId="202" refreshError="1"/>
      <sheetData sheetId="203" refreshError="1"/>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1_5"/>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Links"/>
      <sheetName val="Value In Use - Trea"/>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3.2"/>
      <sheetName val="Specific - Provision Financing"/>
      <sheetName val="Total"/>
      <sheetName val="SON"/>
      <sheetName val="Revenue-Fire-Marine-Motor"/>
      <sheetName val="Additions"/>
      <sheetName val="BS-OVS"/>
      <sheetName val="branch code"/>
      <sheetName val="Sheet1_(4)3"/>
      <sheetName val="Sheet1_(3)3"/>
      <sheetName val="Deferred_(2)3"/>
      <sheetName val="Defeered_Work3"/>
      <sheetName val="Total_Adjustments3"/>
      <sheetName val="Balance_Sheet3"/>
      <sheetName val="Sheet2_(2)3"/>
      <sheetName val="Sheet3_(2)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Sheet1_(2)3"/>
      <sheetName val="Notes41-42_13"/>
      <sheetName val="Notes42_2-443"/>
      <sheetName val="Note_453"/>
      <sheetName val="3_2"/>
      <sheetName val="Macro1"/>
      <sheetName val="E"/>
      <sheetName val="A-C CODE &amp; NAME"/>
      <sheetName val="MarchSL904"/>
      <sheetName val="BSDOMOVS"/>
      <sheetName val="Valuation"/>
      <sheetName val="LT loan"/>
      <sheetName val="working"/>
      <sheetName val="Addition"/>
      <sheetName val="Vend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 val="BR"/>
    </sheetNames>
    <sheetDataSet>
      <sheetData sheetId="0" refreshError="1"/>
      <sheetData sheetId="1" refreshError="1">
        <row r="1">
          <cell r="F1" t="str">
            <v>Preliminary</v>
          </cell>
          <cell r="K1" t="str">
            <v>'2011</v>
          </cell>
        </row>
        <row r="3">
          <cell r="K3">
            <v>393495</v>
          </cell>
        </row>
        <row r="4">
          <cell r="K4">
            <v>24126341</v>
          </cell>
        </row>
        <row r="5">
          <cell r="K5">
            <v>24519836</v>
          </cell>
        </row>
        <row r="6">
          <cell r="K6">
            <v>0</v>
          </cell>
        </row>
        <row r="7">
          <cell r="K7">
            <v>99869645</v>
          </cell>
        </row>
        <row r="8">
          <cell r="K8">
            <v>99869645</v>
          </cell>
        </row>
        <row r="9">
          <cell r="K9">
            <v>0</v>
          </cell>
        </row>
        <row r="10">
          <cell r="K10">
            <v>202960</v>
          </cell>
        </row>
        <row r="11">
          <cell r="K11">
            <v>202960</v>
          </cell>
        </row>
        <row r="12">
          <cell r="K12">
            <v>0</v>
          </cell>
        </row>
        <row r="13">
          <cell r="K13">
            <v>2466602</v>
          </cell>
        </row>
        <row r="14">
          <cell r="K14">
            <v>2466602</v>
          </cell>
        </row>
        <row r="15">
          <cell r="K15">
            <v>1076923</v>
          </cell>
        </row>
        <row r="16">
          <cell r="K16">
            <v>0</v>
          </cell>
        </row>
        <row r="17">
          <cell r="K17">
            <v>0</v>
          </cell>
        </row>
        <row r="18">
          <cell r="K18">
            <v>8372</v>
          </cell>
        </row>
        <row r="19">
          <cell r="K19">
            <v>500000</v>
          </cell>
        </row>
        <row r="20">
          <cell r="K20">
            <v>2451927</v>
          </cell>
        </row>
        <row r="21">
          <cell r="K21">
            <v>0</v>
          </cell>
        </row>
        <row r="22">
          <cell r="K22">
            <v>2951927</v>
          </cell>
        </row>
        <row r="23">
          <cell r="K23">
            <v>51745614</v>
          </cell>
        </row>
        <row r="24">
          <cell r="K24">
            <v>0</v>
          </cell>
        </row>
        <row r="25">
          <cell r="K25">
            <v>0</v>
          </cell>
        </row>
        <row r="26">
          <cell r="K26">
            <v>0</v>
          </cell>
        </row>
        <row r="27">
          <cell r="K27">
            <v>-156706</v>
          </cell>
        </row>
        <row r="28">
          <cell r="K28">
            <v>-156706</v>
          </cell>
        </row>
        <row r="29">
          <cell r="K29">
            <v>0</v>
          </cell>
        </row>
        <row r="30">
          <cell r="K30">
            <v>-20672</v>
          </cell>
        </row>
        <row r="31">
          <cell r="K31">
            <v>-20672</v>
          </cell>
        </row>
        <row r="32">
          <cell r="K32">
            <v>0</v>
          </cell>
        </row>
        <row r="33">
          <cell r="K33">
            <v>-299936</v>
          </cell>
        </row>
        <row r="34">
          <cell r="K34">
            <v>-299936</v>
          </cell>
        </row>
        <row r="35">
          <cell r="K35">
            <v>0</v>
          </cell>
        </row>
        <row r="36">
          <cell r="K36">
            <v>-39374</v>
          </cell>
        </row>
        <row r="37">
          <cell r="K37">
            <v>-39374</v>
          </cell>
        </row>
        <row r="38">
          <cell r="K38">
            <v>0</v>
          </cell>
        </row>
        <row r="39">
          <cell r="K39">
            <v>-41372</v>
          </cell>
        </row>
        <row r="40">
          <cell r="K40">
            <v>-140003</v>
          </cell>
        </row>
        <row r="41">
          <cell r="K41">
            <v>-18200</v>
          </cell>
        </row>
        <row r="42">
          <cell r="K42">
            <v>0</v>
          </cell>
        </row>
        <row r="43">
          <cell r="K43">
            <v>-1914352</v>
          </cell>
        </row>
        <row r="44">
          <cell r="K44">
            <v>-2113927</v>
          </cell>
        </row>
        <row r="45">
          <cell r="K45">
            <v>0</v>
          </cell>
        </row>
        <row r="46">
          <cell r="K46">
            <v>-232</v>
          </cell>
        </row>
        <row r="47">
          <cell r="K47">
            <v>-232</v>
          </cell>
        </row>
        <row r="48">
          <cell r="K48">
            <v>3</v>
          </cell>
        </row>
        <row r="49">
          <cell r="K49">
            <v>-9636293</v>
          </cell>
        </row>
        <row r="50">
          <cell r="K50">
            <v>5194384</v>
          </cell>
        </row>
        <row r="51">
          <cell r="K51">
            <v>-109801004</v>
          </cell>
        </row>
        <row r="52">
          <cell r="K52">
            <v>549393</v>
          </cell>
        </row>
        <row r="53">
          <cell r="K53">
            <v>119974</v>
          </cell>
        </row>
        <row r="54">
          <cell r="K54">
            <v>-113573546</v>
          </cell>
        </row>
        <row r="55">
          <cell r="K55">
            <v>-8362</v>
          </cell>
        </row>
        <row r="56">
          <cell r="K56">
            <v>-4259129</v>
          </cell>
        </row>
        <row r="57">
          <cell r="K57">
            <v>-4259129</v>
          </cell>
        </row>
        <row r="58">
          <cell r="K58">
            <v>15580</v>
          </cell>
        </row>
        <row r="59">
          <cell r="K59">
            <v>0</v>
          </cell>
        </row>
        <row r="60">
          <cell r="K60">
            <v>0</v>
          </cell>
        </row>
        <row r="61">
          <cell r="K61">
            <v>-15727</v>
          </cell>
        </row>
        <row r="62">
          <cell r="K62">
            <v>0</v>
          </cell>
        </row>
        <row r="63">
          <cell r="K63">
            <v>0</v>
          </cell>
        </row>
        <row r="64">
          <cell r="K64">
            <v>0</v>
          </cell>
        </row>
        <row r="65">
          <cell r="K65">
            <v>-2364542</v>
          </cell>
        </row>
        <row r="66">
          <cell r="K66">
            <v>-2364542</v>
          </cell>
        </row>
        <row r="67">
          <cell r="K67">
            <v>2440</v>
          </cell>
        </row>
        <row r="68">
          <cell r="K68">
            <v>-2370585</v>
          </cell>
        </row>
        <row r="69">
          <cell r="K69">
            <v>-2370585</v>
          </cell>
        </row>
        <row r="70">
          <cell r="K70">
            <v>137503</v>
          </cell>
        </row>
        <row r="71">
          <cell r="K71">
            <v>-6252680</v>
          </cell>
        </row>
        <row r="72">
          <cell r="K72">
            <v>-6252680</v>
          </cell>
        </row>
        <row r="73">
          <cell r="K73">
            <v>0</v>
          </cell>
        </row>
        <row r="74">
          <cell r="K74">
            <v>-1023662</v>
          </cell>
        </row>
        <row r="75">
          <cell r="K75">
            <v>-1023662</v>
          </cell>
        </row>
        <row r="76">
          <cell r="K76">
            <v>8952</v>
          </cell>
        </row>
        <row r="77">
          <cell r="K77">
            <v>-1046793</v>
          </cell>
        </row>
        <row r="78">
          <cell r="K78">
            <v>-1046793</v>
          </cell>
        </row>
        <row r="79">
          <cell r="K79">
            <v>548</v>
          </cell>
        </row>
        <row r="80">
          <cell r="K80">
            <v>-120063</v>
          </cell>
        </row>
        <row r="81">
          <cell r="K81">
            <v>-120063</v>
          </cell>
        </row>
        <row r="82">
          <cell r="K82">
            <v>298</v>
          </cell>
        </row>
        <row r="83">
          <cell r="K83">
            <v>-327208</v>
          </cell>
        </row>
        <row r="84">
          <cell r="K84">
            <v>-327208</v>
          </cell>
        </row>
        <row r="85">
          <cell r="K85">
            <v>2461</v>
          </cell>
        </row>
        <row r="86">
          <cell r="K86">
            <v>1868624</v>
          </cell>
        </row>
        <row r="87">
          <cell r="K87">
            <v>1868624</v>
          </cell>
        </row>
        <row r="88">
          <cell r="K88">
            <v>0</v>
          </cell>
        </row>
        <row r="89">
          <cell r="K89">
            <v>-549393</v>
          </cell>
        </row>
        <row r="90">
          <cell r="K90">
            <v>-119974</v>
          </cell>
        </row>
        <row r="91">
          <cell r="K91">
            <v>-669367</v>
          </cell>
        </row>
        <row r="92">
          <cell r="K92">
            <v>10</v>
          </cell>
        </row>
        <row r="93">
          <cell r="K93">
            <v>0</v>
          </cell>
        </row>
        <row r="94">
          <cell r="K94">
            <v>638</v>
          </cell>
        </row>
        <row r="95">
          <cell r="K95">
            <v>1771805</v>
          </cell>
        </row>
        <row r="96">
          <cell r="K96">
            <v>1771805</v>
          </cell>
        </row>
        <row r="97">
          <cell r="K97">
            <v>138</v>
          </cell>
        </row>
        <row r="98">
          <cell r="K98">
            <v>234428</v>
          </cell>
        </row>
        <row r="99">
          <cell r="K99">
            <v>234428</v>
          </cell>
        </row>
        <row r="100">
          <cell r="K100">
            <v>0</v>
          </cell>
        </row>
        <row r="101">
          <cell r="K101">
            <v>39373</v>
          </cell>
        </row>
        <row r="102">
          <cell r="K102">
            <v>39373</v>
          </cell>
        </row>
        <row r="103">
          <cell r="K103">
            <v>35747724</v>
          </cell>
        </row>
        <row r="104">
          <cell r="K104">
            <v>295002</v>
          </cell>
        </row>
        <row r="105">
          <cell r="K105">
            <v>79932</v>
          </cell>
        </row>
        <row r="106">
          <cell r="K106">
            <v>0</v>
          </cell>
        </row>
        <row r="107">
          <cell r="K107">
            <v>12500</v>
          </cell>
        </row>
        <row r="108">
          <cell r="K108">
            <v>387434</v>
          </cell>
        </row>
        <row r="109">
          <cell r="K109">
            <v>3369425</v>
          </cell>
        </row>
        <row r="110">
          <cell r="K110">
            <v>28624</v>
          </cell>
        </row>
        <row r="111">
          <cell r="K111">
            <v>28624</v>
          </cell>
        </row>
        <row r="112">
          <cell r="K112">
            <v>30000000</v>
          </cell>
        </row>
        <row r="113">
          <cell r="K113">
            <v>30077</v>
          </cell>
        </row>
        <row r="114">
          <cell r="K114">
            <v>30077</v>
          </cell>
        </row>
        <row r="115">
          <cell r="K115">
            <v>0</v>
          </cell>
        </row>
        <row r="116">
          <cell r="K116">
            <v>0</v>
          </cell>
        </row>
        <row r="117">
          <cell r="K117">
            <v>0</v>
          </cell>
        </row>
        <row r="118">
          <cell r="K118">
            <v>0</v>
          </cell>
        </row>
        <row r="119">
          <cell r="K119">
            <v>366</v>
          </cell>
        </row>
        <row r="120">
          <cell r="K120">
            <v>366</v>
          </cell>
        </row>
        <row r="121">
          <cell r="K121">
            <v>54000000</v>
          </cell>
        </row>
        <row r="122">
          <cell r="K122">
            <v>140000</v>
          </cell>
        </row>
        <row r="123">
          <cell r="K123">
            <v>140000</v>
          </cell>
        </row>
        <row r="124">
          <cell r="K124">
            <v>0</v>
          </cell>
        </row>
        <row r="125">
          <cell r="K125">
            <v>4132</v>
          </cell>
        </row>
        <row r="126">
          <cell r="K126">
            <v>4132</v>
          </cell>
        </row>
        <row r="127">
          <cell r="K127">
            <v>0</v>
          </cell>
        </row>
        <row r="128">
          <cell r="K128">
            <v>30387</v>
          </cell>
        </row>
        <row r="129">
          <cell r="K129">
            <v>30387</v>
          </cell>
        </row>
        <row r="130">
          <cell r="K130">
            <v>0</v>
          </cell>
        </row>
        <row r="131">
          <cell r="K131">
            <v>0</v>
          </cell>
        </row>
        <row r="132">
          <cell r="K132">
            <v>0</v>
          </cell>
        </row>
        <row r="133">
          <cell r="K133">
            <v>0</v>
          </cell>
        </row>
        <row r="134">
          <cell r="K134">
            <v>92202</v>
          </cell>
        </row>
        <row r="135">
          <cell r="K135">
            <v>92202</v>
          </cell>
        </row>
        <row r="136">
          <cell r="K136">
            <v>0</v>
          </cell>
        </row>
        <row r="137">
          <cell r="K137">
            <v>0</v>
          </cell>
        </row>
        <row r="138">
          <cell r="K138">
            <v>0</v>
          </cell>
        </row>
        <row r="139">
          <cell r="K139">
            <v>0</v>
          </cell>
        </row>
        <row r="140">
          <cell r="K140">
            <v>7638750</v>
          </cell>
        </row>
        <row r="141">
          <cell r="K141">
            <v>0</v>
          </cell>
        </row>
        <row r="142">
          <cell r="K142">
            <v>0</v>
          </cell>
        </row>
        <row r="143">
          <cell r="K143">
            <v>0</v>
          </cell>
        </row>
        <row r="144">
          <cell r="K144">
            <v>0</v>
          </cell>
        </row>
        <row r="145">
          <cell r="K145">
            <v>0</v>
          </cell>
        </row>
        <row r="146">
          <cell r="K146">
            <v>0</v>
          </cell>
        </row>
        <row r="147">
          <cell r="K147">
            <v>0</v>
          </cell>
        </row>
        <row r="148">
          <cell r="K148">
            <v>0</v>
          </cell>
        </row>
        <row r="149">
          <cell r="K149">
            <v>12304848</v>
          </cell>
        </row>
        <row r="150">
          <cell r="K150">
            <v>0</v>
          </cell>
        </row>
        <row r="151">
          <cell r="K151">
            <v>32768</v>
          </cell>
        </row>
        <row r="152">
          <cell r="K152">
            <v>1</v>
          </cell>
        </row>
        <row r="153">
          <cell r="K153">
            <v>-1</v>
          </cell>
        </row>
        <row r="154">
          <cell r="K154">
            <v>767584</v>
          </cell>
        </row>
        <row r="155">
          <cell r="K155">
            <v>611247</v>
          </cell>
        </row>
        <row r="156">
          <cell r="K156">
            <v>1411599</v>
          </cell>
        </row>
        <row r="157">
          <cell r="K157">
            <v>0</v>
          </cell>
        </row>
        <row r="158">
          <cell r="K158">
            <v>835838</v>
          </cell>
        </row>
        <row r="159">
          <cell r="K159">
            <v>126600</v>
          </cell>
        </row>
        <row r="160">
          <cell r="K160">
            <v>0</v>
          </cell>
        </row>
        <row r="161">
          <cell r="K161">
            <v>962438</v>
          </cell>
        </row>
        <row r="162">
          <cell r="K162">
            <v>0</v>
          </cell>
        </row>
        <row r="163">
          <cell r="K163">
            <v>0</v>
          </cell>
        </row>
        <row r="164">
          <cell r="K164">
            <v>0</v>
          </cell>
        </row>
        <row r="165">
          <cell r="K165">
            <v>0</v>
          </cell>
        </row>
        <row r="166">
          <cell r="K166">
            <v>100000</v>
          </cell>
        </row>
        <row r="167">
          <cell r="K167">
            <v>3500000</v>
          </cell>
        </row>
        <row r="168">
          <cell r="K168">
            <v>0</v>
          </cell>
        </row>
        <row r="169">
          <cell r="K169">
            <v>3600000</v>
          </cell>
        </row>
        <row r="170">
          <cell r="K170">
            <v>0</v>
          </cell>
        </row>
        <row r="171">
          <cell r="K171">
            <v>0</v>
          </cell>
        </row>
        <row r="172">
          <cell r="K172">
            <v>0</v>
          </cell>
        </row>
        <row r="173">
          <cell r="K173">
            <v>27279</v>
          </cell>
        </row>
        <row r="174">
          <cell r="K174">
            <v>0</v>
          </cell>
        </row>
        <row r="175">
          <cell r="K175">
            <v>-1</v>
          </cell>
        </row>
        <row r="176">
          <cell r="K176">
            <v>12</v>
          </cell>
        </row>
        <row r="177">
          <cell r="K177">
            <v>0</v>
          </cell>
        </row>
        <row r="178">
          <cell r="K178">
            <v>0</v>
          </cell>
        </row>
        <row r="179">
          <cell r="K179">
            <v>0</v>
          </cell>
        </row>
        <row r="180">
          <cell r="K180">
            <v>0</v>
          </cell>
        </row>
        <row r="181">
          <cell r="K181">
            <v>0</v>
          </cell>
        </row>
        <row r="182">
          <cell r="K182">
            <v>0</v>
          </cell>
        </row>
        <row r="183">
          <cell r="K183">
            <v>0</v>
          </cell>
        </row>
        <row r="184">
          <cell r="K184">
            <v>0</v>
          </cell>
        </row>
        <row r="185">
          <cell r="K185">
            <v>0</v>
          </cell>
        </row>
        <row r="186">
          <cell r="K186">
            <v>0</v>
          </cell>
        </row>
        <row r="187">
          <cell r="K187">
            <v>2</v>
          </cell>
        </row>
        <row r="188">
          <cell r="K188">
            <v>0</v>
          </cell>
        </row>
        <row r="189">
          <cell r="K189">
            <v>0</v>
          </cell>
        </row>
        <row r="190">
          <cell r="K190">
            <v>14</v>
          </cell>
        </row>
        <row r="191">
          <cell r="K191">
            <v>0</v>
          </cell>
        </row>
        <row r="192">
          <cell r="K192">
            <v>-36704872</v>
          </cell>
        </row>
        <row r="193">
          <cell r="K193">
            <v>-11508656</v>
          </cell>
        </row>
        <row r="194">
          <cell r="K194">
            <v>-48213528</v>
          </cell>
        </row>
        <row r="195">
          <cell r="K195">
            <v>0</v>
          </cell>
        </row>
        <row r="196">
          <cell r="K196">
            <v>-4673050</v>
          </cell>
        </row>
        <row r="197">
          <cell r="K197">
            <v>1</v>
          </cell>
        </row>
        <row r="198">
          <cell r="K198">
            <v>0</v>
          </cell>
        </row>
        <row r="199">
          <cell r="K199">
            <v>-561511</v>
          </cell>
        </row>
        <row r="200">
          <cell r="K200">
            <v>-62303</v>
          </cell>
        </row>
        <row r="201">
          <cell r="K201">
            <v>-5296863</v>
          </cell>
        </row>
        <row r="202">
          <cell r="K202">
            <v>0</v>
          </cell>
        </row>
        <row r="203">
          <cell r="K203">
            <v>0</v>
          </cell>
        </row>
        <row r="204">
          <cell r="K204">
            <v>-17470</v>
          </cell>
        </row>
        <row r="205">
          <cell r="K205">
            <v>0</v>
          </cell>
        </row>
        <row r="206">
          <cell r="K206">
            <v>0</v>
          </cell>
        </row>
        <row r="207">
          <cell r="K207">
            <v>1</v>
          </cell>
        </row>
        <row r="208">
          <cell r="K208">
            <v>0</v>
          </cell>
        </row>
        <row r="209">
          <cell r="K209">
            <v>-10631</v>
          </cell>
        </row>
        <row r="210">
          <cell r="K210">
            <v>0</v>
          </cell>
        </row>
        <row r="211">
          <cell r="K211">
            <v>0</v>
          </cell>
        </row>
        <row r="212">
          <cell r="K212">
            <v>1</v>
          </cell>
        </row>
        <row r="213">
          <cell r="K213">
            <v>0</v>
          </cell>
        </row>
        <row r="214">
          <cell r="K214">
            <v>0</v>
          </cell>
        </row>
        <row r="215">
          <cell r="K215">
            <v>-28099</v>
          </cell>
        </row>
        <row r="216">
          <cell r="K216">
            <v>0</v>
          </cell>
        </row>
        <row r="217">
          <cell r="K217">
            <v>-237965</v>
          </cell>
        </row>
        <row r="218">
          <cell r="K218">
            <v>-237965</v>
          </cell>
        </row>
        <row r="219">
          <cell r="K219">
            <v>-1574139</v>
          </cell>
        </row>
        <row r="220">
          <cell r="K220">
            <v>-1470685</v>
          </cell>
        </row>
        <row r="221">
          <cell r="K221">
            <v>-1470685</v>
          </cell>
        </row>
        <row r="222">
          <cell r="K222">
            <v>0</v>
          </cell>
        </row>
        <row r="223">
          <cell r="K223">
            <v>0</v>
          </cell>
        </row>
        <row r="224">
          <cell r="K224">
            <v>-9991</v>
          </cell>
        </row>
        <row r="225">
          <cell r="K225">
            <v>-21</v>
          </cell>
        </row>
        <row r="226">
          <cell r="K226">
            <v>-102664</v>
          </cell>
        </row>
        <row r="227">
          <cell r="K227">
            <v>0</v>
          </cell>
        </row>
        <row r="228">
          <cell r="K228">
            <v>0</v>
          </cell>
        </row>
        <row r="229">
          <cell r="K229">
            <v>0</v>
          </cell>
        </row>
        <row r="230">
          <cell r="K230">
            <v>0</v>
          </cell>
        </row>
        <row r="231">
          <cell r="K231">
            <v>-1</v>
          </cell>
        </row>
        <row r="232">
          <cell r="K232">
            <v>-24819</v>
          </cell>
        </row>
        <row r="233">
          <cell r="K233">
            <v>-1</v>
          </cell>
        </row>
        <row r="234">
          <cell r="K234">
            <v>-96</v>
          </cell>
        </row>
        <row r="235">
          <cell r="K235">
            <v>-9350</v>
          </cell>
        </row>
        <row r="236">
          <cell r="K236">
            <v>4</v>
          </cell>
        </row>
        <row r="237">
          <cell r="K237">
            <v>1</v>
          </cell>
        </row>
        <row r="238">
          <cell r="K238">
            <v>-15323</v>
          </cell>
        </row>
        <row r="239">
          <cell r="K239">
            <v>-8832</v>
          </cell>
        </row>
        <row r="240">
          <cell r="K240">
            <v>-99644</v>
          </cell>
        </row>
        <row r="241">
          <cell r="K241">
            <v>-109976</v>
          </cell>
        </row>
        <row r="242">
          <cell r="K242">
            <v>-30351</v>
          </cell>
        </row>
        <row r="243">
          <cell r="K243">
            <v>0</v>
          </cell>
        </row>
        <row r="244">
          <cell r="K244">
            <v>0</v>
          </cell>
        </row>
        <row r="245">
          <cell r="K245">
            <v>0</v>
          </cell>
        </row>
        <row r="246">
          <cell r="K246">
            <v>0</v>
          </cell>
        </row>
        <row r="247">
          <cell r="K247">
            <v>-159001</v>
          </cell>
        </row>
        <row r="248">
          <cell r="K248">
            <v>-4825</v>
          </cell>
        </row>
        <row r="249">
          <cell r="K249">
            <v>-308680</v>
          </cell>
        </row>
        <row r="250">
          <cell r="K250">
            <v>0</v>
          </cell>
        </row>
        <row r="251">
          <cell r="K251">
            <v>-2712</v>
          </cell>
        </row>
        <row r="252">
          <cell r="K252">
            <v>-3254</v>
          </cell>
        </row>
        <row r="253">
          <cell r="K253">
            <v>0</v>
          </cell>
        </row>
        <row r="254">
          <cell r="K254">
            <v>-1</v>
          </cell>
        </row>
        <row r="255">
          <cell r="K255">
            <v>0</v>
          </cell>
        </row>
        <row r="256">
          <cell r="K256">
            <v>0</v>
          </cell>
        </row>
        <row r="257">
          <cell r="K257">
            <v>-889537</v>
          </cell>
        </row>
        <row r="258">
          <cell r="K258">
            <v>1</v>
          </cell>
        </row>
        <row r="259">
          <cell r="K259">
            <v>0</v>
          </cell>
        </row>
        <row r="260">
          <cell r="K260">
            <v>-43805</v>
          </cell>
        </row>
        <row r="261">
          <cell r="K261">
            <v>-43805</v>
          </cell>
        </row>
        <row r="262">
          <cell r="K262">
            <v>-1</v>
          </cell>
        </row>
        <row r="263">
          <cell r="K263">
            <v>-3203512890</v>
          </cell>
        </row>
        <row r="264">
          <cell r="K264">
            <v>-255000000</v>
          </cell>
        </row>
        <row r="265">
          <cell r="K265">
            <v>0</v>
          </cell>
        </row>
        <row r="266">
          <cell r="K266">
            <v>0</v>
          </cell>
        </row>
        <row r="267">
          <cell r="K267">
            <v>0</v>
          </cell>
        </row>
        <row r="268">
          <cell r="K268">
            <v>1928129255</v>
          </cell>
        </row>
        <row r="269">
          <cell r="K269">
            <v>123788</v>
          </cell>
        </row>
        <row r="270">
          <cell r="K270">
            <v>-1530259847</v>
          </cell>
        </row>
        <row r="271">
          <cell r="K271">
            <v>-3</v>
          </cell>
        </row>
        <row r="272">
          <cell r="K272">
            <v>-125757195</v>
          </cell>
        </row>
        <row r="273">
          <cell r="K273">
            <v>-125757195</v>
          </cell>
        </row>
        <row r="274">
          <cell r="K274">
            <v>-1</v>
          </cell>
        </row>
        <row r="275">
          <cell r="K275">
            <v>0</v>
          </cell>
        </row>
        <row r="276">
          <cell r="K276">
            <v>-3930750</v>
          </cell>
        </row>
        <row r="277">
          <cell r="K277">
            <v>0</v>
          </cell>
        </row>
        <row r="278">
          <cell r="K278">
            <v>0</v>
          </cell>
        </row>
        <row r="279">
          <cell r="K279">
            <v>-956500</v>
          </cell>
        </row>
        <row r="280">
          <cell r="K280">
            <v>0</v>
          </cell>
        </row>
        <row r="281">
          <cell r="K281">
            <v>-999450</v>
          </cell>
        </row>
        <row r="282">
          <cell r="K282">
            <v>0</v>
          </cell>
        </row>
        <row r="283">
          <cell r="K283">
            <v>0</v>
          </cell>
        </row>
        <row r="284">
          <cell r="K284">
            <v>0</v>
          </cell>
        </row>
        <row r="285">
          <cell r="K285">
            <v>-287500</v>
          </cell>
        </row>
        <row r="286">
          <cell r="K286">
            <v>-3533300</v>
          </cell>
        </row>
        <row r="287">
          <cell r="K287">
            <v>0</v>
          </cell>
        </row>
        <row r="288">
          <cell r="K288">
            <v>-8861395</v>
          </cell>
        </row>
        <row r="289">
          <cell r="K289">
            <v>0</v>
          </cell>
        </row>
        <row r="290">
          <cell r="K290">
            <v>-210000</v>
          </cell>
        </row>
        <row r="291">
          <cell r="K291">
            <v>-1349250</v>
          </cell>
        </row>
        <row r="292">
          <cell r="K292">
            <v>0</v>
          </cell>
        </row>
        <row r="293">
          <cell r="K293">
            <v>0</v>
          </cell>
        </row>
        <row r="294">
          <cell r="K294">
            <v>0</v>
          </cell>
        </row>
        <row r="295">
          <cell r="K295">
            <v>0</v>
          </cell>
        </row>
        <row r="296">
          <cell r="K296">
            <v>-733400</v>
          </cell>
        </row>
        <row r="297">
          <cell r="K297">
            <v>-5822750</v>
          </cell>
        </row>
        <row r="298">
          <cell r="K298">
            <v>-1800000</v>
          </cell>
        </row>
        <row r="299">
          <cell r="K299">
            <v>-1188850</v>
          </cell>
        </row>
        <row r="300">
          <cell r="K300">
            <v>0</v>
          </cell>
        </row>
        <row r="301">
          <cell r="K301">
            <v>-12288750</v>
          </cell>
        </row>
        <row r="302">
          <cell r="K302">
            <v>-1125000</v>
          </cell>
        </row>
        <row r="303">
          <cell r="K303">
            <v>-226350</v>
          </cell>
        </row>
        <row r="304">
          <cell r="K304">
            <v>0</v>
          </cell>
        </row>
        <row r="305">
          <cell r="K305">
            <v>-648375</v>
          </cell>
        </row>
        <row r="306">
          <cell r="K306">
            <v>-102000</v>
          </cell>
        </row>
        <row r="307">
          <cell r="K307">
            <v>-1281750</v>
          </cell>
        </row>
        <row r="308">
          <cell r="K308">
            <v>0</v>
          </cell>
        </row>
        <row r="309">
          <cell r="K309">
            <v>0</v>
          </cell>
        </row>
        <row r="310">
          <cell r="K310">
            <v>-401775</v>
          </cell>
        </row>
        <row r="311">
          <cell r="K311">
            <v>0</v>
          </cell>
        </row>
        <row r="312">
          <cell r="K312">
            <v>0</v>
          </cell>
        </row>
        <row r="313">
          <cell r="K313">
            <v>-900000</v>
          </cell>
        </row>
        <row r="314">
          <cell r="K314">
            <v>-400</v>
          </cell>
        </row>
        <row r="315">
          <cell r="K315">
            <v>-375000</v>
          </cell>
        </row>
        <row r="316">
          <cell r="K316">
            <v>0</v>
          </cell>
        </row>
        <row r="317">
          <cell r="K317">
            <v>0</v>
          </cell>
        </row>
        <row r="318">
          <cell r="K318">
            <v>0</v>
          </cell>
        </row>
        <row r="319">
          <cell r="K319">
            <v>-47022545</v>
          </cell>
        </row>
        <row r="320">
          <cell r="K320">
            <v>-900000</v>
          </cell>
        </row>
        <row r="321">
          <cell r="K321">
            <v>-140424306</v>
          </cell>
        </row>
        <row r="322">
          <cell r="K322">
            <v>-140424306</v>
          </cell>
        </row>
        <row r="323">
          <cell r="K323">
            <v>-61750</v>
          </cell>
        </row>
        <row r="324">
          <cell r="K324">
            <v>-3437732</v>
          </cell>
        </row>
        <row r="325">
          <cell r="K325">
            <v>-146191</v>
          </cell>
        </row>
        <row r="326">
          <cell r="K326">
            <v>0</v>
          </cell>
        </row>
        <row r="327">
          <cell r="K327">
            <v>-2636726</v>
          </cell>
        </row>
        <row r="328">
          <cell r="K328">
            <v>-13991289</v>
          </cell>
        </row>
        <row r="329">
          <cell r="K329">
            <v>-20211938</v>
          </cell>
        </row>
        <row r="330">
          <cell r="K330">
            <v>-10499318</v>
          </cell>
        </row>
        <row r="331">
          <cell r="K331">
            <v>0</v>
          </cell>
        </row>
        <row r="332">
          <cell r="K332">
            <v>0</v>
          </cell>
        </row>
        <row r="333">
          <cell r="K333">
            <v>-1349250</v>
          </cell>
        </row>
        <row r="334">
          <cell r="K334">
            <v>-756625</v>
          </cell>
        </row>
        <row r="335">
          <cell r="K335">
            <v>-756625</v>
          </cell>
        </row>
        <row r="336">
          <cell r="K336">
            <v>0</v>
          </cell>
        </row>
        <row r="337">
          <cell r="K337">
            <v>-942437</v>
          </cell>
        </row>
        <row r="338">
          <cell r="K338">
            <v>-942437</v>
          </cell>
        </row>
        <row r="339">
          <cell r="K339">
            <v>0</v>
          </cell>
        </row>
        <row r="340">
          <cell r="K340">
            <v>0</v>
          </cell>
        </row>
        <row r="341">
          <cell r="K341">
            <v>0</v>
          </cell>
        </row>
        <row r="342">
          <cell r="K342">
            <v>0</v>
          </cell>
        </row>
        <row r="343">
          <cell r="K343">
            <v>0</v>
          </cell>
        </row>
        <row r="344">
          <cell r="K344">
            <v>0</v>
          </cell>
        </row>
        <row r="345">
          <cell r="K345">
            <v>-467790</v>
          </cell>
        </row>
        <row r="346">
          <cell r="K346">
            <v>-415208943</v>
          </cell>
        </row>
        <row r="347">
          <cell r="K347">
            <v>264821223</v>
          </cell>
        </row>
        <row r="348">
          <cell r="K348">
            <v>-150387720</v>
          </cell>
        </row>
        <row r="349">
          <cell r="K349">
            <v>-630000</v>
          </cell>
        </row>
        <row r="350">
          <cell r="K350">
            <v>118131736</v>
          </cell>
        </row>
        <row r="351">
          <cell r="K351">
            <v>0</v>
          </cell>
        </row>
        <row r="352">
          <cell r="K352">
            <v>0</v>
          </cell>
        </row>
        <row r="353">
          <cell r="K353">
            <v>118131736</v>
          </cell>
        </row>
        <row r="354">
          <cell r="K354">
            <v>0</v>
          </cell>
        </row>
        <row r="355">
          <cell r="K355">
            <v>0</v>
          </cell>
        </row>
        <row r="356">
          <cell r="K356">
            <v>0</v>
          </cell>
        </row>
        <row r="357">
          <cell r="K357">
            <v>0</v>
          </cell>
        </row>
        <row r="358">
          <cell r="K358">
            <v>44120552</v>
          </cell>
        </row>
        <row r="359">
          <cell r="K359">
            <v>44120552</v>
          </cell>
        </row>
        <row r="360">
          <cell r="K360">
            <v>-426250</v>
          </cell>
        </row>
        <row r="361">
          <cell r="K361">
            <v>2469331</v>
          </cell>
        </row>
        <row r="362">
          <cell r="K362">
            <v>2469331</v>
          </cell>
        </row>
        <row r="363">
          <cell r="K363">
            <v>0</v>
          </cell>
        </row>
        <row r="364">
          <cell r="K364">
            <v>1470685</v>
          </cell>
        </row>
        <row r="365">
          <cell r="K365">
            <v>1470685</v>
          </cell>
        </row>
        <row r="366">
          <cell r="K366">
            <v>-56740135</v>
          </cell>
        </row>
        <row r="367">
          <cell r="K367">
            <v>578016</v>
          </cell>
        </row>
        <row r="368">
          <cell r="K368">
            <v>828626</v>
          </cell>
        </row>
        <row r="369">
          <cell r="K369">
            <v>333676</v>
          </cell>
        </row>
        <row r="370">
          <cell r="K370">
            <v>0</v>
          </cell>
        </row>
        <row r="371">
          <cell r="K371">
            <v>591773</v>
          </cell>
        </row>
        <row r="372">
          <cell r="K372">
            <v>866101</v>
          </cell>
        </row>
        <row r="373">
          <cell r="K373">
            <v>0</v>
          </cell>
        </row>
        <row r="374">
          <cell r="K374">
            <v>288983</v>
          </cell>
        </row>
        <row r="375">
          <cell r="K375">
            <v>102666</v>
          </cell>
        </row>
        <row r="376">
          <cell r="K376">
            <v>486484</v>
          </cell>
        </row>
        <row r="377">
          <cell r="K377">
            <v>457979</v>
          </cell>
        </row>
        <row r="378">
          <cell r="K378">
            <v>8250</v>
          </cell>
        </row>
        <row r="379">
          <cell r="K379">
            <v>406385</v>
          </cell>
        </row>
        <row r="380">
          <cell r="K380">
            <v>233973</v>
          </cell>
        </row>
        <row r="381">
          <cell r="K381">
            <v>536045</v>
          </cell>
        </row>
        <row r="382">
          <cell r="K382">
            <v>24859</v>
          </cell>
        </row>
        <row r="383">
          <cell r="K383">
            <v>492087</v>
          </cell>
        </row>
        <row r="384">
          <cell r="K384">
            <v>478681</v>
          </cell>
        </row>
        <row r="385">
          <cell r="K385">
            <v>6000</v>
          </cell>
        </row>
        <row r="386">
          <cell r="K386">
            <v>81803</v>
          </cell>
        </row>
        <row r="387">
          <cell r="K387">
            <v>8230</v>
          </cell>
        </row>
        <row r="388">
          <cell r="K388">
            <v>55630</v>
          </cell>
        </row>
        <row r="389">
          <cell r="K389">
            <v>0</v>
          </cell>
        </row>
        <row r="390">
          <cell r="K390">
            <v>0</v>
          </cell>
        </row>
        <row r="391">
          <cell r="K391">
            <v>6866247</v>
          </cell>
        </row>
        <row r="392">
          <cell r="K392">
            <v>-103397</v>
          </cell>
        </row>
        <row r="393">
          <cell r="K393">
            <v>0</v>
          </cell>
        </row>
        <row r="394">
          <cell r="K394">
            <v>-312345200</v>
          </cell>
        </row>
        <row r="395">
          <cell r="K395">
            <v>13999</v>
          </cell>
        </row>
        <row r="396">
          <cell r="K396">
            <v>13999</v>
          </cell>
        </row>
        <row r="397">
          <cell r="K397">
            <v>330485923</v>
          </cell>
        </row>
        <row r="398">
          <cell r="K398">
            <v>0</v>
          </cell>
        </row>
        <row r="399">
          <cell r="K399">
            <v>0</v>
          </cell>
        </row>
        <row r="400">
          <cell r="K400">
            <v>333469883</v>
          </cell>
        </row>
        <row r="401">
          <cell r="K401">
            <v>189501</v>
          </cell>
        </row>
        <row r="402">
          <cell r="K402">
            <v>189501</v>
          </cell>
        </row>
        <row r="403">
          <cell r="K403">
            <v>0</v>
          </cell>
        </row>
        <row r="404">
          <cell r="K404">
            <v>0</v>
          </cell>
        </row>
        <row r="405">
          <cell r="K405">
            <v>34494041</v>
          </cell>
        </row>
        <row r="406">
          <cell r="K406">
            <v>0</v>
          </cell>
        </row>
        <row r="407">
          <cell r="K407">
            <v>-460045</v>
          </cell>
        </row>
        <row r="408">
          <cell r="K408">
            <v>2048515</v>
          </cell>
        </row>
        <row r="409">
          <cell r="K409">
            <v>2048515</v>
          </cell>
        </row>
        <row r="410">
          <cell r="K410">
            <v>2048515</v>
          </cell>
        </row>
        <row r="411">
          <cell r="K411">
            <v>1122921</v>
          </cell>
        </row>
        <row r="412">
          <cell r="K412">
            <v>1122921</v>
          </cell>
        </row>
        <row r="413">
          <cell r="K413">
            <v>1122921</v>
          </cell>
        </row>
        <row r="414">
          <cell r="K414">
            <v>75285</v>
          </cell>
        </row>
        <row r="415">
          <cell r="K415">
            <v>0</v>
          </cell>
        </row>
        <row r="416">
          <cell r="K416">
            <v>234119</v>
          </cell>
        </row>
        <row r="417">
          <cell r="K417">
            <v>92535</v>
          </cell>
        </row>
        <row r="418">
          <cell r="K418">
            <v>9000</v>
          </cell>
        </row>
        <row r="419">
          <cell r="K419">
            <v>66876</v>
          </cell>
        </row>
        <row r="420">
          <cell r="K420">
            <v>114730</v>
          </cell>
        </row>
        <row r="421">
          <cell r="K421">
            <v>329</v>
          </cell>
        </row>
        <row r="422">
          <cell r="K422">
            <v>140394</v>
          </cell>
        </row>
        <row r="423">
          <cell r="K423">
            <v>18860</v>
          </cell>
        </row>
        <row r="424">
          <cell r="K424">
            <v>27451</v>
          </cell>
        </row>
        <row r="425">
          <cell r="K425">
            <v>141903</v>
          </cell>
        </row>
        <row r="426">
          <cell r="K426">
            <v>33999</v>
          </cell>
        </row>
        <row r="427">
          <cell r="K427">
            <v>102175</v>
          </cell>
        </row>
        <row r="428">
          <cell r="K428">
            <v>0</v>
          </cell>
        </row>
        <row r="429">
          <cell r="K429">
            <v>250707</v>
          </cell>
        </row>
        <row r="430">
          <cell r="K430">
            <v>7747</v>
          </cell>
        </row>
        <row r="431">
          <cell r="K431">
            <v>172158</v>
          </cell>
        </row>
        <row r="432">
          <cell r="K432">
            <v>48072</v>
          </cell>
        </row>
        <row r="433">
          <cell r="K433">
            <v>0</v>
          </cell>
        </row>
        <row r="434">
          <cell r="K434">
            <v>2862</v>
          </cell>
        </row>
        <row r="435">
          <cell r="K435">
            <v>26170</v>
          </cell>
        </row>
        <row r="436">
          <cell r="K436">
            <v>27015</v>
          </cell>
        </row>
        <row r="437">
          <cell r="K437">
            <v>212539</v>
          </cell>
        </row>
        <row r="438">
          <cell r="K438">
            <v>43305</v>
          </cell>
        </row>
        <row r="439">
          <cell r="K439">
            <v>0</v>
          </cell>
        </row>
        <row r="440">
          <cell r="K440">
            <v>0</v>
          </cell>
        </row>
        <row r="441">
          <cell r="K441">
            <v>0</v>
          </cell>
        </row>
        <row r="442">
          <cell r="K442">
            <v>0</v>
          </cell>
        </row>
        <row r="443">
          <cell r="K443">
            <v>0</v>
          </cell>
        </row>
        <row r="444">
          <cell r="K444">
            <v>0</v>
          </cell>
        </row>
        <row r="445">
          <cell r="K445">
            <v>0</v>
          </cell>
        </row>
        <row r="446">
          <cell r="K446">
            <v>0</v>
          </cell>
        </row>
        <row r="447">
          <cell r="K447">
            <v>1848231</v>
          </cell>
        </row>
        <row r="448">
          <cell r="K448">
            <v>0</v>
          </cell>
        </row>
        <row r="449">
          <cell r="K449">
            <v>0</v>
          </cell>
        </row>
        <row r="451">
          <cell r="K451">
            <v>0</v>
          </cell>
        </row>
        <row r="452">
          <cell r="K452">
            <v>0</v>
          </cell>
        </row>
        <row r="453">
          <cell r="K453">
            <v>0</v>
          </cell>
        </row>
        <row r="454">
          <cell r="K454">
            <v>0</v>
          </cell>
        </row>
        <row r="455">
          <cell r="K455">
            <v>0</v>
          </cell>
        </row>
        <row r="456">
          <cell r="K456">
            <v>0</v>
          </cell>
        </row>
        <row r="457">
          <cell r="K457">
            <v>240000</v>
          </cell>
        </row>
        <row r="458">
          <cell r="K458">
            <v>240000</v>
          </cell>
        </row>
        <row r="459">
          <cell r="K459">
            <v>240000</v>
          </cell>
        </row>
        <row r="460">
          <cell r="K460">
            <v>0</v>
          </cell>
        </row>
        <row r="462">
          <cell r="K462">
            <v>0</v>
          </cell>
        </row>
        <row r="464">
          <cell r="K464">
            <v>56398</v>
          </cell>
        </row>
        <row r="465">
          <cell r="K465">
            <v>57588</v>
          </cell>
        </row>
        <row r="466">
          <cell r="K466">
            <v>0</v>
          </cell>
        </row>
        <row r="467">
          <cell r="K467">
            <v>50000</v>
          </cell>
        </row>
        <row r="468">
          <cell r="K468">
            <v>35000</v>
          </cell>
        </row>
        <row r="469">
          <cell r="K469">
            <v>0</v>
          </cell>
        </row>
        <row r="470">
          <cell r="K470">
            <v>36380</v>
          </cell>
        </row>
        <row r="471">
          <cell r="K471">
            <v>140288</v>
          </cell>
        </row>
        <row r="472">
          <cell r="K472">
            <v>0</v>
          </cell>
        </row>
        <row r="473">
          <cell r="K473">
            <v>0</v>
          </cell>
        </row>
        <row r="474">
          <cell r="K474">
            <v>0</v>
          </cell>
        </row>
        <row r="475">
          <cell r="K475">
            <v>298558</v>
          </cell>
        </row>
        <row r="476">
          <cell r="K476">
            <v>674212</v>
          </cell>
        </row>
        <row r="477">
          <cell r="K477">
            <v>0</v>
          </cell>
        </row>
        <row r="478">
          <cell r="K478">
            <v>674212</v>
          </cell>
        </row>
        <row r="480">
          <cell r="K480">
            <v>0</v>
          </cell>
        </row>
        <row r="481">
          <cell r="K481">
            <v>0</v>
          </cell>
        </row>
        <row r="482">
          <cell r="K482">
            <v>0</v>
          </cell>
        </row>
      </sheetData>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polate _ _200"/>
      <sheetName val="E_Learn Simulation"/>
      <sheetName val="Documentation"/>
      <sheetName val="CC"/>
      <sheetName val="First Sample Results"/>
      <sheetName val="Target Testing_AFS_ _2_"/>
      <sheetName val="HFT valuation (final)"/>
      <sheetName val="marked to market (hft)"/>
      <sheetName val="CDC Reconciliation _2_"/>
      <sheetName val="marked to market(afs)"/>
      <sheetName val="afs valuation (Final)"/>
      <sheetName val="unrealised gain or (loss)"/>
      <sheetName val="right shares"/>
      <sheetName val="bonus working"/>
      <sheetName val="market value"/>
      <sheetName val="cum dividend "/>
      <sheetName val="market value (own sheet)"/>
      <sheetName val="Moving Average _HFT_ "/>
      <sheetName val="dividend"/>
      <sheetName val="Margin"/>
      <sheetName val="Target Testing_CG_"/>
      <sheetName val="Target Testing_Der_"/>
      <sheetName val="Unprotected Worksheet"/>
      <sheetName val="Extended Sample Tables"/>
      <sheetName val="Required Documentation"/>
      <sheetName val="CDC Reconciliation"/>
      <sheetName val="Compatibility Report"/>
      <sheetName val="Capital-US$"/>
      <sheetName val="Sheet1"/>
      <sheetName val="BAHRAIN"/>
      <sheetName val="Note-14"/>
      <sheetName val="DOHA QATAR "/>
      <sheetName val="PAKISTAN"/>
      <sheetName val="UAE"/>
      <sheetName val="Brokers"/>
      <sheetName val="OS_Purchase"/>
      <sheetName val="Purchase"/>
      <sheetName val="Sale"/>
      <sheetName val="Symbols"/>
      <sheetName val="rate "/>
      <sheetName val="Interpolate____200"/>
      <sheetName val="E_Learn_Simulation"/>
      <sheetName val="First_Sample_Results"/>
      <sheetName val="Target_Testing_AFS___2_"/>
      <sheetName val="HFT_valuation_(final)"/>
      <sheetName val="marked_to_market_(hft)"/>
      <sheetName val="CDC_Reconciliation__2_"/>
      <sheetName val="marked_to_market(afs)"/>
      <sheetName val="afs_valuation_(Final)"/>
      <sheetName val="unrealised_gain_or_(loss)"/>
      <sheetName val="right_shares"/>
      <sheetName val="bonus_working"/>
      <sheetName val="market_value"/>
      <sheetName val="cum_dividend_"/>
      <sheetName val="market_value_(own_sheet)"/>
      <sheetName val="Moving_Average__HFT__"/>
      <sheetName val="Target_Testing_CG_"/>
      <sheetName val="Target_Testing_Der_"/>
      <sheetName val="Unprotected_Worksheet"/>
      <sheetName val="Extended_Sample_Tables"/>
      <sheetName val="Required_Documentation"/>
      <sheetName val="CDC_Reconciliation"/>
      <sheetName val="Compatibility_Repor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1_5_old_"/>
      <sheetName val="000"/>
      <sheetName val="Balance Sheet"/>
      <sheetName val="p&amp;l"/>
      <sheetName val="CashFlow"/>
      <sheetName val="Statement of Ch"/>
      <sheetName val="Notes1-5(old)"/>
      <sheetName val="Note6-8.2"/>
      <sheetName val="Note9-9.6"/>
      <sheetName val="Note 9.7-9.9"/>
      <sheetName val="Notes10-10.6"/>
      <sheetName val="11-11.4"/>
      <sheetName val="Note 12 "/>
      <sheetName val="Note12.3-17.1"/>
      <sheetName val="Note19-21.1"/>
      <sheetName val="Note21.2-22"/>
      <sheetName val="Notes23-25.1"/>
      <sheetName val="Notes25.2-31"/>
      <sheetName val="Notes32-33"/>
      <sheetName val="Notes34-35"/>
      <sheetName val="Notes36-36.2"/>
      <sheetName val="Notes37-41"/>
      <sheetName val="Note 45"/>
      <sheetName val="Notes(New)39-40"/>
      <sheetName val="Annexure (3)"/>
      <sheetName val="TaxWDVJul-Dec02"/>
      <sheetName val="AUDITADJUST"/>
      <sheetName val="EFFECT"/>
      <sheetName val="Assets 2002"/>
      <sheetName val="Note 9.7-9.8 (2)"/>
      <sheetName val="Liabiliteis 2002"/>
      <sheetName val="P&amp;L 2002"/>
      <sheetName val="Sheet1 (3)"/>
      <sheetName val="NEWAD"/>
      <sheetName val="SBP-Staggering"/>
      <sheetName val="Computa.Tax"/>
      <sheetName val="Notes1-5"/>
      <sheetName val="Notes42.2-44"/>
      <sheetName val="Com.TaxJul-Dec01"/>
      <sheetName val="Computa.Tax (2)"/>
      <sheetName val="Sheet8"/>
      <sheetName val="D Tax2002"/>
      <sheetName val="WKGJul-Dec01"/>
      <sheetName val="Note 12(3)"/>
      <sheetName val="Guarantee"/>
      <sheetName val="reginal"/>
      <sheetName val="pinex"/>
      <sheetName val="Currency-expo"/>
      <sheetName val="Annexure"/>
      <sheetName val="affair"/>
      <sheetName val="Change Note"/>
      <sheetName val="Change Note 2"/>
      <sheetName val="inc-exp"/>
      <sheetName val="YieldAd"/>
      <sheetName val="YieldAd-net"/>
      <sheetName val="MaturLiabili"/>
      <sheetName val="MaturiAssets"/>
      <sheetName val="Sheet1 (4)"/>
      <sheetName val="YielDeposit"/>
      <sheetName val="Sheet1"/>
      <sheetName val="summary (3)"/>
      <sheetName val="Sheet2"/>
      <sheetName val="Sheet3"/>
      <sheetName val="Sheet6"/>
      <sheetName val="pinex (2)"/>
      <sheetName val="Annexure (2)"/>
      <sheetName val="Guarteee"/>
      <sheetName val="Sheet7"/>
      <sheetName val="Assets (2)"/>
      <sheetName val="summary (2)"/>
      <sheetName val="Deferred (2)"/>
      <sheetName val="Taxrelief"/>
      <sheetName val="OLD"/>
      <sheetName val="Assets"/>
      <sheetName val="Sheet4"/>
      <sheetName val="Sheet5"/>
      <sheetName val="Liabiliteis"/>
      <sheetName val="Sheet2 (2)"/>
      <sheetName val="Sheet3 (2)"/>
      <sheetName val="Chart1"/>
      <sheetName val="Sheet1 (2)"/>
      <sheetName val="Lease"/>
      <sheetName val="Total Adjustments"/>
      <sheetName val="PremiumMaturity"/>
      <sheetName val="Note 12 (2)"/>
      <sheetName val="Defeered Work"/>
      <sheetName val="Balance_Sheet"/>
      <sheetName val="Statement_of_Ch"/>
      <sheetName val="Note6-8_2"/>
      <sheetName val="Note9-9_6"/>
      <sheetName val="Note_9_7-9_9"/>
      <sheetName val="Notes10-10_6"/>
      <sheetName val="11-11_4"/>
      <sheetName val="Note_12_"/>
      <sheetName val="Note12_3-17_1"/>
      <sheetName val="Note19-21_1"/>
      <sheetName val="Note21_2-22"/>
      <sheetName val="Notes23-25_1"/>
      <sheetName val="Notes25_2-31"/>
      <sheetName val="Notes36-36_2"/>
      <sheetName val="Note_45"/>
      <sheetName val="Annexure_(3)"/>
      <sheetName val="Assets_2002"/>
      <sheetName val="Note_9_7-9_8_(2)"/>
      <sheetName val="Liabiliteis_2002"/>
      <sheetName val="P&amp;L_2002"/>
      <sheetName val="Sheet1_(3)"/>
      <sheetName val="Computa_Tax"/>
      <sheetName val="Notes42_2-44"/>
      <sheetName val="Com_TaxJul-Dec01"/>
      <sheetName val="Computa_Tax_(2)"/>
      <sheetName val="D_Tax2002"/>
      <sheetName val="Note_12(3)"/>
      <sheetName val="Change_Note"/>
      <sheetName val="Change_Note_2"/>
      <sheetName val="Sheet1_(4)"/>
      <sheetName val="summary_(3)"/>
      <sheetName val="pinex_(2)"/>
      <sheetName val="Annexure_(2)"/>
      <sheetName val="Assets_(2)"/>
      <sheetName val="summary_(2)"/>
      <sheetName val="Deferred_(2)"/>
      <sheetName val="Sheet2_(2)"/>
      <sheetName val="Sheet3_(2)"/>
      <sheetName val="Sheet1_(2)"/>
      <sheetName val="Total_Adjustments"/>
      <sheetName val="Note_12_(2)"/>
      <sheetName val="Defeered_Work"/>
      <sheetName val="Balance_Sheet1"/>
      <sheetName val="Statement_of_Ch1"/>
      <sheetName val="Note6-8_21"/>
      <sheetName val="Note9-9_61"/>
      <sheetName val="Note_9_7-9_91"/>
      <sheetName val="Notes10-10_61"/>
      <sheetName val="11-11_41"/>
      <sheetName val="Note_12_1"/>
      <sheetName val="Note12_3-17_11"/>
      <sheetName val="Note19-21_11"/>
      <sheetName val="Note21_2-221"/>
      <sheetName val="Notes23-25_11"/>
      <sheetName val="Notes25_2-311"/>
      <sheetName val="Notes36-36_21"/>
      <sheetName val="Note_451"/>
      <sheetName val="Annexure_(3)1"/>
      <sheetName val="Assets_20021"/>
      <sheetName val="Note_9_7-9_8_(2)1"/>
      <sheetName val="Liabiliteis_20021"/>
      <sheetName val="P&amp;L_20021"/>
      <sheetName val="Sheet1_(3)1"/>
      <sheetName val="Computa_Tax1"/>
      <sheetName val="Notes42_2-441"/>
      <sheetName val="Com_TaxJul-Dec011"/>
      <sheetName val="Computa_Tax_(2)1"/>
      <sheetName val="D_Tax20021"/>
      <sheetName val="Note_12(3)1"/>
      <sheetName val="Change_Note1"/>
      <sheetName val="Change_Note_21"/>
      <sheetName val="Sheet1_(4)1"/>
      <sheetName val="summary_(3)1"/>
      <sheetName val="pinex_(2)1"/>
      <sheetName val="Annexure_(2)1"/>
      <sheetName val="Assets_(2)1"/>
      <sheetName val="summary_(2)1"/>
      <sheetName val="Deferred_(2)1"/>
      <sheetName val="Sheet2_(2)1"/>
      <sheetName val="Sheet3_(2)1"/>
      <sheetName val="Sheet1_(2)1"/>
      <sheetName val="Total_Adjustments1"/>
      <sheetName val="Note_12_(2)1"/>
      <sheetName val="Defeered_Work1"/>
      <sheetName val="I-BR"/>
      <sheetName val="I-B"/>
      <sheetName val="Balance_Sheet2"/>
      <sheetName val="Statement_of_Ch2"/>
      <sheetName val="Note6-8_22"/>
      <sheetName val="Note9-9_62"/>
      <sheetName val="Note_9_7-9_92"/>
      <sheetName val="Notes10-10_62"/>
      <sheetName val="11-11_42"/>
      <sheetName val="Note_12_2"/>
      <sheetName val="Note12_3-17_12"/>
      <sheetName val="Note19-21_12"/>
      <sheetName val="Note21_2-222"/>
      <sheetName val="Notes23-25_12"/>
      <sheetName val="Notes25_2-312"/>
      <sheetName val="Notes36-36_22"/>
      <sheetName val="Note_452"/>
      <sheetName val="Annexure_(3)2"/>
      <sheetName val="Assets_20022"/>
      <sheetName val="Note_9_7-9_8_(2)2"/>
      <sheetName val="Liabiliteis_20022"/>
      <sheetName val="P&amp;L_20022"/>
      <sheetName val="Sheet1_(3)2"/>
      <sheetName val="Computa_Tax2"/>
      <sheetName val="Notes42_2-442"/>
      <sheetName val="Com_TaxJul-Dec012"/>
      <sheetName val="Computa_Tax_(2)2"/>
      <sheetName val="D_Tax20022"/>
      <sheetName val="Note_12(3)2"/>
      <sheetName val="Change_Note2"/>
      <sheetName val="Change_Note_22"/>
      <sheetName val="Sheet1_(4)2"/>
      <sheetName val="summary_(3)2"/>
      <sheetName val="pinex_(2)2"/>
      <sheetName val="Annexure_(2)2"/>
      <sheetName val="Assets_(2)2"/>
      <sheetName val="summary_(2)2"/>
      <sheetName val="Deferred_(2)2"/>
      <sheetName val="Sheet2_(2)2"/>
      <sheetName val="Sheet3_(2)2"/>
      <sheetName val="Sheet1_(2)2"/>
      <sheetName val="Total_Adjustments2"/>
      <sheetName val="Note_12_(2)2"/>
      <sheetName val="Defeered_Work2"/>
      <sheetName val="BUs in Com Imp WO SS CS"/>
      <sheetName val="EMOF Portfol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refreshError="1"/>
      <sheetData sheetId="21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M TB"/>
      <sheetName val="Sold TBills"/>
      <sheetName val="Matured TBills"/>
      <sheetName val="Movement"/>
      <sheetName val="out r B Sell"/>
      <sheetName val="Tbills (2)"/>
      <sheetName val="Tbills"/>
      <sheetName val="Sheet3"/>
      <sheetName val="New Working"/>
    </sheetNames>
    <sheetDataSet>
      <sheetData sheetId="0">
        <row r="1">
          <cell r="B1">
            <v>39994</v>
          </cell>
        </row>
        <row r="2">
          <cell r="A2" t="str">
            <v>Arif Habib Rupali Bank Limited</v>
          </cell>
        </row>
        <row r="3">
          <cell r="A3" t="str">
            <v>\</v>
          </cell>
          <cell r="K3" t="str">
            <v>BE Value</v>
          </cell>
        </row>
        <row r="4">
          <cell r="A4" t="str">
            <v>Sr. NO.</v>
          </cell>
          <cell r="B4" t="str">
            <v>Issue Date</v>
          </cell>
          <cell r="C4" t="str">
            <v>Maturity Date</v>
          </cell>
          <cell r="D4" t="str">
            <v>T-Bills' Life</v>
          </cell>
          <cell r="E4" t="str">
            <v>Face Value</v>
          </cell>
          <cell r="F4" t="str">
            <v>Purchase Price</v>
          </cell>
          <cell r="G4" t="str">
            <v>Purchse Yield %</v>
          </cell>
          <cell r="H4" t="str">
            <v>Purchase Yield</v>
          </cell>
          <cell r="I4" t="str">
            <v>Purchase Date</v>
          </cell>
          <cell r="J4" t="str">
            <v>Book Value / Purchae Value</v>
          </cell>
          <cell r="K4" t="str">
            <v>Today's Value</v>
          </cell>
          <cell r="L4" t="str">
            <v>DTM</v>
          </cell>
          <cell r="M4" t="str">
            <v>Yr.TM</v>
          </cell>
          <cell r="N4" t="str">
            <v>Uitilzed Days</v>
          </cell>
          <cell r="O4" t="str">
            <v>Accrued               Mark-up</v>
          </cell>
          <cell r="P4" t="str">
            <v>Revl Rate %</v>
          </cell>
          <cell r="Q4" t="str">
            <v>MTM Price</v>
          </cell>
          <cell r="R4" t="str">
            <v>Mkt Value</v>
          </cell>
          <cell r="S4" t="str">
            <v>Profit / (Loss)</v>
          </cell>
        </row>
        <row r="5">
          <cell r="C5">
            <v>39994</v>
          </cell>
        </row>
        <row r="6">
          <cell r="A6" t="str">
            <v>T-Bills AFS as on</v>
          </cell>
          <cell r="C6">
            <v>39994</v>
          </cell>
        </row>
        <row r="18">
          <cell r="A18">
            <v>1</v>
          </cell>
          <cell r="B18">
            <v>39828</v>
          </cell>
          <cell r="C18">
            <v>40010</v>
          </cell>
          <cell r="D18">
            <v>182</v>
          </cell>
          <cell r="E18">
            <v>181826000</v>
          </cell>
          <cell r="F18">
            <v>98.180499999999995</v>
          </cell>
          <cell r="G18">
            <v>0.11465</v>
          </cell>
          <cell r="H18">
            <v>2046705154.5374498</v>
          </cell>
          <cell r="I18">
            <v>39951</v>
          </cell>
          <cell r="J18">
            <v>178517675.92999998</v>
          </cell>
          <cell r="K18">
            <v>181535158.32351649</v>
          </cell>
          <cell r="L18">
            <v>16</v>
          </cell>
          <cell r="M18">
            <v>4.3799999999999999E-2</v>
          </cell>
          <cell r="N18">
            <v>166</v>
          </cell>
          <cell r="O18">
            <v>3017482.3935165047</v>
          </cell>
          <cell r="P18">
            <v>12.302666666666667</v>
          </cell>
          <cell r="Q18">
            <v>99.4636</v>
          </cell>
          <cell r="R18">
            <v>180850685.336</v>
          </cell>
          <cell r="S18">
            <v>-684472.98751649261</v>
          </cell>
        </row>
        <row r="19">
          <cell r="A19">
            <v>2</v>
          </cell>
          <cell r="B19">
            <v>39828</v>
          </cell>
          <cell r="C19">
            <v>40010</v>
          </cell>
          <cell r="D19">
            <v>182</v>
          </cell>
          <cell r="E19">
            <v>118174000</v>
          </cell>
          <cell r="F19">
            <v>96.877499999999998</v>
          </cell>
          <cell r="G19">
            <v>0.1265</v>
          </cell>
          <cell r="H19">
            <v>1448222813.1524999</v>
          </cell>
          <cell r="I19">
            <v>39917</v>
          </cell>
          <cell r="J19">
            <v>114484016.84999999</v>
          </cell>
          <cell r="K19">
            <v>117849605.87692307</v>
          </cell>
          <cell r="L19">
            <v>16</v>
          </cell>
          <cell r="M19">
            <v>4.3799999999999999E-2</v>
          </cell>
          <cell r="N19">
            <v>166</v>
          </cell>
          <cell r="O19">
            <v>3365589.0269230823</v>
          </cell>
          <cell r="P19">
            <v>12.302666666666667</v>
          </cell>
          <cell r="Q19">
            <v>99.4636</v>
          </cell>
          <cell r="R19">
            <v>117540114.664</v>
          </cell>
          <cell r="S19">
            <v>-309491.21292306483</v>
          </cell>
        </row>
        <row r="20">
          <cell r="A20">
            <v>2</v>
          </cell>
          <cell r="B20">
            <v>39884</v>
          </cell>
          <cell r="C20">
            <v>40066</v>
          </cell>
          <cell r="D20">
            <v>182</v>
          </cell>
          <cell r="E20">
            <v>300000000</v>
          </cell>
          <cell r="F20">
            <v>94.45</v>
          </cell>
          <cell r="G20">
            <v>0.1179</v>
          </cell>
          <cell r="H20">
            <v>3340696500</v>
          </cell>
          <cell r="I20">
            <v>39884</v>
          </cell>
          <cell r="J20">
            <v>283350000</v>
          </cell>
          <cell r="K20">
            <v>293413186.81318682</v>
          </cell>
          <cell r="L20">
            <v>72</v>
          </cell>
          <cell r="M20">
            <v>0.1973</v>
          </cell>
          <cell r="N20">
            <v>110</v>
          </cell>
          <cell r="O20">
            <v>10063186.813186813</v>
          </cell>
          <cell r="P20">
            <v>9.4480000000000004</v>
          </cell>
          <cell r="Q20">
            <v>98.170400000000001</v>
          </cell>
          <cell r="R20">
            <v>294511200</v>
          </cell>
          <cell r="S20">
            <v>1098013.1868131757</v>
          </cell>
        </row>
        <row r="21">
          <cell r="A21">
            <v>3</v>
          </cell>
          <cell r="B21">
            <v>39884</v>
          </cell>
          <cell r="C21">
            <v>40066</v>
          </cell>
          <cell r="D21">
            <v>182</v>
          </cell>
          <cell r="E21">
            <v>400000000</v>
          </cell>
          <cell r="F21">
            <v>94.47</v>
          </cell>
          <cell r="G21">
            <v>0.1174</v>
          </cell>
          <cell r="H21">
            <v>4436311200</v>
          </cell>
          <cell r="I21">
            <v>39884</v>
          </cell>
          <cell r="J21">
            <v>377880000</v>
          </cell>
          <cell r="K21">
            <v>391249230.76923078</v>
          </cell>
          <cell r="L21">
            <v>72</v>
          </cell>
          <cell r="M21">
            <v>0.1973</v>
          </cell>
          <cell r="N21">
            <v>110</v>
          </cell>
          <cell r="O21">
            <v>13369230.769230768</v>
          </cell>
          <cell r="P21">
            <v>9.4480000000000004</v>
          </cell>
          <cell r="Q21">
            <v>98.170400000000001</v>
          </cell>
          <cell r="R21">
            <v>392681600</v>
          </cell>
          <cell r="S21">
            <v>1432369.230769217</v>
          </cell>
        </row>
        <row r="22">
          <cell r="A22">
            <v>4</v>
          </cell>
          <cell r="B22">
            <v>39884</v>
          </cell>
          <cell r="C22">
            <v>40248</v>
          </cell>
          <cell r="D22">
            <v>364</v>
          </cell>
          <cell r="E22">
            <v>300000000</v>
          </cell>
          <cell r="F22">
            <v>89.43</v>
          </cell>
          <cell r="G22">
            <v>0.11849999999999999</v>
          </cell>
          <cell r="H22">
            <v>3179236500.0000005</v>
          </cell>
          <cell r="I22">
            <v>39884</v>
          </cell>
          <cell r="J22">
            <v>268290000.00000003</v>
          </cell>
          <cell r="K22">
            <v>277872692.30769235</v>
          </cell>
          <cell r="L22">
            <v>254</v>
          </cell>
          <cell r="M22">
            <v>0.69589999999999996</v>
          </cell>
          <cell r="N22">
            <v>110</v>
          </cell>
          <cell r="O22">
            <v>9582692.3076922987</v>
          </cell>
          <cell r="P22">
            <v>9.5146666666666668</v>
          </cell>
          <cell r="Q22">
            <v>93.79</v>
          </cell>
          <cell r="R22">
            <v>281370000</v>
          </cell>
          <cell r="S22">
            <v>3497307.692307651</v>
          </cell>
        </row>
        <row r="23">
          <cell r="A23">
            <v>5</v>
          </cell>
          <cell r="B23">
            <v>39884</v>
          </cell>
          <cell r="C23">
            <v>40066</v>
          </cell>
          <cell r="D23">
            <v>182</v>
          </cell>
          <cell r="E23">
            <v>500000000</v>
          </cell>
          <cell r="F23">
            <v>95.102599999999995</v>
          </cell>
          <cell r="G23">
            <v>0.127</v>
          </cell>
          <cell r="H23">
            <v>6039015099.999999</v>
          </cell>
          <cell r="I23">
            <v>39918</v>
          </cell>
          <cell r="J23">
            <v>475512999.99999994</v>
          </cell>
          <cell r="K23">
            <v>490312835.16483516</v>
          </cell>
          <cell r="L23">
            <v>72</v>
          </cell>
          <cell r="M23">
            <v>0.1973</v>
          </cell>
          <cell r="N23">
            <v>110</v>
          </cell>
          <cell r="O23">
            <v>14799835.1648352</v>
          </cell>
          <cell r="P23">
            <v>9.4480000000000004</v>
          </cell>
          <cell r="Q23">
            <v>98.170400000000001</v>
          </cell>
          <cell r="R23">
            <v>490852000</v>
          </cell>
          <cell r="S23">
            <v>539164.83516484499</v>
          </cell>
        </row>
        <row r="24">
          <cell r="A24">
            <v>6</v>
          </cell>
          <cell r="B24">
            <v>39898</v>
          </cell>
          <cell r="C24">
            <v>40080</v>
          </cell>
          <cell r="D24">
            <v>182</v>
          </cell>
          <cell r="E24">
            <v>200000000</v>
          </cell>
          <cell r="F24">
            <v>94.49</v>
          </cell>
          <cell r="G24">
            <v>0.11701499999999999</v>
          </cell>
          <cell r="H24">
            <v>2211349470</v>
          </cell>
          <cell r="I24">
            <v>39898</v>
          </cell>
          <cell r="J24">
            <v>188980000</v>
          </cell>
          <cell r="K24">
            <v>194792747.25274724</v>
          </cell>
          <cell r="L24">
            <v>86</v>
          </cell>
          <cell r="M24">
            <v>0.2356</v>
          </cell>
          <cell r="N24">
            <v>96</v>
          </cell>
          <cell r="O24">
            <v>5812747.2527472526</v>
          </cell>
          <cell r="P24">
            <v>9.4573333333333345</v>
          </cell>
          <cell r="Q24">
            <v>97.820300000000003</v>
          </cell>
          <cell r="R24">
            <v>195640600</v>
          </cell>
          <cell r="S24">
            <v>847852.74725276232</v>
          </cell>
        </row>
        <row r="25">
          <cell r="A25">
            <v>7</v>
          </cell>
          <cell r="B25">
            <v>39898</v>
          </cell>
          <cell r="C25">
            <v>40080</v>
          </cell>
          <cell r="D25">
            <v>182</v>
          </cell>
          <cell r="E25">
            <v>300000000</v>
          </cell>
          <cell r="F25">
            <v>94.47</v>
          </cell>
          <cell r="G25">
            <v>0.117516</v>
          </cell>
          <cell r="H25">
            <v>3330520956</v>
          </cell>
          <cell r="I25">
            <v>39898</v>
          </cell>
          <cell r="J25">
            <v>283410000</v>
          </cell>
          <cell r="K25">
            <v>292160769.23076922</v>
          </cell>
          <cell r="L25">
            <v>86</v>
          </cell>
          <cell r="M25">
            <v>0.2356</v>
          </cell>
          <cell r="N25">
            <v>96</v>
          </cell>
          <cell r="O25">
            <v>8750769.2307692319</v>
          </cell>
          <cell r="P25">
            <v>9.4573333333333345</v>
          </cell>
          <cell r="Q25">
            <v>97.820300000000003</v>
          </cell>
          <cell r="R25">
            <v>293460900</v>
          </cell>
          <cell r="S25">
            <v>1300130.769230783</v>
          </cell>
        </row>
        <row r="26">
          <cell r="A26">
            <v>8</v>
          </cell>
          <cell r="B26">
            <v>39898</v>
          </cell>
          <cell r="C26">
            <v>40080</v>
          </cell>
          <cell r="D26">
            <v>182</v>
          </cell>
          <cell r="E26">
            <v>300000000</v>
          </cell>
          <cell r="F26">
            <v>94.44</v>
          </cell>
          <cell r="G26">
            <v>0.118142</v>
          </cell>
          <cell r="H26">
            <v>3347199144</v>
          </cell>
          <cell r="I26">
            <v>39898</v>
          </cell>
          <cell r="J26">
            <v>283320000</v>
          </cell>
          <cell r="K26">
            <v>292118241.75824177</v>
          </cell>
          <cell r="L26">
            <v>86</v>
          </cell>
          <cell r="M26">
            <v>0.2356</v>
          </cell>
          <cell r="N26">
            <v>96</v>
          </cell>
          <cell r="O26">
            <v>8798241.7582417578</v>
          </cell>
          <cell r="P26">
            <v>9.4573333333333345</v>
          </cell>
          <cell r="Q26">
            <v>97.820300000000003</v>
          </cell>
          <cell r="R26">
            <v>293460900</v>
          </cell>
          <cell r="S26">
            <v>1342658.2417582273</v>
          </cell>
        </row>
        <row r="27">
          <cell r="A27">
            <v>9</v>
          </cell>
          <cell r="B27">
            <v>39898</v>
          </cell>
          <cell r="C27">
            <v>40080</v>
          </cell>
          <cell r="D27">
            <v>182</v>
          </cell>
          <cell r="E27">
            <v>300000000</v>
          </cell>
          <cell r="F27">
            <v>94.43</v>
          </cell>
          <cell r="G27">
            <v>0.118392</v>
          </cell>
          <cell r="H27">
            <v>3353926968</v>
          </cell>
          <cell r="I27">
            <v>39898</v>
          </cell>
          <cell r="J27">
            <v>283290000</v>
          </cell>
          <cell r="K27">
            <v>292104065.93406594</v>
          </cell>
          <cell r="L27">
            <v>86</v>
          </cell>
          <cell r="M27">
            <v>0.2356</v>
          </cell>
          <cell r="N27">
            <v>96</v>
          </cell>
          <cell r="O27">
            <v>8814065.9340659343</v>
          </cell>
          <cell r="P27">
            <v>9.4573333333333345</v>
          </cell>
          <cell r="Q27">
            <v>97.820300000000003</v>
          </cell>
          <cell r="R27">
            <v>293460900</v>
          </cell>
          <cell r="S27">
            <v>1356834.065934062</v>
          </cell>
        </row>
        <row r="28">
          <cell r="A28">
            <v>10</v>
          </cell>
          <cell r="B28">
            <v>39898</v>
          </cell>
          <cell r="C28">
            <v>40262</v>
          </cell>
          <cell r="D28">
            <v>364</v>
          </cell>
          <cell r="E28">
            <v>200000000</v>
          </cell>
          <cell r="F28">
            <v>89.48</v>
          </cell>
          <cell r="G28">
            <v>0.11784500000000001</v>
          </cell>
          <cell r="H28">
            <v>2108954120</v>
          </cell>
          <cell r="I28">
            <v>39898</v>
          </cell>
          <cell r="J28">
            <v>178960000</v>
          </cell>
          <cell r="K28">
            <v>184509010.98901099</v>
          </cell>
          <cell r="L28">
            <v>268</v>
          </cell>
          <cell r="M28">
            <v>0.73419999999999996</v>
          </cell>
          <cell r="N28">
            <v>96</v>
          </cell>
          <cell r="O28">
            <v>5549010.9890109887</v>
          </cell>
          <cell r="P28">
            <v>9.5193333333333321</v>
          </cell>
          <cell r="Q28">
            <v>93.467100000000002</v>
          </cell>
          <cell r="R28">
            <v>186934200</v>
          </cell>
          <cell r="S28">
            <v>2425189.0109890103</v>
          </cell>
        </row>
        <row r="29">
          <cell r="A29">
            <v>11</v>
          </cell>
          <cell r="B29">
            <v>39898</v>
          </cell>
          <cell r="C29">
            <v>40262</v>
          </cell>
          <cell r="D29">
            <v>364</v>
          </cell>
          <cell r="E29">
            <v>300000000</v>
          </cell>
          <cell r="F29">
            <v>89.45</v>
          </cell>
          <cell r="G29">
            <v>0.118295</v>
          </cell>
          <cell r="H29">
            <v>3174446325.0000005</v>
          </cell>
          <cell r="I29">
            <v>39898</v>
          </cell>
          <cell r="J29">
            <v>268350000.00000003</v>
          </cell>
          <cell r="K29">
            <v>276697252.74725276</v>
          </cell>
          <cell r="L29">
            <v>268</v>
          </cell>
          <cell r="M29">
            <v>0.73419999999999996</v>
          </cell>
          <cell r="N29">
            <v>96</v>
          </cell>
          <cell r="O29">
            <v>8347252.74725274</v>
          </cell>
          <cell r="P29">
            <v>9.5193333333333321</v>
          </cell>
          <cell r="Q29">
            <v>93.467100000000002</v>
          </cell>
          <cell r="R29">
            <v>280401300</v>
          </cell>
          <cell r="S29">
            <v>3704047.2527472377</v>
          </cell>
        </row>
        <row r="30">
          <cell r="A30">
            <v>12</v>
          </cell>
          <cell r="B30">
            <v>39898</v>
          </cell>
          <cell r="C30">
            <v>40262</v>
          </cell>
          <cell r="D30">
            <v>364</v>
          </cell>
          <cell r="E30">
            <v>300000000</v>
          </cell>
          <cell r="F30">
            <v>89.43</v>
          </cell>
          <cell r="G30">
            <v>0.11852</v>
          </cell>
          <cell r="H30">
            <v>3179773080.0000005</v>
          </cell>
          <cell r="I30">
            <v>39898</v>
          </cell>
          <cell r="J30">
            <v>268290000.00000003</v>
          </cell>
          <cell r="K30">
            <v>276653076.92307693</v>
          </cell>
          <cell r="L30">
            <v>268</v>
          </cell>
          <cell r="M30">
            <v>0.73419999999999996</v>
          </cell>
          <cell r="N30">
            <v>96</v>
          </cell>
          <cell r="O30">
            <v>8363076.9230769156</v>
          </cell>
          <cell r="P30">
            <v>9.5193333333333321</v>
          </cell>
          <cell r="Q30">
            <v>93.467100000000002</v>
          </cell>
          <cell r="R30">
            <v>280401300</v>
          </cell>
          <cell r="S30">
            <v>3748223.0769230723</v>
          </cell>
        </row>
        <row r="31">
          <cell r="A31">
            <v>13</v>
          </cell>
          <cell r="B31">
            <v>39898</v>
          </cell>
          <cell r="C31">
            <v>40262</v>
          </cell>
          <cell r="D31">
            <v>364</v>
          </cell>
          <cell r="E31">
            <v>300000000</v>
          </cell>
          <cell r="F31">
            <v>89.39</v>
          </cell>
          <cell r="G31">
            <v>0.11897000000000001</v>
          </cell>
          <cell r="H31">
            <v>3190418490</v>
          </cell>
          <cell r="I31">
            <v>39898</v>
          </cell>
          <cell r="J31">
            <v>268170000</v>
          </cell>
          <cell r="K31">
            <v>276564725.27472526</v>
          </cell>
          <cell r="L31">
            <v>268</v>
          </cell>
          <cell r="M31">
            <v>0.73419999999999996</v>
          </cell>
          <cell r="N31">
            <v>96</v>
          </cell>
          <cell r="O31">
            <v>8394725.2747252751</v>
          </cell>
          <cell r="P31">
            <v>9.5193333333333321</v>
          </cell>
          <cell r="Q31">
            <v>93.467100000000002</v>
          </cell>
          <cell r="R31">
            <v>280401300</v>
          </cell>
          <cell r="S31">
            <v>3836574.7252747416</v>
          </cell>
        </row>
        <row r="32">
          <cell r="A32">
            <v>14</v>
          </cell>
          <cell r="B32">
            <v>39898</v>
          </cell>
          <cell r="C32">
            <v>40080</v>
          </cell>
          <cell r="D32">
            <v>182</v>
          </cell>
          <cell r="E32">
            <v>300000000</v>
          </cell>
          <cell r="F32">
            <v>94.45</v>
          </cell>
          <cell r="G32">
            <v>0.11776</v>
          </cell>
          <cell r="H32">
            <v>3336729600</v>
          </cell>
          <cell r="I32">
            <v>39898</v>
          </cell>
          <cell r="J32">
            <v>283350000</v>
          </cell>
          <cell r="K32">
            <v>292132417.58241761</v>
          </cell>
          <cell r="L32">
            <v>86</v>
          </cell>
          <cell r="M32">
            <v>0.2356</v>
          </cell>
          <cell r="N32">
            <v>96</v>
          </cell>
          <cell r="O32">
            <v>8782417.5824175831</v>
          </cell>
          <cell r="P32">
            <v>9.4573333333333345</v>
          </cell>
          <cell r="Q32">
            <v>97.820300000000003</v>
          </cell>
          <cell r="R32">
            <v>293460900</v>
          </cell>
          <cell r="S32">
            <v>1328482.4175823927</v>
          </cell>
        </row>
        <row r="33">
          <cell r="A33">
            <v>15</v>
          </cell>
          <cell r="B33">
            <v>39912</v>
          </cell>
          <cell r="C33">
            <v>40276</v>
          </cell>
          <cell r="D33">
            <v>364</v>
          </cell>
          <cell r="E33">
            <v>200000000</v>
          </cell>
          <cell r="F33">
            <v>88.92</v>
          </cell>
          <cell r="G33">
            <v>0.124949</v>
          </cell>
          <cell r="H33">
            <v>2222093016</v>
          </cell>
          <cell r="I33">
            <v>39912</v>
          </cell>
          <cell r="J33">
            <v>177840000</v>
          </cell>
          <cell r="K33">
            <v>182832087.91208792</v>
          </cell>
          <cell r="L33">
            <v>282</v>
          </cell>
          <cell r="M33">
            <v>0.77259999999999995</v>
          </cell>
          <cell r="N33">
            <v>82</v>
          </cell>
          <cell r="O33">
            <v>4992087.9120879117</v>
          </cell>
          <cell r="P33">
            <v>9.5225263157894737</v>
          </cell>
          <cell r="Q33">
            <v>93.147099999999995</v>
          </cell>
          <cell r="R33">
            <v>186294200</v>
          </cell>
          <cell r="S33">
            <v>3462112.0879120827</v>
          </cell>
        </row>
        <row r="34">
          <cell r="A34">
            <v>16</v>
          </cell>
          <cell r="B34">
            <v>39912</v>
          </cell>
          <cell r="C34">
            <v>40094</v>
          </cell>
          <cell r="D34">
            <v>182</v>
          </cell>
          <cell r="E34">
            <v>500000000</v>
          </cell>
          <cell r="F34">
            <v>94.155600000000007</v>
          </cell>
          <cell r="G34">
            <v>0.128</v>
          </cell>
          <cell r="H34">
            <v>6025958400</v>
          </cell>
          <cell r="I34">
            <v>39917</v>
          </cell>
          <cell r="J34">
            <v>470778000</v>
          </cell>
          <cell r="K34">
            <v>483943956.04395604</v>
          </cell>
          <cell r="L34">
            <v>100</v>
          </cell>
          <cell r="M34">
            <v>0.27400000000000002</v>
          </cell>
          <cell r="N34">
            <v>82</v>
          </cell>
          <cell r="O34">
            <v>13165956.043956043</v>
          </cell>
          <cell r="P34">
            <v>9.4700000000000006</v>
          </cell>
          <cell r="Q34">
            <v>97.471100000000007</v>
          </cell>
          <cell r="R34">
            <v>487355500.00000006</v>
          </cell>
          <cell r="S34">
            <v>3411543.9560440183</v>
          </cell>
        </row>
        <row r="35">
          <cell r="A35">
            <v>17</v>
          </cell>
          <cell r="B35">
            <v>39912</v>
          </cell>
          <cell r="C35">
            <v>40276</v>
          </cell>
          <cell r="D35">
            <v>364</v>
          </cell>
          <cell r="E35">
            <v>200000000</v>
          </cell>
          <cell r="F35">
            <v>88.603999999999999</v>
          </cell>
          <cell r="G35">
            <v>0.13150000000000001</v>
          </cell>
          <cell r="H35">
            <v>2330285200</v>
          </cell>
          <cell r="I35">
            <v>39919</v>
          </cell>
          <cell r="J35">
            <v>177208000</v>
          </cell>
          <cell r="K35">
            <v>182342461.53846154</v>
          </cell>
          <cell r="L35">
            <v>282</v>
          </cell>
          <cell r="M35">
            <v>0.77259999999999995</v>
          </cell>
          <cell r="N35">
            <v>82</v>
          </cell>
          <cell r="O35">
            <v>5134461.538461539</v>
          </cell>
          <cell r="P35">
            <v>9.5225263157894737</v>
          </cell>
          <cell r="Q35">
            <v>93.147099999999995</v>
          </cell>
          <cell r="R35">
            <v>186294200</v>
          </cell>
          <cell r="S35">
            <v>3951738.4615384638</v>
          </cell>
        </row>
        <row r="36">
          <cell r="A36">
            <v>18</v>
          </cell>
          <cell r="B36">
            <v>39912</v>
          </cell>
          <cell r="C36">
            <v>40276</v>
          </cell>
          <cell r="D36">
            <v>364</v>
          </cell>
          <cell r="E36">
            <v>100000000</v>
          </cell>
          <cell r="F36">
            <v>88.698800000000006</v>
          </cell>
          <cell r="G36">
            <v>0.13100000000000001</v>
          </cell>
          <cell r="H36">
            <v>1161954280.0000002</v>
          </cell>
          <cell r="I36">
            <v>39920</v>
          </cell>
          <cell r="J36">
            <v>88698800.000000015</v>
          </cell>
          <cell r="K36">
            <v>91244674.725274742</v>
          </cell>
          <cell r="L36">
            <v>282</v>
          </cell>
          <cell r="M36">
            <v>0.77259999999999995</v>
          </cell>
          <cell r="N36">
            <v>82</v>
          </cell>
          <cell r="O36">
            <v>2545874.7252747221</v>
          </cell>
          <cell r="P36">
            <v>9.5225263157894737</v>
          </cell>
          <cell r="Q36">
            <v>93.147099999999995</v>
          </cell>
          <cell r="R36">
            <v>93147100</v>
          </cell>
          <cell r="S36">
            <v>1902425.2747252584</v>
          </cell>
        </row>
        <row r="37">
          <cell r="A37">
            <v>19</v>
          </cell>
          <cell r="B37">
            <v>39912</v>
          </cell>
          <cell r="C37">
            <v>40276</v>
          </cell>
          <cell r="D37">
            <v>364</v>
          </cell>
          <cell r="E37">
            <v>200000000</v>
          </cell>
          <cell r="F37">
            <v>88.698800000000006</v>
          </cell>
          <cell r="G37">
            <v>0.13100000000000001</v>
          </cell>
          <cell r="H37">
            <v>2323908560.0000005</v>
          </cell>
          <cell r="I37">
            <v>39920</v>
          </cell>
          <cell r="J37">
            <v>177397600.00000003</v>
          </cell>
          <cell r="K37">
            <v>182489349.45054948</v>
          </cell>
          <cell r="L37">
            <v>282</v>
          </cell>
          <cell r="M37">
            <v>0.77259999999999995</v>
          </cell>
          <cell r="N37">
            <v>82</v>
          </cell>
          <cell r="O37">
            <v>5091749.4505494442</v>
          </cell>
          <cell r="P37">
            <v>9.5225263157894737</v>
          </cell>
          <cell r="Q37">
            <v>93.147099999999995</v>
          </cell>
          <cell r="R37">
            <v>186294200</v>
          </cell>
          <cell r="S37">
            <v>3804850.5494505167</v>
          </cell>
        </row>
        <row r="38">
          <cell r="A38">
            <v>20</v>
          </cell>
          <cell r="B38">
            <v>39912</v>
          </cell>
          <cell r="C38">
            <v>40276</v>
          </cell>
          <cell r="D38">
            <v>364</v>
          </cell>
          <cell r="E38">
            <v>100000000</v>
          </cell>
          <cell r="F38">
            <v>89.088700000000003</v>
          </cell>
          <cell r="G38">
            <v>0.127</v>
          </cell>
          <cell r="H38">
            <v>1131426490</v>
          </cell>
          <cell r="I38">
            <v>39924</v>
          </cell>
          <cell r="J38">
            <v>89088700</v>
          </cell>
          <cell r="K38">
            <v>91546740.109890103</v>
          </cell>
          <cell r="L38">
            <v>282</v>
          </cell>
          <cell r="M38">
            <v>0.77259999999999995</v>
          </cell>
          <cell r="N38">
            <v>82</v>
          </cell>
          <cell r="O38">
            <v>2458040.1098901099</v>
          </cell>
          <cell r="P38">
            <v>9.5225263157894737</v>
          </cell>
          <cell r="Q38">
            <v>93.147099999999995</v>
          </cell>
          <cell r="R38">
            <v>93147100</v>
          </cell>
          <cell r="S38">
            <v>1600359.8901098967</v>
          </cell>
        </row>
        <row r="39">
          <cell r="A39">
            <v>21</v>
          </cell>
          <cell r="B39">
            <v>39926</v>
          </cell>
          <cell r="C39">
            <v>40290</v>
          </cell>
          <cell r="D39">
            <v>364</v>
          </cell>
          <cell r="E39">
            <v>200000000</v>
          </cell>
          <cell r="F39">
            <v>88.45</v>
          </cell>
          <cell r="G39">
            <v>0.130941</v>
          </cell>
          <cell r="H39">
            <v>2316346290</v>
          </cell>
          <cell r="I39">
            <v>39924</v>
          </cell>
          <cell r="J39">
            <v>176900000</v>
          </cell>
          <cell r="K39">
            <v>181215384.61538461</v>
          </cell>
          <cell r="L39">
            <v>296</v>
          </cell>
          <cell r="M39">
            <v>0.81100000000000005</v>
          </cell>
          <cell r="N39">
            <v>68</v>
          </cell>
          <cell r="O39">
            <v>4315384.615384615</v>
          </cell>
          <cell r="P39">
            <v>9.5254736842105263</v>
          </cell>
          <cell r="Q39">
            <v>92.8292</v>
          </cell>
          <cell r="R39">
            <v>185658400</v>
          </cell>
          <cell r="S39">
            <v>4443015.3846153915</v>
          </cell>
        </row>
        <row r="40">
          <cell r="A40">
            <v>22</v>
          </cell>
          <cell r="B40">
            <v>39926</v>
          </cell>
          <cell r="C40">
            <v>40290</v>
          </cell>
          <cell r="D40">
            <v>364</v>
          </cell>
          <cell r="E40">
            <v>300000000</v>
          </cell>
          <cell r="F40">
            <v>88.37</v>
          </cell>
          <cell r="G40">
            <v>0.131967</v>
          </cell>
          <cell r="H40">
            <v>3498577136.9999995</v>
          </cell>
          <cell r="I40">
            <v>39924</v>
          </cell>
          <cell r="J40">
            <v>265110000</v>
          </cell>
          <cell r="K40">
            <v>271627912.08791208</v>
          </cell>
          <cell r="L40">
            <v>296</v>
          </cell>
          <cell r="M40">
            <v>0.81100000000000005</v>
          </cell>
          <cell r="N40">
            <v>68</v>
          </cell>
          <cell r="O40">
            <v>6517912.0879120883</v>
          </cell>
          <cell r="P40">
            <v>9.5254736842105263</v>
          </cell>
          <cell r="Q40">
            <v>92.8292</v>
          </cell>
          <cell r="R40">
            <v>278487600</v>
          </cell>
          <cell r="S40">
            <v>6859687.9120879173</v>
          </cell>
        </row>
        <row r="41">
          <cell r="A41">
            <v>23</v>
          </cell>
          <cell r="B41">
            <v>39926</v>
          </cell>
          <cell r="C41">
            <v>40290</v>
          </cell>
          <cell r="D41">
            <v>364</v>
          </cell>
          <cell r="E41">
            <v>300000000</v>
          </cell>
          <cell r="F41">
            <v>88.41</v>
          </cell>
          <cell r="G41">
            <v>0.13145399999999999</v>
          </cell>
          <cell r="H41">
            <v>3486554441.9999995</v>
          </cell>
          <cell r="I41">
            <v>39924</v>
          </cell>
          <cell r="J41">
            <v>265230000</v>
          </cell>
          <cell r="K41">
            <v>271725494.50549448</v>
          </cell>
          <cell r="L41">
            <v>296</v>
          </cell>
          <cell r="M41">
            <v>0.81100000000000005</v>
          </cell>
          <cell r="N41">
            <v>68</v>
          </cell>
          <cell r="O41">
            <v>6495494.5054945052</v>
          </cell>
          <cell r="P41">
            <v>9.5254736842105263</v>
          </cell>
          <cell r="Q41">
            <v>92.8292</v>
          </cell>
          <cell r="R41">
            <v>278487600</v>
          </cell>
          <cell r="S41">
            <v>6762105.4945055246</v>
          </cell>
        </row>
        <row r="42">
          <cell r="A42">
            <v>24</v>
          </cell>
          <cell r="B42">
            <v>39926</v>
          </cell>
          <cell r="C42">
            <v>40290</v>
          </cell>
          <cell r="D42">
            <v>364</v>
          </cell>
          <cell r="E42">
            <v>200000000</v>
          </cell>
          <cell r="F42">
            <v>88.34</v>
          </cell>
          <cell r="G42">
            <v>0.132353</v>
          </cell>
          <cell r="H42">
            <v>2338412804</v>
          </cell>
          <cell r="I42">
            <v>39924</v>
          </cell>
          <cell r="J42">
            <v>176680000</v>
          </cell>
          <cell r="K42">
            <v>181036483.51648352</v>
          </cell>
          <cell r="L42">
            <v>296</v>
          </cell>
          <cell r="M42">
            <v>0.81100000000000005</v>
          </cell>
          <cell r="N42">
            <v>68</v>
          </cell>
          <cell r="O42">
            <v>4356483.5164835164</v>
          </cell>
          <cell r="P42">
            <v>9.5254736842105263</v>
          </cell>
          <cell r="Q42">
            <v>92.8292</v>
          </cell>
          <cell r="R42">
            <v>185658400</v>
          </cell>
          <cell r="S42">
            <v>4621916.4835164845</v>
          </cell>
        </row>
        <row r="43">
          <cell r="C43">
            <v>39994</v>
          </cell>
        </row>
        <row r="45">
          <cell r="E45">
            <v>0</v>
          </cell>
          <cell r="G45">
            <v>0</v>
          </cell>
          <cell r="H45">
            <v>0</v>
          </cell>
          <cell r="J45">
            <v>0</v>
          </cell>
          <cell r="K45">
            <v>0</v>
          </cell>
          <cell r="O45">
            <v>0</v>
          </cell>
          <cell r="R45">
            <v>0</v>
          </cell>
          <cell r="S45">
            <v>0</v>
          </cell>
        </row>
        <row r="47">
          <cell r="E47">
            <v>6600000000</v>
          </cell>
          <cell r="G47">
            <v>0.12285049937568523</v>
          </cell>
          <cell r="H47">
            <v>74559022039.689941</v>
          </cell>
          <cell r="J47">
            <v>6069085792.7799997</v>
          </cell>
          <cell r="K47">
            <v>0</v>
          </cell>
          <cell r="O47">
            <v>0</v>
          </cell>
          <cell r="R47">
            <v>5015371800</v>
          </cell>
          <cell r="S47">
            <v>0</v>
          </cell>
        </row>
        <row r="49">
          <cell r="A49" t="str">
            <v>T-Bills AFS as on</v>
          </cell>
          <cell r="C49">
            <v>0</v>
          </cell>
        </row>
        <row r="51">
          <cell r="J51">
            <v>0</v>
          </cell>
          <cell r="K51">
            <v>0</v>
          </cell>
          <cell r="O51">
            <v>0</v>
          </cell>
          <cell r="R51">
            <v>0</v>
          </cell>
          <cell r="S51">
            <v>0</v>
          </cell>
        </row>
        <row r="53">
          <cell r="G53">
            <v>0.12285049937568523</v>
          </cell>
          <cell r="H53">
            <v>74559022039.689941</v>
          </cell>
          <cell r="J53">
            <v>6069085792.7799997</v>
          </cell>
          <cell r="K53">
            <v>0</v>
          </cell>
          <cell r="O53">
            <v>0</v>
          </cell>
          <cell r="R53">
            <v>5015371800</v>
          </cell>
          <cell r="S53">
            <v>0</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INPUT"/>
      <sheetName val="STATEMENT"/>
      <sheetName val="Over drawn Nostros "/>
      <sheetName val="Currency Risk "/>
      <sheetName val="FINANCE AS AFF"/>
      <sheetName val="Sheet3"/>
      <sheetName val="FINANCE"/>
      <sheetName val="A-C CODE &amp; NAM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1">
          <cell r="B1" t="str">
            <v>CODE</v>
          </cell>
          <cell r="C1" t="str">
            <v>NAME OF FOREIGN BANKS</v>
          </cell>
        </row>
        <row r="2">
          <cell r="B2" t="str">
            <v>AC018</v>
          </cell>
          <cell r="C2" t="str">
            <v>State Bank Of India, Overseas</v>
          </cell>
        </row>
        <row r="3">
          <cell r="B3" t="str">
            <v>AC030</v>
          </cell>
          <cell r="C3" t="str">
            <v>Janata Bank Dhaka.</v>
          </cell>
        </row>
        <row r="4">
          <cell r="B4" t="str">
            <v>AC074</v>
          </cell>
          <cell r="C4" t="str">
            <v>UBL New York</v>
          </cell>
        </row>
        <row r="5">
          <cell r="B5" t="str">
            <v>AD015</v>
          </cell>
          <cell r="C5" t="str">
            <v>Westpac Banking Corp Sydney</v>
          </cell>
        </row>
        <row r="6">
          <cell r="B6" t="str">
            <v>AD026</v>
          </cell>
          <cell r="C6" t="str">
            <v>AD Account Receivable</v>
          </cell>
        </row>
        <row r="7">
          <cell r="B7" t="str">
            <v>AS013</v>
          </cell>
          <cell r="C7" t="str">
            <v>Osterreichische Landerbanken,vie</v>
          </cell>
        </row>
        <row r="8">
          <cell r="B8" t="str">
            <v>BD817</v>
          </cell>
          <cell r="C8" t="str">
            <v>United Bank LTD,Manama-Bahrain</v>
          </cell>
        </row>
        <row r="9">
          <cell r="B9" t="str">
            <v>BF015</v>
          </cell>
          <cell r="C9" t="str">
            <v>Societe General De-Banque Bru.</v>
          </cell>
        </row>
        <row r="10">
          <cell r="B10" t="str">
            <v>BF037</v>
          </cell>
          <cell r="C10" t="str">
            <v>Habib Bank Limited, Belgium .</v>
          </cell>
        </row>
        <row r="11">
          <cell r="B11" t="str">
            <v>BU016</v>
          </cell>
          <cell r="C11" t="str">
            <v>Janata Bank Dhaka.</v>
          </cell>
        </row>
        <row r="12">
          <cell r="B12" t="str">
            <v>CD017</v>
          </cell>
          <cell r="C12" t="str">
            <v>Bank of Montreal , Canada.</v>
          </cell>
        </row>
        <row r="13">
          <cell r="B13" t="str">
            <v>CD028</v>
          </cell>
          <cell r="C13" t="str">
            <v>Royal Bank Of Canada,Montreal</v>
          </cell>
        </row>
        <row r="14">
          <cell r="B14" t="str">
            <v>CD039</v>
          </cell>
          <cell r="C14" t="str">
            <v>Bank Of Credit &amp; Commerce Intl.</v>
          </cell>
        </row>
        <row r="15">
          <cell r="B15" t="str">
            <v>CD051</v>
          </cell>
          <cell r="C15" t="str">
            <v>CD Account Payable</v>
          </cell>
        </row>
        <row r="16">
          <cell r="B16" t="str">
            <v>DG014</v>
          </cell>
          <cell r="C16" t="str">
            <v>Amro Bank, Amsterdam</v>
          </cell>
        </row>
        <row r="17">
          <cell r="B17" t="str">
            <v>DK515</v>
          </cell>
          <cell r="C17" t="str">
            <v>Den Danske Lndmandsbank,Copen</v>
          </cell>
        </row>
        <row r="18">
          <cell r="B18" t="str">
            <v>DK537</v>
          </cell>
          <cell r="C18" t="str">
            <v>A/S Copenhagen</v>
          </cell>
        </row>
        <row r="19">
          <cell r="B19" t="str">
            <v>DK559</v>
          </cell>
          <cell r="C19" t="str">
            <v>DK Account Payable</v>
          </cell>
        </row>
        <row r="20">
          <cell r="B20" t="str">
            <v>DM019</v>
          </cell>
          <cell r="C20" t="str">
            <v>Deutsche Bank A.G.Hamberg</v>
          </cell>
        </row>
        <row r="21">
          <cell r="B21" t="str">
            <v>DM020</v>
          </cell>
          <cell r="C21" t="str">
            <v>Dresdner Bank A. G. Frankfurt</v>
          </cell>
        </row>
        <row r="22">
          <cell r="B22" t="str">
            <v>DM053</v>
          </cell>
          <cell r="C22" t="str">
            <v>Commerzebank A.G.Frankfurt</v>
          </cell>
        </row>
        <row r="23">
          <cell r="B23" t="str">
            <v>DM086</v>
          </cell>
          <cell r="C23" t="str">
            <v>Bank of Comm &amp; Credit Int.Fran</v>
          </cell>
        </row>
        <row r="24">
          <cell r="B24" t="str">
            <v>DM097</v>
          </cell>
          <cell r="C24" t="str">
            <v>National Bank Of Pakistan,Frank</v>
          </cell>
        </row>
        <row r="25">
          <cell r="B25" t="str">
            <v>DM224</v>
          </cell>
          <cell r="C25" t="str">
            <v>UBL FFT FE-25 DM</v>
          </cell>
        </row>
        <row r="26">
          <cell r="B26" t="str">
            <v>DM235</v>
          </cell>
          <cell r="C26" t="str">
            <v>UBL FFT FE-25 DEPOSIT DM</v>
          </cell>
        </row>
        <row r="27">
          <cell r="B27" t="str">
            <v>ED815</v>
          </cell>
          <cell r="C27" t="str">
            <v>United Bank Ltd, Dera Dubai</v>
          </cell>
        </row>
        <row r="28">
          <cell r="B28" t="str">
            <v>EU025</v>
          </cell>
          <cell r="C28" t="str">
            <v>Dresdner Bank AG Euro</v>
          </cell>
        </row>
        <row r="29">
          <cell r="B29" t="str">
            <v>EU036</v>
          </cell>
          <cell r="C29" t="str">
            <v>Habib Bank LTD. Belgium Euro</v>
          </cell>
        </row>
        <row r="30">
          <cell r="B30" t="str">
            <v>EU047</v>
          </cell>
          <cell r="C30" t="str">
            <v>Deutche Bank Frank Furt Euro</v>
          </cell>
        </row>
        <row r="31">
          <cell r="B31" t="str">
            <v>EU058</v>
          </cell>
          <cell r="C31" t="str">
            <v>Placement with FOR/BNK Euro</v>
          </cell>
        </row>
        <row r="32">
          <cell r="B32" t="str">
            <v>EU069</v>
          </cell>
          <cell r="C32" t="str">
            <v>United National Bank LTD (EURO)</v>
          </cell>
        </row>
        <row r="33">
          <cell r="B33" t="str">
            <v>EU070</v>
          </cell>
          <cell r="C33" t="str">
            <v>EURO FE-25</v>
          </cell>
        </row>
        <row r="34">
          <cell r="B34" t="str">
            <v>EU081</v>
          </cell>
          <cell r="C34" t="str">
            <v>EURO FE-25 DEPOSIT</v>
          </cell>
        </row>
        <row r="35">
          <cell r="B35" t="str">
            <v>EU092</v>
          </cell>
          <cell r="C35" t="str">
            <v>Fortis Bank Belgium Euro</v>
          </cell>
        </row>
        <row r="36">
          <cell r="B36" t="str">
            <v>EU105</v>
          </cell>
          <cell r="C36" t="str">
            <v>National Bank of Pakistan Euro</v>
          </cell>
        </row>
        <row r="37">
          <cell r="B37" t="str">
            <v>EU116</v>
          </cell>
          <cell r="C37" t="str">
            <v>NBP Frank furt EURO</v>
          </cell>
        </row>
        <row r="38">
          <cell r="B38" t="str">
            <v>EU127</v>
          </cell>
          <cell r="C38" t="str">
            <v>Banca Commerciale Italiana EURO</v>
          </cell>
        </row>
        <row r="39">
          <cell r="B39" t="str">
            <v>EU138</v>
          </cell>
          <cell r="C39" t="str">
            <v>ABN Amro Amsterdam EURO</v>
          </cell>
        </row>
        <row r="40">
          <cell r="B40" t="str">
            <v>EU149</v>
          </cell>
          <cell r="C40" t="str">
            <v>Bank of Austria Vienaa EURO</v>
          </cell>
        </row>
        <row r="41">
          <cell r="B41" t="str">
            <v>EU150</v>
          </cell>
          <cell r="C41" t="str">
            <v>COMERZE BANK FRANKFURT EURO</v>
          </cell>
        </row>
        <row r="42">
          <cell r="B42" t="str">
            <v>EU161</v>
          </cell>
          <cell r="C42" t="str">
            <v>SOCIETE GENERALE PARIS EURO</v>
          </cell>
        </row>
        <row r="43">
          <cell r="B43" t="str">
            <v>EU172</v>
          </cell>
          <cell r="C43" t="str">
            <v>BANCO DI BILBAO SPAIN EURO</v>
          </cell>
        </row>
        <row r="44">
          <cell r="B44" t="str">
            <v>EU172</v>
          </cell>
          <cell r="C44" t="str">
            <v>Bnco Di Bilbao Spain EURO</v>
          </cell>
        </row>
        <row r="45">
          <cell r="B45" t="str">
            <v>EU194</v>
          </cell>
          <cell r="C45" t="str">
            <v>EURO FE - 31</v>
          </cell>
        </row>
        <row r="46">
          <cell r="B46" t="str">
            <v>EU207</v>
          </cell>
          <cell r="C46" t="str">
            <v>EURO FE  - 31 DEPOSIT</v>
          </cell>
        </row>
        <row r="47">
          <cell r="B47" t="str">
            <v>EU218</v>
          </cell>
          <cell r="C47" t="str">
            <v>Trade related financing under FE 25</v>
          </cell>
        </row>
        <row r="48">
          <cell r="B48" t="str">
            <v>FF019</v>
          </cell>
          <cell r="C48" t="str">
            <v>Societe General Paris.</v>
          </cell>
        </row>
        <row r="49">
          <cell r="B49" t="str">
            <v>FF064</v>
          </cell>
          <cell r="C49" t="str">
            <v>Banque National de Paris</v>
          </cell>
        </row>
        <row r="50">
          <cell r="B50" t="str">
            <v>FF075</v>
          </cell>
          <cell r="C50" t="str">
            <v>National Bank Of Pakistan,Paris</v>
          </cell>
        </row>
        <row r="51">
          <cell r="B51" t="str">
            <v>FF097</v>
          </cell>
          <cell r="C51" t="str">
            <v>FF Account Receivable</v>
          </cell>
        </row>
        <row r="52">
          <cell r="B52" t="str">
            <v>HK019</v>
          </cell>
          <cell r="C52" t="str">
            <v>Hongkong &amp; Shanghai Banking Co</v>
          </cell>
        </row>
        <row r="53">
          <cell r="B53" t="str">
            <v>HK020</v>
          </cell>
          <cell r="C53" t="str">
            <v>National Bank Of Pakistan, Hong.</v>
          </cell>
        </row>
        <row r="54">
          <cell r="B54" t="str">
            <v>HK042</v>
          </cell>
          <cell r="C54" t="str">
            <v>HK Account Payable</v>
          </cell>
        </row>
        <row r="55">
          <cell r="B55" t="str">
            <v>IL012</v>
          </cell>
          <cell r="C55" t="str">
            <v>Banca Commerciale Italiana,Mil.</v>
          </cell>
        </row>
        <row r="56">
          <cell r="B56" t="str">
            <v>IL034</v>
          </cell>
          <cell r="C56" t="str">
            <v>IL Account Payable</v>
          </cell>
        </row>
        <row r="57">
          <cell r="B57" t="str">
            <v>IU018</v>
          </cell>
          <cell r="C57" t="str">
            <v>State Bank Of India, Overseas</v>
          </cell>
        </row>
        <row r="58">
          <cell r="B58" t="str">
            <v>IU030</v>
          </cell>
          <cell r="C58" t="str">
            <v>Standard Chartered Bank Bombay</v>
          </cell>
        </row>
        <row r="59">
          <cell r="B59" t="str">
            <v>JY016</v>
          </cell>
          <cell r="C59" t="str">
            <v>Sumitomo Bank Ltd , Tokyo</v>
          </cell>
        </row>
        <row r="60">
          <cell r="B60" t="str">
            <v>JY050</v>
          </cell>
          <cell r="C60" t="str">
            <v>National Bank of Pakista Tokyo</v>
          </cell>
        </row>
        <row r="61">
          <cell r="B61" t="str">
            <v>JY061</v>
          </cell>
          <cell r="C61" t="str">
            <v>Bank Of Tokyo, Tokyo</v>
          </cell>
        </row>
        <row r="62">
          <cell r="B62" t="str">
            <v>JY072</v>
          </cell>
          <cell r="C62" t="str">
            <v>B.C.C.I., Tokyo</v>
          </cell>
        </row>
        <row r="63">
          <cell r="B63" t="str">
            <v>JY094</v>
          </cell>
          <cell r="C63" t="str">
            <v>JY Payable</v>
          </cell>
        </row>
        <row r="64">
          <cell r="B64" t="str">
            <v>JY107</v>
          </cell>
          <cell r="C64" t="str">
            <v>Trade related financing under FE 25</v>
          </cell>
        </row>
        <row r="65">
          <cell r="B65" t="str">
            <v>KD019</v>
          </cell>
          <cell r="C65" t="str">
            <v>National Bank Of Kuwait, Kuwait</v>
          </cell>
        </row>
        <row r="66">
          <cell r="B66" t="str">
            <v>KW018</v>
          </cell>
          <cell r="C66" t="str">
            <v>National Bank of Pakistan Tokyo</v>
          </cell>
        </row>
        <row r="67">
          <cell r="B67" t="str">
            <v>NK019</v>
          </cell>
          <cell r="C67" t="str">
            <v>Christinia Bank Oslo</v>
          </cell>
        </row>
        <row r="68">
          <cell r="B68" t="str">
            <v>NK020</v>
          </cell>
          <cell r="C68" t="str">
            <v>Den Norske Credit Bank, Oslo</v>
          </cell>
        </row>
        <row r="69">
          <cell r="B69" t="str">
            <v>NZ017</v>
          </cell>
          <cell r="C69" t="str">
            <v>ANZ Banking Group Ltd.Auckland</v>
          </cell>
        </row>
        <row r="70">
          <cell r="B70" t="str">
            <v>NZ039</v>
          </cell>
          <cell r="C70" t="str">
            <v>NZ Account Payable</v>
          </cell>
        </row>
        <row r="71">
          <cell r="B71" t="str">
            <v>OR014</v>
          </cell>
          <cell r="C71" t="str">
            <v>Commecial Bank Of Oman Ltd. Muscat</v>
          </cell>
        </row>
        <row r="72">
          <cell r="B72" t="str">
            <v>QR016</v>
          </cell>
          <cell r="C72" t="str">
            <v>United Bank limted, Doha Qatar</v>
          </cell>
        </row>
        <row r="73">
          <cell r="B73" t="str">
            <v>RU016</v>
          </cell>
          <cell r="C73" t="str">
            <v>Bank Sadert  Iran</v>
          </cell>
        </row>
        <row r="74">
          <cell r="B74" t="str">
            <v>SD039</v>
          </cell>
          <cell r="C74" t="str">
            <v>Habib Bank Limited,Singapore</v>
          </cell>
        </row>
        <row r="75">
          <cell r="B75" t="str">
            <v>SF011</v>
          </cell>
          <cell r="C75" t="str">
            <v>Union Bank Of Switzerland,Zurich</v>
          </cell>
        </row>
        <row r="76">
          <cell r="B76" t="str">
            <v>SF817</v>
          </cell>
          <cell r="C76" t="str">
            <v>United Bank A.G.Zurich, Zurich</v>
          </cell>
        </row>
        <row r="77">
          <cell r="B77" t="str">
            <v>SF839</v>
          </cell>
          <cell r="C77" t="str">
            <v>SF Account Payable</v>
          </cell>
        </row>
        <row r="78">
          <cell r="B78" t="str">
            <v>SK519</v>
          </cell>
          <cell r="C78" t="str">
            <v>Sevenska Handels Banken Stock</v>
          </cell>
        </row>
        <row r="79">
          <cell r="B79" t="str">
            <v>SK531</v>
          </cell>
          <cell r="C79" t="str">
            <v>SK Account Receivable</v>
          </cell>
        </row>
        <row r="80">
          <cell r="B80" t="str">
            <v>SP014</v>
          </cell>
          <cell r="C80" t="str">
            <v>Banco Bilbao Vizcaya</v>
          </cell>
        </row>
        <row r="81">
          <cell r="B81" t="str">
            <v>SR518</v>
          </cell>
          <cell r="C81" t="str">
            <v>Bank AL-Jazira</v>
          </cell>
        </row>
        <row r="82">
          <cell r="B82" t="str">
            <v>SR529</v>
          </cell>
          <cell r="C82" t="str">
            <v>Riyadh Bank Saudi Arabia</v>
          </cell>
        </row>
        <row r="83">
          <cell r="B83" t="str">
            <v>SU012</v>
          </cell>
          <cell r="C83" t="str">
            <v>Peoples Bank Colombo Srilanka</v>
          </cell>
        </row>
        <row r="84">
          <cell r="B84" t="str">
            <v>SU023</v>
          </cell>
          <cell r="C84" t="str">
            <v>Muslim Commercial Bank, Colombo</v>
          </cell>
        </row>
        <row r="85">
          <cell r="B85" t="str">
            <v>UK048</v>
          </cell>
          <cell r="C85" t="str">
            <v>Barclays Bank London</v>
          </cell>
        </row>
        <row r="86">
          <cell r="B86" t="str">
            <v>UK093</v>
          </cell>
          <cell r="C86" t="str">
            <v>Midland Bank PLC London</v>
          </cell>
        </row>
        <row r="87">
          <cell r="B87" t="str">
            <v>UK106</v>
          </cell>
          <cell r="C87" t="str">
            <v>Muslim Commercial Bank ltd.Lond</v>
          </cell>
        </row>
        <row r="88">
          <cell r="B88" t="str">
            <v>UK117</v>
          </cell>
          <cell r="C88" t="str">
            <v>National Bank Of Pakistan Lond.</v>
          </cell>
        </row>
        <row r="89">
          <cell r="B89" t="str">
            <v>UK128</v>
          </cell>
          <cell r="C89" t="str">
            <v>National Westminister Bank PLC</v>
          </cell>
        </row>
        <row r="90">
          <cell r="B90" t="str">
            <v>UK811</v>
          </cell>
          <cell r="C90" t="str">
            <v>United National Bank Limited</v>
          </cell>
        </row>
        <row r="91">
          <cell r="B91" t="str">
            <v>UK844</v>
          </cell>
          <cell r="C91" t="str">
            <v>United National Bank Limited</v>
          </cell>
        </row>
        <row r="92">
          <cell r="B92" t="str">
            <v>UK855</v>
          </cell>
          <cell r="C92" t="str">
            <v>United National Bank Limited</v>
          </cell>
        </row>
        <row r="93">
          <cell r="B93" t="str">
            <v>UK866</v>
          </cell>
          <cell r="C93" t="str">
            <v>United National Bank Limited</v>
          </cell>
        </row>
        <row r="94">
          <cell r="B94" t="str">
            <v>UK902</v>
          </cell>
          <cell r="C94" t="str">
            <v>United National Bank Limited</v>
          </cell>
        </row>
        <row r="95">
          <cell r="B95" t="str">
            <v>UK913</v>
          </cell>
          <cell r="C95" t="str">
            <v>United National Bank Limited</v>
          </cell>
        </row>
        <row r="96">
          <cell r="B96" t="str">
            <v>US011</v>
          </cell>
          <cell r="C96" t="str">
            <v>American Exp.Co.NY</v>
          </cell>
        </row>
        <row r="97">
          <cell r="B97" t="str">
            <v>US022</v>
          </cell>
          <cell r="C97" t="str">
            <v>Deutsche Bank Trust Co.America</v>
          </cell>
        </row>
        <row r="98">
          <cell r="B98" t="str">
            <v>US033</v>
          </cell>
          <cell r="C98" t="str">
            <v>Bank of America , NY</v>
          </cell>
        </row>
        <row r="99">
          <cell r="B99" t="str">
            <v>US044</v>
          </cell>
          <cell r="C99" t="str">
            <v>Bank of Calicornia,San Francisco</v>
          </cell>
        </row>
        <row r="100">
          <cell r="B100" t="str">
            <v>US066</v>
          </cell>
          <cell r="C100" t="str">
            <v>Bank Of New York</v>
          </cell>
        </row>
        <row r="101">
          <cell r="B101" t="str">
            <v>US077</v>
          </cell>
          <cell r="C101" t="str">
            <v>Jpmorgan Chase Bank,New York</v>
          </cell>
        </row>
        <row r="102">
          <cell r="B102" t="str">
            <v>US102</v>
          </cell>
          <cell r="C102" t="str">
            <v>Citi Bank NA, Newyork</v>
          </cell>
        </row>
        <row r="103">
          <cell r="B103" t="str">
            <v>US124</v>
          </cell>
          <cell r="C103" t="str">
            <v>F. C. US $ Bond Discount</v>
          </cell>
        </row>
        <row r="104">
          <cell r="B104" t="str">
            <v>US135</v>
          </cell>
          <cell r="C104" t="str">
            <v>F. C. US $ Bond Accrual</v>
          </cell>
        </row>
        <row r="105">
          <cell r="B105" t="str">
            <v>US146</v>
          </cell>
          <cell r="C105" t="str">
            <v>F. C. US $ Bond Redemption</v>
          </cell>
        </row>
        <row r="106">
          <cell r="B106" t="str">
            <v>US168</v>
          </cell>
          <cell r="C106" t="str">
            <v>Fleet Bank International</v>
          </cell>
        </row>
        <row r="107">
          <cell r="B107" t="str">
            <v>US362</v>
          </cell>
          <cell r="C107" t="str">
            <v>EPZ Branch</v>
          </cell>
        </row>
        <row r="108">
          <cell r="B108" t="str">
            <v>US817</v>
          </cell>
          <cell r="C108" t="str">
            <v>UBL New York</v>
          </cell>
        </row>
        <row r="109">
          <cell r="B109" t="str">
            <v>US839</v>
          </cell>
          <cell r="C109" t="str">
            <v>F. C. US &amp; Bond Discount</v>
          </cell>
        </row>
        <row r="110">
          <cell r="B110" t="str">
            <v>US840</v>
          </cell>
          <cell r="C110" t="str">
            <v>UBL New York,   F.E.25</v>
          </cell>
        </row>
        <row r="111">
          <cell r="B111" t="str">
            <v>US862</v>
          </cell>
          <cell r="C111" t="str">
            <v>Placement with Branches US$</v>
          </cell>
        </row>
        <row r="112">
          <cell r="B112" t="str">
            <v>US873</v>
          </cell>
          <cell r="C112" t="str">
            <v>Placement agnst F.E.25 Deposit</v>
          </cell>
        </row>
        <row r="113">
          <cell r="B113" t="str">
            <v>US884</v>
          </cell>
          <cell r="C113" t="str">
            <v>UBL F.E.25  Deposit.</v>
          </cell>
        </row>
        <row r="114">
          <cell r="B114" t="str">
            <v>US895</v>
          </cell>
          <cell r="C114" t="str">
            <v>US Account Receivable</v>
          </cell>
        </row>
        <row r="115">
          <cell r="B115" t="str">
            <v>US908</v>
          </cell>
          <cell r="C115" t="str">
            <v>US Account Payable</v>
          </cell>
        </row>
        <row r="116">
          <cell r="B116" t="str">
            <v>US919</v>
          </cell>
          <cell r="C116" t="str">
            <v>Mashreq Bank New York</v>
          </cell>
        </row>
        <row r="117">
          <cell r="B117" t="str">
            <v>US920</v>
          </cell>
          <cell r="C117" t="str">
            <v>Balance with SBP 5% CR - FE25</v>
          </cell>
        </row>
        <row r="118">
          <cell r="B118" t="str">
            <v>US931</v>
          </cell>
          <cell r="C118" t="str">
            <v>Balance with SBP 15% SP CR - FE25</v>
          </cell>
        </row>
        <row r="119">
          <cell r="B119" t="str">
            <v>US942</v>
          </cell>
          <cell r="C119" t="str">
            <v>Trade related financing under FE 25</v>
          </cell>
        </row>
        <row r="120">
          <cell r="B120" t="str">
            <v>US953</v>
          </cell>
          <cell r="C120" t="str">
            <v>UBL New York fe - 31</v>
          </cell>
        </row>
        <row r="121">
          <cell r="B121" t="str">
            <v>US964</v>
          </cell>
          <cell r="C121" t="str">
            <v>UBL New Your fe 31 Deposit</v>
          </cell>
        </row>
        <row r="122">
          <cell r="B122" t="str">
            <v>US997</v>
          </cell>
          <cell r="C122" t="str">
            <v>F. C. US $ Bond Face Value</v>
          </cell>
        </row>
        <row r="136">
          <cell r="B136">
            <v>6080</v>
          </cell>
          <cell r="C136" t="str">
            <v>Balance with foreign Banks</v>
          </cell>
        </row>
        <row r="137">
          <cell r="B137">
            <v>6160</v>
          </cell>
          <cell r="C137" t="str">
            <v>Balance with Overseas Branches</v>
          </cell>
        </row>
        <row r="138">
          <cell r="B138">
            <v>6180</v>
          </cell>
          <cell r="C138" t="str">
            <v>Placement with Oerseas Branches</v>
          </cell>
        </row>
        <row r="139">
          <cell r="B139">
            <v>6190</v>
          </cell>
          <cell r="C139" t="str">
            <v>Placement with Centrtal Bank</v>
          </cell>
        </row>
        <row r="145">
          <cell r="B145">
            <v>1</v>
          </cell>
          <cell r="C145" t="str">
            <v>BY FLOPY</v>
          </cell>
        </row>
        <row r="146">
          <cell r="B146">
            <v>10336</v>
          </cell>
          <cell r="C146" t="str">
            <v>INCOME RECEIVED ON  PLACEMENT</v>
          </cell>
        </row>
        <row r="147">
          <cell r="B147">
            <v>347007</v>
          </cell>
          <cell r="C147" t="str">
            <v xml:space="preserve">SD HAJ DEPOSIT </v>
          </cell>
        </row>
        <row r="148">
          <cell r="B148">
            <v>620014</v>
          </cell>
          <cell r="C148" t="str">
            <v>INCOME A/c. PLS EXCH. GBP</v>
          </cell>
        </row>
        <row r="149">
          <cell r="B149">
            <v>620022</v>
          </cell>
          <cell r="C149" t="str">
            <v>INCOME A/c. PLS EXCH USD</v>
          </cell>
        </row>
        <row r="150">
          <cell r="B150">
            <v>620048</v>
          </cell>
          <cell r="C150" t="str">
            <v>INCOME A/c. PLS EXCH OTHER</v>
          </cell>
        </row>
        <row r="151">
          <cell r="B151">
            <v>690351</v>
          </cell>
          <cell r="C151" t="str">
            <v>INCOME GOP BOND EQT Rs.</v>
          </cell>
        </row>
        <row r="152">
          <cell r="B152">
            <v>780034</v>
          </cell>
          <cell r="C152" t="str">
            <v>GAIN / LOSS SECURITIES EQT Rs.</v>
          </cell>
        </row>
        <row r="153">
          <cell r="B153">
            <v>1150088</v>
          </cell>
          <cell r="C153" t="str">
            <v>EXP. A/C.INT. / CHARGES (FX)</v>
          </cell>
        </row>
        <row r="154">
          <cell r="B154">
            <v>1180016</v>
          </cell>
          <cell r="C154" t="str">
            <v>MARK UP PAID FUNDING COST FBPs</v>
          </cell>
        </row>
        <row r="155">
          <cell r="B155">
            <v>2010011</v>
          </cell>
          <cell r="C155" t="str">
            <v>EXPENDITURE A/c. BROKERAGE (FX)</v>
          </cell>
        </row>
        <row r="156">
          <cell r="B156">
            <v>2050087</v>
          </cell>
          <cell r="C156" t="str">
            <v>EXP. A/c. TELEX / CABLE / TP</v>
          </cell>
        </row>
        <row r="157">
          <cell r="B157">
            <v>2080025</v>
          </cell>
          <cell r="C157" t="str">
            <v>EXP. A/c. REUTERS FEE/SWIFT EXP.</v>
          </cell>
        </row>
        <row r="158">
          <cell r="B158">
            <v>3210010</v>
          </cell>
          <cell r="C158" t="str">
            <v>VOSTRO PK. Rs. CD - 16</v>
          </cell>
        </row>
        <row r="159">
          <cell r="B159">
            <v>3590482</v>
          </cell>
          <cell r="C159" t="str">
            <v>SD A/c. VOSTRO P. Rs.</v>
          </cell>
        </row>
        <row r="160">
          <cell r="B160">
            <v>4340176</v>
          </cell>
          <cell r="C160" t="str">
            <v>PROVISION FOR BROKERAGE</v>
          </cell>
        </row>
        <row r="161">
          <cell r="B161">
            <v>4340437</v>
          </cell>
          <cell r="C161" t="str">
            <v>PROVISION FOR EXCHANGE EARNING</v>
          </cell>
        </row>
        <row r="162">
          <cell r="B162">
            <v>5290135</v>
          </cell>
          <cell r="C162" t="str">
            <v>INT. PAY FBP FUNDING COST.</v>
          </cell>
        </row>
        <row r="163">
          <cell r="B163">
            <v>5610014</v>
          </cell>
          <cell r="C163" t="str">
            <v>HEAD OFFICE ACCOUNT</v>
          </cell>
        </row>
        <row r="164">
          <cell r="B164">
            <v>5610188</v>
          </cell>
          <cell r="C164" t="str">
            <v>H.O.A/C. TREASURY DIVISION</v>
          </cell>
        </row>
        <row r="165">
          <cell r="B165">
            <v>5710018</v>
          </cell>
          <cell r="C165" t="str">
            <v>HO A/c. FGN. EXCH. CELL</v>
          </cell>
        </row>
        <row r="166">
          <cell r="B166">
            <v>6030015</v>
          </cell>
          <cell r="C166" t="str">
            <v>SBP A/c.</v>
          </cell>
        </row>
        <row r="167">
          <cell r="B167">
            <v>6080018</v>
          </cell>
          <cell r="C167" t="str">
            <v>BALANCE WITH F/ BANKS</v>
          </cell>
        </row>
        <row r="168">
          <cell r="B168">
            <v>6100017</v>
          </cell>
          <cell r="C168" t="str">
            <v>LENDING TO BRANCHES (FE 25)</v>
          </cell>
        </row>
        <row r="169">
          <cell r="B169">
            <v>7550309</v>
          </cell>
          <cell r="C169" t="str">
            <v>O/A A/C UNREALIZED GAIN/LOSS ON FWD</v>
          </cell>
        </row>
        <row r="170">
          <cell r="B170">
            <v>7550505</v>
          </cell>
          <cell r="C170" t="str">
            <v>O/ASSETS</v>
          </cell>
        </row>
        <row r="171">
          <cell r="B171">
            <v>7720019</v>
          </cell>
          <cell r="C171" t="str">
            <v>O/A ADJUSTING A/c. DR.</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New"/>
      <sheetName val="Sheet1 (4)"/>
      <sheetName val="Sheet1 (3)"/>
      <sheetName val="WeighAvShares"/>
      <sheetName val="Deferred (2)"/>
      <sheetName val="Defeered Work"/>
      <sheetName val="Taxrelief"/>
      <sheetName val="NEWAD"/>
      <sheetName val="Sheet4"/>
      <sheetName val="Sheet5"/>
      <sheetName val="Total Adjustments"/>
      <sheetName val="OLD"/>
      <sheetName val="Assets"/>
      <sheetName val="Liabiliteis"/>
      <sheetName val="Balance Sheet"/>
      <sheetName val="p&amp;l"/>
      <sheetName val="Sheet2 (2)"/>
      <sheetName val="CashFlow"/>
      <sheetName val="Sheet3 (2)"/>
      <sheetName val="Statement of Ch"/>
      <sheetName val="Notes1-5"/>
      <sheetName val="Note6-8.2"/>
      <sheetName val="Note9-9.6"/>
      <sheetName val="Note 9.7-9.8"/>
      <sheetName val="Notes10-10.4.2"/>
      <sheetName val="10.5-11.3"/>
      <sheetName val="Chart1"/>
      <sheetName val="Note 12"/>
      <sheetName val="Note12.3-15.1"/>
      <sheetName val="Note16-21.1"/>
      <sheetName val="Note22-22.7"/>
      <sheetName val="Sheet6"/>
      <sheetName val="Notes25-26.1"/>
      <sheetName val="RGHOEXPENSE"/>
      <sheetName val="Notes26.2-32"/>
      <sheetName val="Notes33-34"/>
      <sheetName val="MaturiAssets"/>
      <sheetName val="Sheet1 (2)"/>
      <sheetName val="Lease"/>
      <sheetName val="PremiumMaturity"/>
      <sheetName val="MaturLiabili"/>
      <sheetName val="Notes39-40"/>
      <sheetName val="Notes41-42.1"/>
      <sheetName val="Currency-expo"/>
      <sheetName val="Notes42.2-44"/>
      <sheetName val="Note 45"/>
      <sheetName val="Annexure"/>
      <sheetName val="affair"/>
      <sheetName val="inc-exp"/>
      <sheetName val="pinex"/>
      <sheetName val="YieldAd"/>
      <sheetName val="YieldAd-net"/>
      <sheetName val="YielDeposit"/>
      <sheetName val="Sheet1"/>
      <sheetName val="Sheet2"/>
      <sheetName val="Sheet3"/>
      <sheetName val="Notes(New)39-40"/>
      <sheetName val="SBP-Staggering"/>
      <sheetName val="Notes1_5"/>
      <sheetName val="Sheet1_(4)"/>
      <sheetName val="Sheet1_(3)"/>
      <sheetName val="Deferred_(2)"/>
      <sheetName val="Defeered_Work"/>
      <sheetName val="Total_Adjustments"/>
      <sheetName val="Balance_Sheet"/>
      <sheetName val="Sheet2_(2)"/>
      <sheetName val="Sheet3_(2)"/>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Sheet1_(2)"/>
      <sheetName val="Notes41-42_1"/>
      <sheetName val="Notes42_2-44"/>
      <sheetName val="Note_45"/>
      <sheetName val="Links"/>
      <sheetName val="Sheet1_(4)1"/>
      <sheetName val="Sheet1_(3)1"/>
      <sheetName val="Deferred_(2)1"/>
      <sheetName val="Defeered_Work1"/>
      <sheetName val="Total_Adjustments1"/>
      <sheetName val="Balance_Sheet1"/>
      <sheetName val="Sheet2_(2)1"/>
      <sheetName val="Sheet3_(2)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Sheet1_(2)1"/>
      <sheetName val="Notes41-42_11"/>
      <sheetName val="Notes42_2-441"/>
      <sheetName val="Note_451"/>
      <sheetName val="Macro1"/>
      <sheetName val="E"/>
      <sheetName val="Sheet1_(4)2"/>
      <sheetName val="Sheet1_(3)2"/>
      <sheetName val="Deferred_(2)2"/>
      <sheetName val="Defeered_Work2"/>
      <sheetName val="Total_Adjustments2"/>
      <sheetName val="Balance_Sheet2"/>
      <sheetName val="Sheet2_(2)2"/>
      <sheetName val="Sheet3_(2)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Sheet1_(2)2"/>
      <sheetName val="Notes41-42_12"/>
      <sheetName val="Notes42_2-442"/>
      <sheetName val="Note_452"/>
      <sheetName val="A-C CODE &amp; NAME"/>
      <sheetName val="MarchSL904"/>
      <sheetName val="BSDOMOVS"/>
      <sheetName val="Notes1_5_old_"/>
      <sheetName val="Value In Use - Trea"/>
      <sheetName val="3.2"/>
      <sheetName val="PL"/>
      <sheetName val="Cwip"/>
      <sheetName val="Touimi Tarek"/>
      <sheetName val="Elim"/>
      <sheetName val="Specific - Provision Financing"/>
      <sheetName val="Addi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refreshError="1"/>
      <sheetData sheetId="21"/>
      <sheetData sheetId="22"/>
      <sheetData sheetId="23"/>
      <sheetData sheetId="24"/>
      <sheetData sheetId="25" refreshError="1"/>
      <sheetData sheetId="26"/>
      <sheetData sheetId="27"/>
      <sheetData sheetId="28" refreshError="1"/>
      <sheetData sheetId="29" refreshError="1"/>
      <sheetData sheetId="30"/>
      <sheetData sheetId="31"/>
      <sheetData sheetId="32"/>
      <sheetData sheetId="33" refreshError="1"/>
      <sheetData sheetId="34"/>
      <sheetData sheetId="35" refreshError="1"/>
      <sheetData sheetId="36"/>
      <sheetData sheetId="37"/>
      <sheetData sheetId="38" refreshError="1"/>
      <sheetData sheetId="39" refreshError="1"/>
      <sheetData sheetId="40" refreshError="1"/>
      <sheetData sheetId="41" refreshError="1"/>
      <sheetData sheetId="42" refreshError="1"/>
      <sheetData sheetId="43"/>
      <sheetData sheetId="44"/>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LS-UAE"/>
      <sheetName val="Abu Dhabi"/>
      <sheetName val="TOTAL OVS BRS ST AUG 0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OCI"/>
      <sheetName val="DS"/>
      <sheetName val="UHF"/>
      <sheetName val="CF"/>
      <sheetName val="Notes 1-5"/>
      <sheetName val="6-6.2"/>
      <sheetName val="6.5-8"/>
      <sheetName val="6.3-6.4"/>
      <sheetName val="6.5-10"/>
      <sheetName val="11-15"/>
      <sheetName val="16-25.1"/>
      <sheetName val="25.1-26"/>
      <sheetName val="27-29"/>
      <sheetName val="Links"/>
      <sheetName val="Lead"/>
      <sheetName val="AS2Lead"/>
      <sheetName val="Unrealized Working"/>
      <sheetName val="Tickmarks"/>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row r="1">
          <cell r="F1" t="str">
            <v>Preliminary</v>
          </cell>
          <cell r="G1" t="str">
            <v>AJE</v>
          </cell>
          <cell r="H1" t="str">
            <v>Adjusted</v>
          </cell>
          <cell r="I1" t="str">
            <v>RJE</v>
          </cell>
          <cell r="J1" t="str">
            <v>'2016</v>
          </cell>
          <cell r="K1" t="str">
            <v>'2015</v>
          </cell>
        </row>
        <row r="3">
          <cell r="F3">
            <v>49125433</v>
          </cell>
          <cell r="G3">
            <v>0</v>
          </cell>
          <cell r="H3">
            <v>49125433</v>
          </cell>
          <cell r="I3">
            <v>0</v>
          </cell>
          <cell r="J3">
            <v>49125433</v>
          </cell>
          <cell r="K3">
            <v>622442</v>
          </cell>
        </row>
        <row r="4">
          <cell r="F4">
            <v>622797</v>
          </cell>
          <cell r="G4">
            <v>0</v>
          </cell>
          <cell r="H4">
            <v>622797</v>
          </cell>
          <cell r="I4">
            <v>0</v>
          </cell>
          <cell r="J4">
            <v>622797</v>
          </cell>
          <cell r="K4">
            <v>1169550</v>
          </cell>
        </row>
        <row r="5">
          <cell r="F5">
            <v>4385482</v>
          </cell>
          <cell r="G5">
            <v>0</v>
          </cell>
          <cell r="H5">
            <v>4385482</v>
          </cell>
          <cell r="I5">
            <v>0</v>
          </cell>
          <cell r="J5">
            <v>4385482</v>
          </cell>
          <cell r="K5">
            <v>10871335</v>
          </cell>
        </row>
        <row r="6">
          <cell r="F6">
            <v>1064305900</v>
          </cell>
          <cell r="G6">
            <v>0</v>
          </cell>
          <cell r="H6">
            <v>1064305900</v>
          </cell>
          <cell r="I6">
            <v>0</v>
          </cell>
          <cell r="J6">
            <v>1064305900</v>
          </cell>
          <cell r="K6">
            <v>1684446</v>
          </cell>
        </row>
        <row r="7">
          <cell r="F7">
            <v>165796027</v>
          </cell>
          <cell r="G7">
            <v>0</v>
          </cell>
          <cell r="H7">
            <v>165796027</v>
          </cell>
          <cell r="I7">
            <v>0</v>
          </cell>
          <cell r="J7">
            <v>165796027</v>
          </cell>
          <cell r="K7">
            <v>2580957</v>
          </cell>
        </row>
        <row r="8">
          <cell r="F8">
            <v>10895</v>
          </cell>
          <cell r="G8">
            <v>0</v>
          </cell>
          <cell r="H8">
            <v>10895</v>
          </cell>
          <cell r="I8">
            <v>0</v>
          </cell>
          <cell r="J8">
            <v>10895</v>
          </cell>
          <cell r="K8">
            <v>6500</v>
          </cell>
        </row>
        <row r="9">
          <cell r="F9">
            <v>2112690</v>
          </cell>
          <cell r="G9">
            <v>0</v>
          </cell>
          <cell r="H9">
            <v>2112690</v>
          </cell>
          <cell r="I9">
            <v>0</v>
          </cell>
          <cell r="J9">
            <v>2112690</v>
          </cell>
          <cell r="K9">
            <v>92941519</v>
          </cell>
        </row>
        <row r="10">
          <cell r="F10">
            <v>642679</v>
          </cell>
          <cell r="G10">
            <v>0</v>
          </cell>
          <cell r="H10">
            <v>642679</v>
          </cell>
          <cell r="I10">
            <v>0</v>
          </cell>
          <cell r="J10">
            <v>642679</v>
          </cell>
          <cell r="K10">
            <v>368391</v>
          </cell>
        </row>
        <row r="11">
          <cell r="F11">
            <v>4183339</v>
          </cell>
          <cell r="G11">
            <v>0</v>
          </cell>
          <cell r="H11">
            <v>4183339</v>
          </cell>
          <cell r="I11">
            <v>0</v>
          </cell>
          <cell r="J11">
            <v>4183339</v>
          </cell>
          <cell r="K11">
            <v>4129756</v>
          </cell>
        </row>
        <row r="12">
          <cell r="F12">
            <v>6500</v>
          </cell>
          <cell r="G12">
            <v>0</v>
          </cell>
          <cell r="H12">
            <v>6500</v>
          </cell>
          <cell r="I12">
            <v>0</v>
          </cell>
          <cell r="J12">
            <v>6500</v>
          </cell>
          <cell r="K12">
            <v>0</v>
          </cell>
        </row>
        <row r="13">
          <cell r="F13">
            <v>1291191742</v>
          </cell>
          <cell r="G13">
            <v>0</v>
          </cell>
          <cell r="H13">
            <v>1291191742</v>
          </cell>
          <cell r="I13">
            <v>0</v>
          </cell>
          <cell r="J13">
            <v>1291191742</v>
          </cell>
          <cell r="K13">
            <v>114374896</v>
          </cell>
        </row>
        <row r="15">
          <cell r="F15">
            <v>0</v>
          </cell>
          <cell r="G15">
            <v>0</v>
          </cell>
          <cell r="H15">
            <v>0</v>
          </cell>
          <cell r="I15">
            <v>0</v>
          </cell>
          <cell r="J15">
            <v>0</v>
          </cell>
          <cell r="K15">
            <v>0</v>
          </cell>
        </row>
        <row r="16">
          <cell r="F16">
            <v>0</v>
          </cell>
          <cell r="G16">
            <v>0</v>
          </cell>
          <cell r="H16">
            <v>0</v>
          </cell>
          <cell r="I16">
            <v>0</v>
          </cell>
          <cell r="J16">
            <v>0</v>
          </cell>
          <cell r="K16">
            <v>0</v>
          </cell>
        </row>
        <row r="18">
          <cell r="F18">
            <v>422528239</v>
          </cell>
          <cell r="G18">
            <v>0</v>
          </cell>
          <cell r="H18">
            <v>422528239</v>
          </cell>
          <cell r="I18">
            <v>0</v>
          </cell>
          <cell r="J18">
            <v>422528239</v>
          </cell>
          <cell r="K18">
            <v>214171076</v>
          </cell>
        </row>
        <row r="19">
          <cell r="F19">
            <v>1258462</v>
          </cell>
          <cell r="G19">
            <v>0</v>
          </cell>
          <cell r="H19">
            <v>1258462</v>
          </cell>
          <cell r="I19">
            <v>0</v>
          </cell>
          <cell r="J19">
            <v>1258462</v>
          </cell>
          <cell r="K19">
            <v>227308</v>
          </cell>
        </row>
        <row r="20">
          <cell r="F20">
            <v>-2083168</v>
          </cell>
          <cell r="G20">
            <v>0</v>
          </cell>
          <cell r="H20">
            <v>-2083168</v>
          </cell>
          <cell r="I20">
            <v>0</v>
          </cell>
          <cell r="J20">
            <v>-2083168</v>
          </cell>
          <cell r="K20">
            <v>-7271755</v>
          </cell>
        </row>
        <row r="21">
          <cell r="F21">
            <v>-9879502</v>
          </cell>
          <cell r="G21">
            <v>0</v>
          </cell>
          <cell r="H21">
            <v>-9879502</v>
          </cell>
          <cell r="I21">
            <v>0</v>
          </cell>
          <cell r="J21">
            <v>-9879502</v>
          </cell>
          <cell r="K21">
            <v>-19758391</v>
          </cell>
        </row>
        <row r="22">
          <cell r="F22">
            <v>70186266</v>
          </cell>
          <cell r="G22">
            <v>0</v>
          </cell>
          <cell r="H22">
            <v>70186266</v>
          </cell>
          <cell r="I22">
            <v>0</v>
          </cell>
          <cell r="J22">
            <v>70186266</v>
          </cell>
          <cell r="K22">
            <v>72353061</v>
          </cell>
        </row>
        <row r="23">
          <cell r="F23">
            <v>-59934000</v>
          </cell>
          <cell r="G23">
            <v>0</v>
          </cell>
          <cell r="H23">
            <v>-59934000</v>
          </cell>
          <cell r="I23">
            <v>0</v>
          </cell>
          <cell r="J23">
            <v>-59934000</v>
          </cell>
          <cell r="K23">
            <v>-44958000</v>
          </cell>
        </row>
        <row r="24">
          <cell r="F24">
            <v>-10252266</v>
          </cell>
          <cell r="G24">
            <v>0</v>
          </cell>
          <cell r="H24">
            <v>-10252266</v>
          </cell>
          <cell r="I24">
            <v>0</v>
          </cell>
          <cell r="J24">
            <v>-10252266</v>
          </cell>
          <cell r="K24">
            <v>-10252266</v>
          </cell>
        </row>
        <row r="25">
          <cell r="F25">
            <v>0</v>
          </cell>
          <cell r="G25">
            <v>0</v>
          </cell>
          <cell r="H25">
            <v>0</v>
          </cell>
          <cell r="I25">
            <v>0</v>
          </cell>
          <cell r="J25">
            <v>0</v>
          </cell>
          <cell r="K25">
            <v>-17142795</v>
          </cell>
        </row>
        <row r="26">
          <cell r="F26">
            <v>0</v>
          </cell>
          <cell r="G26">
            <v>0</v>
          </cell>
          <cell r="H26">
            <v>0</v>
          </cell>
          <cell r="I26">
            <v>0</v>
          </cell>
          <cell r="J26">
            <v>0</v>
          </cell>
          <cell r="K26">
            <v>0</v>
          </cell>
        </row>
        <row r="27">
          <cell r="F27">
            <v>411824031</v>
          </cell>
          <cell r="G27">
            <v>0</v>
          </cell>
          <cell r="H27">
            <v>411824031</v>
          </cell>
          <cell r="I27">
            <v>0</v>
          </cell>
          <cell r="J27">
            <v>411824031</v>
          </cell>
          <cell r="K27">
            <v>187368238</v>
          </cell>
        </row>
        <row r="29">
          <cell r="F29">
            <v>0</v>
          </cell>
          <cell r="G29">
            <v>0</v>
          </cell>
          <cell r="H29">
            <v>0</v>
          </cell>
          <cell r="I29">
            <v>0</v>
          </cell>
          <cell r="J29">
            <v>0</v>
          </cell>
          <cell r="K29">
            <v>0</v>
          </cell>
        </row>
        <row r="31">
          <cell r="F31">
            <v>0</v>
          </cell>
          <cell r="G31">
            <v>0</v>
          </cell>
          <cell r="H31">
            <v>0</v>
          </cell>
          <cell r="I31">
            <v>0</v>
          </cell>
          <cell r="J31">
            <v>0</v>
          </cell>
          <cell r="K31">
            <v>12500000</v>
          </cell>
        </row>
        <row r="32">
          <cell r="F32">
            <v>108</v>
          </cell>
          <cell r="G32">
            <v>0</v>
          </cell>
          <cell r="H32">
            <v>108</v>
          </cell>
          <cell r="I32">
            <v>0</v>
          </cell>
          <cell r="J32">
            <v>108</v>
          </cell>
          <cell r="K32">
            <v>62974</v>
          </cell>
        </row>
        <row r="33">
          <cell r="F33">
            <v>-85</v>
          </cell>
          <cell r="G33">
            <v>0</v>
          </cell>
          <cell r="H33">
            <v>-85</v>
          </cell>
          <cell r="I33">
            <v>0</v>
          </cell>
          <cell r="J33">
            <v>-85</v>
          </cell>
          <cell r="K33">
            <v>-622644</v>
          </cell>
        </row>
        <row r="34">
          <cell r="F34">
            <v>50000000</v>
          </cell>
          <cell r="G34">
            <v>0</v>
          </cell>
          <cell r="H34">
            <v>50000000</v>
          </cell>
          <cell r="I34">
            <v>0</v>
          </cell>
          <cell r="J34">
            <v>50000000</v>
          </cell>
          <cell r="K34">
            <v>55602575</v>
          </cell>
        </row>
        <row r="35">
          <cell r="F35">
            <v>257250</v>
          </cell>
          <cell r="G35">
            <v>0</v>
          </cell>
          <cell r="H35">
            <v>257250</v>
          </cell>
          <cell r="I35">
            <v>0</v>
          </cell>
          <cell r="J35">
            <v>257250</v>
          </cell>
          <cell r="K35">
            <v>6418571</v>
          </cell>
        </row>
        <row r="36">
          <cell r="F36">
            <v>7171600</v>
          </cell>
          <cell r="G36">
            <v>0</v>
          </cell>
          <cell r="H36">
            <v>7171600</v>
          </cell>
          <cell r="I36">
            <v>0</v>
          </cell>
          <cell r="J36">
            <v>7171600</v>
          </cell>
          <cell r="K36">
            <v>-6122702</v>
          </cell>
        </row>
        <row r="37">
          <cell r="F37">
            <v>677900000</v>
          </cell>
          <cell r="G37">
            <v>0</v>
          </cell>
          <cell r="H37">
            <v>677900000</v>
          </cell>
          <cell r="I37">
            <v>0</v>
          </cell>
          <cell r="J37">
            <v>677900000</v>
          </cell>
          <cell r="K37">
            <v>441597425</v>
          </cell>
        </row>
        <row r="38">
          <cell r="F38">
            <v>3534970</v>
          </cell>
          <cell r="G38">
            <v>0</v>
          </cell>
          <cell r="H38">
            <v>3534970</v>
          </cell>
          <cell r="I38">
            <v>0</v>
          </cell>
          <cell r="J38">
            <v>3534970</v>
          </cell>
          <cell r="K38">
            <v>-5115899</v>
          </cell>
        </row>
        <row r="39">
          <cell r="F39">
            <v>54773401</v>
          </cell>
          <cell r="G39">
            <v>0</v>
          </cell>
          <cell r="H39">
            <v>54773401</v>
          </cell>
          <cell r="I39">
            <v>0</v>
          </cell>
          <cell r="J39">
            <v>54773401</v>
          </cell>
          <cell r="K39">
            <v>32071881</v>
          </cell>
        </row>
        <row r="40">
          <cell r="F40">
            <v>793637244</v>
          </cell>
          <cell r="G40">
            <v>0</v>
          </cell>
          <cell r="H40">
            <v>793637244</v>
          </cell>
          <cell r="I40">
            <v>0</v>
          </cell>
          <cell r="J40">
            <v>793637244</v>
          </cell>
          <cell r="K40">
            <v>536392181</v>
          </cell>
        </row>
        <row r="42">
          <cell r="F42">
            <v>0</v>
          </cell>
          <cell r="G42">
            <v>0</v>
          </cell>
          <cell r="H42">
            <v>0</v>
          </cell>
          <cell r="I42">
            <v>0</v>
          </cell>
          <cell r="J42">
            <v>0</v>
          </cell>
          <cell r="K42">
            <v>150000000</v>
          </cell>
        </row>
        <row r="43">
          <cell r="F43">
            <v>0</v>
          </cell>
          <cell r="G43">
            <v>0</v>
          </cell>
          <cell r="H43">
            <v>0</v>
          </cell>
          <cell r="I43">
            <v>0</v>
          </cell>
          <cell r="J43">
            <v>0</v>
          </cell>
          <cell r="K43">
            <v>150000000</v>
          </cell>
        </row>
        <row r="45">
          <cell r="F45">
            <v>0</v>
          </cell>
          <cell r="G45">
            <v>0</v>
          </cell>
          <cell r="H45">
            <v>0</v>
          </cell>
          <cell r="I45">
            <v>0</v>
          </cell>
          <cell r="J45">
            <v>0</v>
          </cell>
          <cell r="K45">
            <v>0</v>
          </cell>
        </row>
        <row r="47">
          <cell r="F47">
            <v>33758441</v>
          </cell>
          <cell r="G47">
            <v>0</v>
          </cell>
          <cell r="H47">
            <v>33758441</v>
          </cell>
          <cell r="I47">
            <v>0</v>
          </cell>
          <cell r="J47">
            <v>33758441</v>
          </cell>
          <cell r="K47">
            <v>31169091</v>
          </cell>
        </row>
        <row r="48">
          <cell r="F48">
            <v>-33758441</v>
          </cell>
          <cell r="G48">
            <v>0</v>
          </cell>
          <cell r="H48">
            <v>-33758441</v>
          </cell>
          <cell r="I48">
            <v>0</v>
          </cell>
          <cell r="J48">
            <v>-33758441</v>
          </cell>
          <cell r="K48">
            <v>-31169091</v>
          </cell>
        </row>
        <row r="49">
          <cell r="F49">
            <v>0</v>
          </cell>
          <cell r="G49">
            <v>0</v>
          </cell>
          <cell r="H49">
            <v>0</v>
          </cell>
          <cell r="I49">
            <v>0</v>
          </cell>
          <cell r="J49">
            <v>0</v>
          </cell>
          <cell r="K49">
            <v>1932528</v>
          </cell>
        </row>
        <row r="50">
          <cell r="F50">
            <v>620847</v>
          </cell>
          <cell r="G50">
            <v>0</v>
          </cell>
          <cell r="H50">
            <v>620847</v>
          </cell>
          <cell r="I50">
            <v>0</v>
          </cell>
          <cell r="J50">
            <v>620847</v>
          </cell>
          <cell r="K50">
            <v>0</v>
          </cell>
        </row>
        <row r="51">
          <cell r="F51">
            <v>537</v>
          </cell>
          <cell r="G51">
            <v>0</v>
          </cell>
          <cell r="H51">
            <v>537</v>
          </cell>
          <cell r="I51">
            <v>0</v>
          </cell>
          <cell r="J51">
            <v>537</v>
          </cell>
          <cell r="K51">
            <v>4414</v>
          </cell>
        </row>
        <row r="52">
          <cell r="F52">
            <v>17654</v>
          </cell>
          <cell r="G52">
            <v>0</v>
          </cell>
          <cell r="H52">
            <v>17654</v>
          </cell>
          <cell r="I52">
            <v>0</v>
          </cell>
          <cell r="J52">
            <v>17654</v>
          </cell>
          <cell r="K52">
            <v>20708</v>
          </cell>
        </row>
        <row r="53">
          <cell r="F53">
            <v>18763</v>
          </cell>
          <cell r="G53">
            <v>0</v>
          </cell>
          <cell r="H53">
            <v>18763</v>
          </cell>
          <cell r="I53">
            <v>0</v>
          </cell>
          <cell r="J53">
            <v>18763</v>
          </cell>
          <cell r="K53">
            <v>5654</v>
          </cell>
        </row>
        <row r="54">
          <cell r="F54">
            <v>169008</v>
          </cell>
          <cell r="G54">
            <v>0</v>
          </cell>
          <cell r="H54">
            <v>169008</v>
          </cell>
          <cell r="I54">
            <v>0</v>
          </cell>
          <cell r="J54">
            <v>169008</v>
          </cell>
          <cell r="K54">
            <v>82023</v>
          </cell>
        </row>
        <row r="55">
          <cell r="F55">
            <v>32528</v>
          </cell>
          <cell r="G55">
            <v>0</v>
          </cell>
          <cell r="H55">
            <v>32528</v>
          </cell>
          <cell r="I55">
            <v>0</v>
          </cell>
          <cell r="J55">
            <v>32528</v>
          </cell>
          <cell r="K55">
            <v>402093</v>
          </cell>
        </row>
        <row r="56">
          <cell r="F56">
            <v>1600798</v>
          </cell>
          <cell r="G56">
            <v>0</v>
          </cell>
          <cell r="H56">
            <v>1600798</v>
          </cell>
          <cell r="I56">
            <v>0</v>
          </cell>
          <cell r="J56">
            <v>1600798</v>
          </cell>
          <cell r="K56">
            <v>9440744</v>
          </cell>
        </row>
        <row r="57">
          <cell r="F57">
            <v>5316327</v>
          </cell>
          <cell r="G57">
            <v>0</v>
          </cell>
          <cell r="H57">
            <v>5316327</v>
          </cell>
          <cell r="I57">
            <v>0</v>
          </cell>
          <cell r="J57">
            <v>5316327</v>
          </cell>
          <cell r="K57">
            <v>-6153964</v>
          </cell>
        </row>
        <row r="58">
          <cell r="F58">
            <v>0</v>
          </cell>
          <cell r="G58">
            <v>0</v>
          </cell>
          <cell r="H58">
            <v>0</v>
          </cell>
          <cell r="I58">
            <v>0</v>
          </cell>
          <cell r="J58">
            <v>0</v>
          </cell>
          <cell r="K58">
            <v>0</v>
          </cell>
        </row>
        <row r="59">
          <cell r="F59">
            <v>22992329</v>
          </cell>
          <cell r="G59">
            <v>0</v>
          </cell>
          <cell r="H59">
            <v>22992329</v>
          </cell>
          <cell r="I59">
            <v>0</v>
          </cell>
          <cell r="J59">
            <v>22992329</v>
          </cell>
          <cell r="K59">
            <v>19018823</v>
          </cell>
        </row>
        <row r="60">
          <cell r="F60">
            <v>30768791</v>
          </cell>
          <cell r="G60">
            <v>0</v>
          </cell>
          <cell r="H60">
            <v>30768791</v>
          </cell>
          <cell r="I60">
            <v>0</v>
          </cell>
          <cell r="J60">
            <v>30768791</v>
          </cell>
          <cell r="K60">
            <v>24753023</v>
          </cell>
        </row>
        <row r="62">
          <cell r="F62">
            <v>138694</v>
          </cell>
          <cell r="G62">
            <v>0</v>
          </cell>
          <cell r="H62">
            <v>138694</v>
          </cell>
          <cell r="I62">
            <v>0</v>
          </cell>
          <cell r="J62">
            <v>138694</v>
          </cell>
          <cell r="K62">
            <v>128650</v>
          </cell>
        </row>
        <row r="63">
          <cell r="F63">
            <v>0</v>
          </cell>
          <cell r="G63">
            <v>0</v>
          </cell>
          <cell r="H63">
            <v>0</v>
          </cell>
          <cell r="I63">
            <v>0</v>
          </cell>
          <cell r="J63">
            <v>0</v>
          </cell>
          <cell r="K63">
            <v>0</v>
          </cell>
        </row>
        <row r="64">
          <cell r="F64">
            <v>138694</v>
          </cell>
          <cell r="G64">
            <v>0</v>
          </cell>
          <cell r="H64">
            <v>138694</v>
          </cell>
          <cell r="I64">
            <v>0</v>
          </cell>
          <cell r="J64">
            <v>138694</v>
          </cell>
          <cell r="K64">
            <v>128650</v>
          </cell>
        </row>
        <row r="66">
          <cell r="F66">
            <v>56587</v>
          </cell>
          <cell r="G66">
            <v>0</v>
          </cell>
          <cell r="H66">
            <v>56587</v>
          </cell>
          <cell r="I66">
            <v>0</v>
          </cell>
          <cell r="J66">
            <v>56587</v>
          </cell>
          <cell r="K66">
            <v>0</v>
          </cell>
        </row>
        <row r="67">
          <cell r="F67">
            <v>110927</v>
          </cell>
          <cell r="G67">
            <v>0</v>
          </cell>
          <cell r="H67">
            <v>110927</v>
          </cell>
          <cell r="I67">
            <v>0</v>
          </cell>
          <cell r="J67">
            <v>110927</v>
          </cell>
          <cell r="K67">
            <v>256417</v>
          </cell>
        </row>
        <row r="68">
          <cell r="F68">
            <v>167514</v>
          </cell>
          <cell r="G68">
            <v>0</v>
          </cell>
          <cell r="H68">
            <v>167514</v>
          </cell>
          <cell r="I68">
            <v>0</v>
          </cell>
          <cell r="J68">
            <v>167514</v>
          </cell>
          <cell r="K68">
            <v>256417</v>
          </cell>
        </row>
        <row r="70">
          <cell r="F70">
            <v>51523</v>
          </cell>
          <cell r="G70">
            <v>0</v>
          </cell>
          <cell r="H70">
            <v>51523</v>
          </cell>
          <cell r="I70">
            <v>0</v>
          </cell>
          <cell r="J70">
            <v>51523</v>
          </cell>
          <cell r="K70">
            <v>51523</v>
          </cell>
        </row>
        <row r="71">
          <cell r="F71">
            <v>51523</v>
          </cell>
          <cell r="G71">
            <v>0</v>
          </cell>
          <cell r="H71">
            <v>51523</v>
          </cell>
          <cell r="I71">
            <v>0</v>
          </cell>
          <cell r="J71">
            <v>51523</v>
          </cell>
          <cell r="K71">
            <v>51523</v>
          </cell>
        </row>
        <row r="73">
          <cell r="F73">
            <v>200000</v>
          </cell>
          <cell r="G73">
            <v>0</v>
          </cell>
          <cell r="H73">
            <v>200000</v>
          </cell>
          <cell r="I73">
            <v>0</v>
          </cell>
          <cell r="J73">
            <v>200000</v>
          </cell>
          <cell r="K73">
            <v>200000</v>
          </cell>
        </row>
        <row r="74">
          <cell r="F74">
            <v>200000</v>
          </cell>
          <cell r="G74">
            <v>0</v>
          </cell>
          <cell r="H74">
            <v>200000</v>
          </cell>
          <cell r="I74">
            <v>0</v>
          </cell>
          <cell r="J74">
            <v>200000</v>
          </cell>
          <cell r="K74">
            <v>200000</v>
          </cell>
        </row>
        <row r="76">
          <cell r="F76">
            <v>0</v>
          </cell>
          <cell r="G76">
            <v>0</v>
          </cell>
          <cell r="H76">
            <v>0</v>
          </cell>
          <cell r="I76">
            <v>0</v>
          </cell>
          <cell r="J76">
            <v>0</v>
          </cell>
          <cell r="K76">
            <v>0</v>
          </cell>
        </row>
        <row r="78">
          <cell r="F78">
            <v>0</v>
          </cell>
          <cell r="G78">
            <v>0</v>
          </cell>
          <cell r="H78">
            <v>0</v>
          </cell>
          <cell r="I78">
            <v>0</v>
          </cell>
          <cell r="J78">
            <v>0</v>
          </cell>
          <cell r="K78">
            <v>0</v>
          </cell>
        </row>
        <row r="79">
          <cell r="F79">
            <v>0</v>
          </cell>
          <cell r="G79">
            <v>0</v>
          </cell>
          <cell r="H79">
            <v>0</v>
          </cell>
          <cell r="I79">
            <v>0</v>
          </cell>
          <cell r="J79">
            <v>0</v>
          </cell>
          <cell r="K79">
            <v>0</v>
          </cell>
        </row>
        <row r="81">
          <cell r="F81">
            <v>0</v>
          </cell>
          <cell r="G81">
            <v>0</v>
          </cell>
          <cell r="H81">
            <v>0</v>
          </cell>
          <cell r="I81">
            <v>0</v>
          </cell>
          <cell r="J81">
            <v>0</v>
          </cell>
          <cell r="K81">
            <v>0</v>
          </cell>
        </row>
        <row r="83">
          <cell r="F83">
            <v>-4731339</v>
          </cell>
          <cell r="G83">
            <v>0</v>
          </cell>
          <cell r="H83">
            <v>-4731339</v>
          </cell>
          <cell r="I83">
            <v>0</v>
          </cell>
          <cell r="J83">
            <v>-4731339</v>
          </cell>
          <cell r="K83">
            <v>-1690104</v>
          </cell>
        </row>
        <row r="84">
          <cell r="F84">
            <v>-662388</v>
          </cell>
          <cell r="G84">
            <v>0</v>
          </cell>
          <cell r="H84">
            <v>-662388</v>
          </cell>
          <cell r="I84">
            <v>0</v>
          </cell>
          <cell r="J84">
            <v>-662388</v>
          </cell>
          <cell r="K84">
            <v>-231916</v>
          </cell>
        </row>
        <row r="85">
          <cell r="F85">
            <v>-60005</v>
          </cell>
          <cell r="G85">
            <v>0</v>
          </cell>
          <cell r="H85">
            <v>-60005</v>
          </cell>
          <cell r="I85">
            <v>0</v>
          </cell>
          <cell r="J85">
            <v>-60005</v>
          </cell>
          <cell r="K85">
            <v>-100000</v>
          </cell>
        </row>
        <row r="86">
          <cell r="F86">
            <v>-5453732</v>
          </cell>
          <cell r="G86">
            <v>0</v>
          </cell>
          <cell r="H86">
            <v>-5453732</v>
          </cell>
          <cell r="I86">
            <v>0</v>
          </cell>
          <cell r="J86">
            <v>-5453732</v>
          </cell>
          <cell r="K86">
            <v>-2022020</v>
          </cell>
        </row>
        <row r="88">
          <cell r="F88">
            <v>-337825</v>
          </cell>
          <cell r="G88">
            <v>0</v>
          </cell>
          <cell r="H88">
            <v>-337825</v>
          </cell>
          <cell r="I88">
            <v>0</v>
          </cell>
          <cell r="J88">
            <v>-337825</v>
          </cell>
          <cell r="K88">
            <v>-156214</v>
          </cell>
        </row>
        <row r="89">
          <cell r="F89">
            <v>-337825</v>
          </cell>
          <cell r="G89">
            <v>0</v>
          </cell>
          <cell r="H89">
            <v>-337825</v>
          </cell>
          <cell r="I89">
            <v>0</v>
          </cell>
          <cell r="J89">
            <v>-337825</v>
          </cell>
          <cell r="K89">
            <v>-156214</v>
          </cell>
        </row>
        <row r="91">
          <cell r="F91">
            <v>-2424744</v>
          </cell>
          <cell r="G91">
            <v>0</v>
          </cell>
          <cell r="H91">
            <v>-2424744</v>
          </cell>
          <cell r="I91">
            <v>0</v>
          </cell>
          <cell r="J91">
            <v>-2424744</v>
          </cell>
          <cell r="K91">
            <v>-1186864</v>
          </cell>
        </row>
        <row r="92">
          <cell r="F92">
            <v>-2424744</v>
          </cell>
          <cell r="G92">
            <v>0</v>
          </cell>
          <cell r="H92">
            <v>-2424744</v>
          </cell>
          <cell r="I92">
            <v>0</v>
          </cell>
          <cell r="J92">
            <v>-2424744</v>
          </cell>
          <cell r="K92">
            <v>-1186864</v>
          </cell>
        </row>
        <row r="94">
          <cell r="F94">
            <v>-3108199</v>
          </cell>
          <cell r="G94">
            <v>0</v>
          </cell>
          <cell r="H94">
            <v>-3108199</v>
          </cell>
          <cell r="I94">
            <v>0</v>
          </cell>
          <cell r="J94">
            <v>-3108199</v>
          </cell>
          <cell r="K94">
            <v>-4589064</v>
          </cell>
        </row>
        <row r="95">
          <cell r="F95">
            <v>-3108199</v>
          </cell>
          <cell r="G95">
            <v>0</v>
          </cell>
          <cell r="H95">
            <v>-3108199</v>
          </cell>
          <cell r="I95">
            <v>0</v>
          </cell>
          <cell r="J95">
            <v>-3108199</v>
          </cell>
          <cell r="K95">
            <v>-4589064</v>
          </cell>
        </row>
        <row r="97">
          <cell r="F97">
            <v>0</v>
          </cell>
          <cell r="G97">
            <v>0</v>
          </cell>
          <cell r="H97">
            <v>0</v>
          </cell>
          <cell r="I97">
            <v>0</v>
          </cell>
          <cell r="J97">
            <v>0</v>
          </cell>
          <cell r="K97">
            <v>0</v>
          </cell>
        </row>
        <row r="99">
          <cell r="F99">
            <v>0</v>
          </cell>
          <cell r="G99">
            <v>0</v>
          </cell>
          <cell r="H99">
            <v>0</v>
          </cell>
          <cell r="I99">
            <v>0</v>
          </cell>
          <cell r="J99">
            <v>0</v>
          </cell>
          <cell r="K99">
            <v>0</v>
          </cell>
        </row>
        <row r="100">
          <cell r="F100">
            <v>-1330490</v>
          </cell>
          <cell r="G100">
            <v>0</v>
          </cell>
          <cell r="H100">
            <v>-1330490</v>
          </cell>
          <cell r="I100">
            <v>0</v>
          </cell>
          <cell r="J100">
            <v>-1330490</v>
          </cell>
          <cell r="K100">
            <v>-1194352</v>
          </cell>
        </row>
        <row r="101">
          <cell r="F101">
            <v>-16589808</v>
          </cell>
          <cell r="G101">
            <v>0</v>
          </cell>
          <cell r="H101">
            <v>-16589808</v>
          </cell>
          <cell r="I101">
            <v>0</v>
          </cell>
          <cell r="J101">
            <v>-16589808</v>
          </cell>
          <cell r="K101">
            <v>-7754800</v>
          </cell>
        </row>
        <row r="102">
          <cell r="F102">
            <v>-47299</v>
          </cell>
          <cell r="G102">
            <v>0</v>
          </cell>
          <cell r="H102">
            <v>-47299</v>
          </cell>
          <cell r="I102">
            <v>0</v>
          </cell>
          <cell r="J102">
            <v>-47299</v>
          </cell>
          <cell r="K102">
            <v>0</v>
          </cell>
        </row>
        <row r="103">
          <cell r="F103">
            <v>-4746222</v>
          </cell>
          <cell r="G103">
            <v>0</v>
          </cell>
          <cell r="H103">
            <v>-4746222</v>
          </cell>
          <cell r="I103">
            <v>0</v>
          </cell>
          <cell r="J103">
            <v>-4746222</v>
          </cell>
          <cell r="K103">
            <v>0</v>
          </cell>
        </row>
        <row r="104">
          <cell r="F104">
            <v>-5</v>
          </cell>
          <cell r="G104">
            <v>0</v>
          </cell>
          <cell r="H104">
            <v>-5</v>
          </cell>
          <cell r="I104">
            <v>0</v>
          </cell>
          <cell r="J104">
            <v>-5</v>
          </cell>
          <cell r="K104">
            <v>0</v>
          </cell>
        </row>
        <row r="105">
          <cell r="F105">
            <v>-344315</v>
          </cell>
          <cell r="G105">
            <v>0</v>
          </cell>
          <cell r="H105">
            <v>-344315</v>
          </cell>
          <cell r="I105">
            <v>0</v>
          </cell>
          <cell r="J105">
            <v>-344315</v>
          </cell>
          <cell r="K105">
            <v>-183914</v>
          </cell>
        </row>
        <row r="106">
          <cell r="F106">
            <v>0</v>
          </cell>
          <cell r="G106">
            <v>0</v>
          </cell>
          <cell r="H106">
            <v>0</v>
          </cell>
          <cell r="I106">
            <v>0</v>
          </cell>
          <cell r="J106">
            <v>0</v>
          </cell>
          <cell r="K106">
            <v>0</v>
          </cell>
        </row>
        <row r="107">
          <cell r="F107">
            <v>-18228155</v>
          </cell>
          <cell r="G107">
            <v>0</v>
          </cell>
          <cell r="H107">
            <v>-18228155</v>
          </cell>
          <cell r="I107">
            <v>0</v>
          </cell>
          <cell r="J107">
            <v>-18228155</v>
          </cell>
          <cell r="K107">
            <v>-18228155</v>
          </cell>
        </row>
        <row r="108">
          <cell r="F108">
            <v>-418935</v>
          </cell>
          <cell r="G108">
            <v>0</v>
          </cell>
          <cell r="H108">
            <v>-418935</v>
          </cell>
          <cell r="I108">
            <v>0</v>
          </cell>
          <cell r="J108">
            <v>-418935</v>
          </cell>
          <cell r="K108">
            <v>-367500</v>
          </cell>
        </row>
        <row r="109">
          <cell r="F109">
            <v>-1667086</v>
          </cell>
          <cell r="G109">
            <v>0</v>
          </cell>
          <cell r="H109">
            <v>-1667086</v>
          </cell>
          <cell r="I109">
            <v>0</v>
          </cell>
          <cell r="J109">
            <v>-1667086</v>
          </cell>
          <cell r="K109">
            <v>-46654</v>
          </cell>
        </row>
        <row r="110">
          <cell r="F110">
            <v>-9278472</v>
          </cell>
          <cell r="G110">
            <v>0</v>
          </cell>
          <cell r="H110">
            <v>-9278472</v>
          </cell>
          <cell r="I110">
            <v>0</v>
          </cell>
          <cell r="J110">
            <v>-9278472</v>
          </cell>
          <cell r="K110">
            <v>-8281615</v>
          </cell>
        </row>
        <row r="111">
          <cell r="F111">
            <v>-695032</v>
          </cell>
          <cell r="G111">
            <v>0</v>
          </cell>
          <cell r="H111">
            <v>-695032</v>
          </cell>
          <cell r="I111">
            <v>0</v>
          </cell>
          <cell r="J111">
            <v>-695032</v>
          </cell>
          <cell r="K111">
            <v>-695032</v>
          </cell>
        </row>
        <row r="112">
          <cell r="F112">
            <v>-20716</v>
          </cell>
          <cell r="G112">
            <v>0</v>
          </cell>
          <cell r="H112">
            <v>-20716</v>
          </cell>
          <cell r="I112">
            <v>0</v>
          </cell>
          <cell r="J112">
            <v>-20716</v>
          </cell>
          <cell r="K112">
            <v>-10217</v>
          </cell>
        </row>
        <row r="113">
          <cell r="F113">
            <v>-100037</v>
          </cell>
          <cell r="G113">
            <v>0</v>
          </cell>
          <cell r="H113">
            <v>-100037</v>
          </cell>
          <cell r="I113">
            <v>0</v>
          </cell>
          <cell r="J113">
            <v>-100037</v>
          </cell>
          <cell r="K113">
            <v>-100625</v>
          </cell>
        </row>
        <row r="114">
          <cell r="F114">
            <v>-636349</v>
          </cell>
          <cell r="G114">
            <v>0</v>
          </cell>
          <cell r="H114">
            <v>-636349</v>
          </cell>
          <cell r="I114">
            <v>0</v>
          </cell>
          <cell r="J114">
            <v>-636349</v>
          </cell>
          <cell r="K114">
            <v>0</v>
          </cell>
        </row>
        <row r="115">
          <cell r="F115">
            <v>-54102921</v>
          </cell>
          <cell r="G115">
            <v>0</v>
          </cell>
          <cell r="H115">
            <v>-54102921</v>
          </cell>
          <cell r="I115">
            <v>0</v>
          </cell>
          <cell r="J115">
            <v>-54102921</v>
          </cell>
          <cell r="K115">
            <v>-36862864</v>
          </cell>
        </row>
        <row r="117">
          <cell r="F117">
            <v>0</v>
          </cell>
          <cell r="G117">
            <v>0</v>
          </cell>
          <cell r="H117">
            <v>0</v>
          </cell>
          <cell r="I117">
            <v>0</v>
          </cell>
          <cell r="J117">
            <v>0</v>
          </cell>
          <cell r="K117">
            <v>0</v>
          </cell>
        </row>
        <row r="119">
          <cell r="F119">
            <v>0</v>
          </cell>
          <cell r="G119">
            <v>0</v>
          </cell>
          <cell r="H119">
            <v>0</v>
          </cell>
          <cell r="I119">
            <v>0</v>
          </cell>
          <cell r="J119">
            <v>0</v>
          </cell>
          <cell r="K119">
            <v>0</v>
          </cell>
        </row>
        <row r="121">
          <cell r="F121">
            <v>0</v>
          </cell>
          <cell r="G121">
            <v>0</v>
          </cell>
          <cell r="H121">
            <v>0</v>
          </cell>
          <cell r="I121">
            <v>0</v>
          </cell>
          <cell r="J121">
            <v>0</v>
          </cell>
          <cell r="K121">
            <v>0</v>
          </cell>
        </row>
        <row r="123">
          <cell r="F123">
            <v>-8059575</v>
          </cell>
          <cell r="G123">
            <v>0</v>
          </cell>
          <cell r="H123">
            <v>-8059575</v>
          </cell>
          <cell r="I123">
            <v>0</v>
          </cell>
          <cell r="J123">
            <v>-8059575</v>
          </cell>
          <cell r="K123">
            <v>4981651</v>
          </cell>
        </row>
        <row r="124">
          <cell r="F124">
            <v>-8059575</v>
          </cell>
          <cell r="G124">
            <v>0</v>
          </cell>
          <cell r="H124">
            <v>-8059575</v>
          </cell>
          <cell r="I124">
            <v>0</v>
          </cell>
          <cell r="J124">
            <v>-8059575</v>
          </cell>
          <cell r="K124">
            <v>4981651</v>
          </cell>
        </row>
        <row r="126">
          <cell r="F126">
            <v>101531700</v>
          </cell>
          <cell r="G126">
            <v>0</v>
          </cell>
          <cell r="H126">
            <v>101531700</v>
          </cell>
          <cell r="I126">
            <v>0</v>
          </cell>
          <cell r="J126">
            <v>101531700</v>
          </cell>
          <cell r="K126">
            <v>81539966</v>
          </cell>
        </row>
        <row r="127">
          <cell r="F127">
            <v>101531700</v>
          </cell>
          <cell r="G127">
            <v>0</v>
          </cell>
          <cell r="H127">
            <v>101531700</v>
          </cell>
          <cell r="I127">
            <v>0</v>
          </cell>
          <cell r="J127">
            <v>101531700</v>
          </cell>
          <cell r="K127">
            <v>81539966</v>
          </cell>
        </row>
        <row r="129">
          <cell r="F129">
            <v>-3619526683</v>
          </cell>
          <cell r="G129">
            <v>0</v>
          </cell>
          <cell r="H129">
            <v>-3619526683</v>
          </cell>
          <cell r="I129">
            <v>0</v>
          </cell>
          <cell r="J129">
            <v>-3619526683</v>
          </cell>
          <cell r="K129">
            <v>-1926514293</v>
          </cell>
        </row>
        <row r="130">
          <cell r="F130">
            <v>1104223371</v>
          </cell>
          <cell r="G130">
            <v>0</v>
          </cell>
          <cell r="H130">
            <v>1104223371</v>
          </cell>
          <cell r="I130">
            <v>0</v>
          </cell>
          <cell r="J130">
            <v>1104223371</v>
          </cell>
          <cell r="K130">
            <v>2444365150</v>
          </cell>
        </row>
        <row r="131">
          <cell r="F131">
            <v>-3148274875</v>
          </cell>
          <cell r="G131">
            <v>0</v>
          </cell>
          <cell r="H131">
            <v>-3148274875</v>
          </cell>
          <cell r="I131">
            <v>0</v>
          </cell>
          <cell r="J131">
            <v>-3148274875</v>
          </cell>
          <cell r="K131">
            <v>-905792371</v>
          </cell>
        </row>
        <row r="132">
          <cell r="F132">
            <v>4289450608</v>
          </cell>
          <cell r="G132">
            <v>0</v>
          </cell>
          <cell r="H132">
            <v>4289450608</v>
          </cell>
          <cell r="I132">
            <v>0</v>
          </cell>
          <cell r="J132">
            <v>4289450608</v>
          </cell>
          <cell r="K132">
            <v>1217912416</v>
          </cell>
        </row>
        <row r="133">
          <cell r="F133">
            <v>104865494</v>
          </cell>
          <cell r="G133">
            <v>0</v>
          </cell>
          <cell r="H133">
            <v>104865494</v>
          </cell>
          <cell r="I133">
            <v>0</v>
          </cell>
          <cell r="J133">
            <v>104865494</v>
          </cell>
          <cell r="K133">
            <v>-10668890</v>
          </cell>
        </row>
        <row r="134">
          <cell r="F134">
            <v>-968707905</v>
          </cell>
          <cell r="G134">
            <v>0</v>
          </cell>
          <cell r="H134">
            <v>-968707905</v>
          </cell>
          <cell r="I134">
            <v>0</v>
          </cell>
          <cell r="J134">
            <v>-968707905</v>
          </cell>
          <cell r="K134">
            <v>-1677165963</v>
          </cell>
        </row>
        <row r="135">
          <cell r="F135">
            <v>-2237969990</v>
          </cell>
          <cell r="G135">
            <v>0</v>
          </cell>
          <cell r="H135">
            <v>-2237969990</v>
          </cell>
          <cell r="I135">
            <v>0</v>
          </cell>
          <cell r="J135">
            <v>-2237969990</v>
          </cell>
          <cell r="K135">
            <v>-857863951</v>
          </cell>
        </row>
        <row r="137">
          <cell r="F137">
            <v>-133135554</v>
          </cell>
          <cell r="G137">
            <v>0</v>
          </cell>
          <cell r="H137">
            <v>-133135554</v>
          </cell>
          <cell r="I137">
            <v>0</v>
          </cell>
          <cell r="J137">
            <v>-133135554</v>
          </cell>
          <cell r="K137">
            <v>-90373946</v>
          </cell>
        </row>
        <row r="138">
          <cell r="F138">
            <v>-133135554</v>
          </cell>
          <cell r="G138">
            <v>0</v>
          </cell>
          <cell r="H138">
            <v>-133135554</v>
          </cell>
          <cell r="I138">
            <v>0</v>
          </cell>
          <cell r="J138">
            <v>-133135554</v>
          </cell>
          <cell r="K138">
            <v>-90373946</v>
          </cell>
        </row>
        <row r="140">
          <cell r="F140">
            <v>0</v>
          </cell>
          <cell r="G140">
            <v>0</v>
          </cell>
          <cell r="H140">
            <v>0</v>
          </cell>
          <cell r="I140">
            <v>0</v>
          </cell>
          <cell r="J140">
            <v>0</v>
          </cell>
          <cell r="K140">
            <v>0</v>
          </cell>
        </row>
        <row r="142">
          <cell r="F142">
            <v>351220</v>
          </cell>
          <cell r="G142">
            <v>0</v>
          </cell>
          <cell r="H142">
            <v>351220</v>
          </cell>
          <cell r="I142">
            <v>0</v>
          </cell>
          <cell r="J142">
            <v>351220</v>
          </cell>
          <cell r="K142">
            <v>-784271</v>
          </cell>
        </row>
        <row r="143">
          <cell r="F143">
            <v>13904550</v>
          </cell>
          <cell r="G143">
            <v>0</v>
          </cell>
          <cell r="H143">
            <v>13904550</v>
          </cell>
          <cell r="I143">
            <v>0</v>
          </cell>
          <cell r="J143">
            <v>13904550</v>
          </cell>
          <cell r="K143">
            <v>-71280248</v>
          </cell>
        </row>
        <row r="144">
          <cell r="F144">
            <v>-842630</v>
          </cell>
          <cell r="G144">
            <v>0</v>
          </cell>
          <cell r="H144">
            <v>-842630</v>
          </cell>
          <cell r="I144">
            <v>0</v>
          </cell>
          <cell r="J144">
            <v>-842630</v>
          </cell>
          <cell r="K144">
            <v>-330138</v>
          </cell>
        </row>
        <row r="145">
          <cell r="F145">
            <v>13413140</v>
          </cell>
          <cell r="G145">
            <v>0</v>
          </cell>
          <cell r="H145">
            <v>13413140</v>
          </cell>
          <cell r="I145">
            <v>0</v>
          </cell>
          <cell r="J145">
            <v>13413140</v>
          </cell>
          <cell r="K145">
            <v>-72394657</v>
          </cell>
        </row>
        <row r="147">
          <cell r="F147">
            <v>0</v>
          </cell>
          <cell r="G147">
            <v>0</v>
          </cell>
          <cell r="H147">
            <v>0</v>
          </cell>
          <cell r="I147">
            <v>0</v>
          </cell>
          <cell r="J147">
            <v>0</v>
          </cell>
          <cell r="K147">
            <v>0</v>
          </cell>
        </row>
        <row r="149">
          <cell r="F149">
            <v>-24347106</v>
          </cell>
          <cell r="G149">
            <v>0</v>
          </cell>
          <cell r="H149">
            <v>-24347106</v>
          </cell>
          <cell r="I149">
            <v>0</v>
          </cell>
          <cell r="J149">
            <v>-24347106</v>
          </cell>
          <cell r="K149">
            <v>-31652140</v>
          </cell>
        </row>
        <row r="150">
          <cell r="F150">
            <v>-14737</v>
          </cell>
          <cell r="G150">
            <v>0</v>
          </cell>
          <cell r="H150">
            <v>-14737</v>
          </cell>
          <cell r="I150">
            <v>0</v>
          </cell>
          <cell r="J150">
            <v>-14737</v>
          </cell>
          <cell r="K150">
            <v>-962972</v>
          </cell>
        </row>
        <row r="151">
          <cell r="F151">
            <v>-5096076</v>
          </cell>
          <cell r="G151">
            <v>0</v>
          </cell>
          <cell r="H151">
            <v>-5096076</v>
          </cell>
          <cell r="I151">
            <v>0</v>
          </cell>
          <cell r="J151">
            <v>-5096076</v>
          </cell>
          <cell r="K151">
            <v>-4202792</v>
          </cell>
        </row>
        <row r="152">
          <cell r="F152">
            <v>1876207</v>
          </cell>
          <cell r="G152">
            <v>0</v>
          </cell>
          <cell r="H152">
            <v>1876207</v>
          </cell>
          <cell r="I152">
            <v>0</v>
          </cell>
          <cell r="J152">
            <v>1876207</v>
          </cell>
          <cell r="K152">
            <v>0</v>
          </cell>
        </row>
        <row r="153">
          <cell r="F153">
            <v>6880</v>
          </cell>
          <cell r="G153">
            <v>0</v>
          </cell>
          <cell r="H153">
            <v>6880</v>
          </cell>
          <cell r="I153">
            <v>0</v>
          </cell>
          <cell r="J153">
            <v>6880</v>
          </cell>
          <cell r="K153">
            <v>4340836</v>
          </cell>
        </row>
        <row r="154">
          <cell r="F154">
            <v>-27574832</v>
          </cell>
          <cell r="G154">
            <v>0</v>
          </cell>
          <cell r="H154">
            <v>-27574832</v>
          </cell>
          <cell r="I154">
            <v>0</v>
          </cell>
          <cell r="J154">
            <v>-27574832</v>
          </cell>
          <cell r="K154">
            <v>-32477068</v>
          </cell>
        </row>
        <row r="156">
          <cell r="F156">
            <v>-198489941</v>
          </cell>
          <cell r="G156">
            <v>0</v>
          </cell>
          <cell r="H156">
            <v>-198489941</v>
          </cell>
          <cell r="I156">
            <v>0</v>
          </cell>
          <cell r="J156">
            <v>-198489941</v>
          </cell>
          <cell r="K156">
            <v>-114963915</v>
          </cell>
        </row>
        <row r="157">
          <cell r="F157">
            <v>-32648906</v>
          </cell>
          <cell r="G157">
            <v>0</v>
          </cell>
          <cell r="H157">
            <v>-32648906</v>
          </cell>
          <cell r="I157">
            <v>0</v>
          </cell>
          <cell r="J157">
            <v>-32648906</v>
          </cell>
          <cell r="K157">
            <v>-13422664</v>
          </cell>
        </row>
        <row r="158">
          <cell r="F158">
            <v>-231138847</v>
          </cell>
          <cell r="G158">
            <v>0</v>
          </cell>
          <cell r="H158">
            <v>-231138847</v>
          </cell>
          <cell r="I158">
            <v>0</v>
          </cell>
          <cell r="J158">
            <v>-231138847</v>
          </cell>
          <cell r="K158">
            <v>-128386579</v>
          </cell>
        </row>
        <row r="160">
          <cell r="F160">
            <v>0</v>
          </cell>
          <cell r="G160">
            <v>0</v>
          </cell>
          <cell r="H160">
            <v>0</v>
          </cell>
          <cell r="I160">
            <v>0</v>
          </cell>
          <cell r="J160">
            <v>0</v>
          </cell>
          <cell r="K160">
            <v>0</v>
          </cell>
        </row>
        <row r="162">
          <cell r="F162">
            <v>-10397042</v>
          </cell>
          <cell r="G162">
            <v>0</v>
          </cell>
          <cell r="H162">
            <v>-10397042</v>
          </cell>
          <cell r="I162">
            <v>0</v>
          </cell>
          <cell r="J162">
            <v>-10397042</v>
          </cell>
          <cell r="K162">
            <v>-1932528</v>
          </cell>
        </row>
        <row r="163">
          <cell r="F163">
            <v>-10397042</v>
          </cell>
          <cell r="G163">
            <v>0</v>
          </cell>
          <cell r="H163">
            <v>-10397042</v>
          </cell>
          <cell r="I163">
            <v>0</v>
          </cell>
          <cell r="J163">
            <v>-10397042</v>
          </cell>
          <cell r="K163">
            <v>-1932528</v>
          </cell>
        </row>
        <row r="165">
          <cell r="F165">
            <v>-1563</v>
          </cell>
          <cell r="G165">
            <v>0</v>
          </cell>
          <cell r="H165">
            <v>-1563</v>
          </cell>
          <cell r="I165">
            <v>0</v>
          </cell>
          <cell r="J165">
            <v>-1563</v>
          </cell>
          <cell r="K165">
            <v>-450</v>
          </cell>
        </row>
        <row r="166">
          <cell r="F166">
            <v>-1563</v>
          </cell>
          <cell r="G166">
            <v>0</v>
          </cell>
          <cell r="H166">
            <v>-1563</v>
          </cell>
          <cell r="I166">
            <v>0</v>
          </cell>
          <cell r="J166">
            <v>-1563</v>
          </cell>
          <cell r="K166">
            <v>-450</v>
          </cell>
        </row>
        <row r="168">
          <cell r="F168">
            <v>-225000</v>
          </cell>
          <cell r="G168">
            <v>0</v>
          </cell>
          <cell r="H168">
            <v>-225000</v>
          </cell>
          <cell r="I168">
            <v>0</v>
          </cell>
          <cell r="J168">
            <v>-225000</v>
          </cell>
          <cell r="K168">
            <v>-250000</v>
          </cell>
        </row>
        <row r="169">
          <cell r="F169">
            <v>-225000</v>
          </cell>
          <cell r="G169">
            <v>0</v>
          </cell>
          <cell r="H169">
            <v>-225000</v>
          </cell>
          <cell r="I169">
            <v>0</v>
          </cell>
          <cell r="J169">
            <v>-225000</v>
          </cell>
          <cell r="K169">
            <v>-250000</v>
          </cell>
        </row>
        <row r="171">
          <cell r="F171">
            <v>-2887599</v>
          </cell>
          <cell r="G171">
            <v>0</v>
          </cell>
          <cell r="H171">
            <v>-2887599</v>
          </cell>
          <cell r="I171">
            <v>0</v>
          </cell>
          <cell r="J171">
            <v>-2887599</v>
          </cell>
          <cell r="K171">
            <v>-52815</v>
          </cell>
        </row>
        <row r="172">
          <cell r="F172">
            <v>-450897</v>
          </cell>
          <cell r="G172">
            <v>0</v>
          </cell>
          <cell r="H172">
            <v>-450897</v>
          </cell>
          <cell r="I172">
            <v>0</v>
          </cell>
          <cell r="J172">
            <v>-450897</v>
          </cell>
          <cell r="K172">
            <v>-580047</v>
          </cell>
        </row>
        <row r="173">
          <cell r="F173">
            <v>-234339</v>
          </cell>
          <cell r="G173">
            <v>0</v>
          </cell>
          <cell r="H173">
            <v>-234339</v>
          </cell>
          <cell r="I173">
            <v>0</v>
          </cell>
          <cell r="J173">
            <v>-234339</v>
          </cell>
          <cell r="K173">
            <v>-299378</v>
          </cell>
        </row>
        <row r="174">
          <cell r="F174">
            <v>-236307</v>
          </cell>
          <cell r="G174">
            <v>0</v>
          </cell>
          <cell r="H174">
            <v>-236307</v>
          </cell>
          <cell r="I174">
            <v>0</v>
          </cell>
          <cell r="J174">
            <v>-236307</v>
          </cell>
          <cell r="K174">
            <v>-152554</v>
          </cell>
        </row>
        <row r="175">
          <cell r="F175">
            <v>-1475264</v>
          </cell>
          <cell r="G175">
            <v>0</v>
          </cell>
          <cell r="H175">
            <v>-1475264</v>
          </cell>
          <cell r="I175">
            <v>0</v>
          </cell>
          <cell r="J175">
            <v>-1475264</v>
          </cell>
          <cell r="K175">
            <v>-1961315</v>
          </cell>
        </row>
        <row r="176">
          <cell r="F176">
            <v>-263</v>
          </cell>
          <cell r="G176">
            <v>0</v>
          </cell>
          <cell r="H176">
            <v>-263</v>
          </cell>
          <cell r="I176">
            <v>0</v>
          </cell>
          <cell r="J176">
            <v>-263</v>
          </cell>
          <cell r="K176">
            <v>0</v>
          </cell>
        </row>
        <row r="177">
          <cell r="F177">
            <v>-14480932</v>
          </cell>
          <cell r="G177">
            <v>0</v>
          </cell>
          <cell r="H177">
            <v>-14480932</v>
          </cell>
          <cell r="I177">
            <v>0</v>
          </cell>
          <cell r="J177">
            <v>-14480932</v>
          </cell>
          <cell r="K177">
            <v>-6830195</v>
          </cell>
        </row>
        <row r="178">
          <cell r="F178">
            <v>0</v>
          </cell>
          <cell r="G178">
            <v>0</v>
          </cell>
          <cell r="H178">
            <v>0</v>
          </cell>
          <cell r="I178">
            <v>0</v>
          </cell>
          <cell r="J178">
            <v>0</v>
          </cell>
          <cell r="K178">
            <v>-192917</v>
          </cell>
        </row>
        <row r="179">
          <cell r="F179">
            <v>-123685</v>
          </cell>
          <cell r="G179">
            <v>0</v>
          </cell>
          <cell r="H179">
            <v>-123685</v>
          </cell>
          <cell r="I179">
            <v>0</v>
          </cell>
          <cell r="J179">
            <v>-123685</v>
          </cell>
          <cell r="K179">
            <v>-21224</v>
          </cell>
        </row>
        <row r="180">
          <cell r="F180">
            <v>-19889286</v>
          </cell>
          <cell r="G180">
            <v>0</v>
          </cell>
          <cell r="H180">
            <v>-19889286</v>
          </cell>
          <cell r="I180">
            <v>0</v>
          </cell>
          <cell r="J180">
            <v>-19889286</v>
          </cell>
          <cell r="K180">
            <v>-10090445</v>
          </cell>
        </row>
        <row r="182">
          <cell r="F182">
            <v>-1031154</v>
          </cell>
          <cell r="G182">
            <v>0</v>
          </cell>
          <cell r="H182">
            <v>-1031154</v>
          </cell>
          <cell r="I182">
            <v>0</v>
          </cell>
          <cell r="J182">
            <v>-1031154</v>
          </cell>
          <cell r="K182">
            <v>-227295</v>
          </cell>
        </row>
        <row r="183">
          <cell r="F183">
            <v>-257250</v>
          </cell>
          <cell r="G183">
            <v>0</v>
          </cell>
          <cell r="H183">
            <v>-257250</v>
          </cell>
          <cell r="I183">
            <v>0</v>
          </cell>
          <cell r="J183">
            <v>-257250</v>
          </cell>
          <cell r="K183">
            <v>-5595045</v>
          </cell>
        </row>
        <row r="184">
          <cell r="F184">
            <v>-55</v>
          </cell>
          <cell r="G184">
            <v>0</v>
          </cell>
          <cell r="H184">
            <v>-55</v>
          </cell>
          <cell r="I184">
            <v>0</v>
          </cell>
          <cell r="J184">
            <v>-55</v>
          </cell>
          <cell r="K184">
            <v>-62964</v>
          </cell>
        </row>
        <row r="185">
          <cell r="F185">
            <v>-1288459</v>
          </cell>
          <cell r="G185">
            <v>0</v>
          </cell>
          <cell r="H185">
            <v>-1288459</v>
          </cell>
          <cell r="I185">
            <v>0</v>
          </cell>
          <cell r="J185">
            <v>-1288459</v>
          </cell>
          <cell r="K185">
            <v>-5885304</v>
          </cell>
        </row>
        <row r="187">
          <cell r="F187">
            <v>-12045683</v>
          </cell>
          <cell r="G187">
            <v>0</v>
          </cell>
          <cell r="H187">
            <v>-12045683</v>
          </cell>
          <cell r="I187">
            <v>0</v>
          </cell>
          <cell r="J187">
            <v>-12045683</v>
          </cell>
          <cell r="K187">
            <v>0</v>
          </cell>
        </row>
        <row r="188">
          <cell r="F188">
            <v>0</v>
          </cell>
          <cell r="G188">
            <v>0</v>
          </cell>
          <cell r="H188">
            <v>0</v>
          </cell>
          <cell r="I188">
            <v>0</v>
          </cell>
          <cell r="J188">
            <v>0</v>
          </cell>
          <cell r="K188">
            <v>3893195</v>
          </cell>
        </row>
        <row r="189">
          <cell r="F189">
            <v>-12045683</v>
          </cell>
          <cell r="G189">
            <v>0</v>
          </cell>
          <cell r="H189">
            <v>-12045683</v>
          </cell>
          <cell r="I189">
            <v>0</v>
          </cell>
          <cell r="J189">
            <v>-12045683</v>
          </cell>
          <cell r="K189">
            <v>3893195</v>
          </cell>
        </row>
        <row r="191">
          <cell r="F191">
            <v>48494690</v>
          </cell>
          <cell r="G191">
            <v>0</v>
          </cell>
          <cell r="H191">
            <v>48494690</v>
          </cell>
          <cell r="I191">
            <v>0</v>
          </cell>
          <cell r="J191">
            <v>48494690</v>
          </cell>
          <cell r="K191">
            <v>23737331</v>
          </cell>
        </row>
        <row r="192">
          <cell r="F192">
            <v>6789292</v>
          </cell>
          <cell r="G192">
            <v>0</v>
          </cell>
          <cell r="H192">
            <v>6789292</v>
          </cell>
          <cell r="I192">
            <v>0</v>
          </cell>
          <cell r="J192">
            <v>6789292</v>
          </cell>
          <cell r="K192">
            <v>3705680</v>
          </cell>
        </row>
        <row r="193">
          <cell r="F193">
            <v>8834972</v>
          </cell>
          <cell r="G193">
            <v>0</v>
          </cell>
          <cell r="H193">
            <v>8834972</v>
          </cell>
          <cell r="I193">
            <v>0</v>
          </cell>
          <cell r="J193">
            <v>8834972</v>
          </cell>
          <cell r="K193">
            <v>4222589</v>
          </cell>
        </row>
        <row r="194">
          <cell r="F194">
            <v>64118954</v>
          </cell>
          <cell r="G194">
            <v>0</v>
          </cell>
          <cell r="H194">
            <v>64118954</v>
          </cell>
          <cell r="I194">
            <v>0</v>
          </cell>
          <cell r="J194">
            <v>64118954</v>
          </cell>
          <cell r="K194">
            <v>31665600</v>
          </cell>
        </row>
        <row r="196">
          <cell r="F196">
            <v>3597715</v>
          </cell>
          <cell r="G196">
            <v>0</v>
          </cell>
          <cell r="H196">
            <v>3597715</v>
          </cell>
          <cell r="I196">
            <v>0</v>
          </cell>
          <cell r="J196">
            <v>3597715</v>
          </cell>
          <cell r="K196">
            <v>2193791</v>
          </cell>
        </row>
        <row r="197">
          <cell r="F197">
            <v>3597715</v>
          </cell>
          <cell r="G197">
            <v>0</v>
          </cell>
          <cell r="H197">
            <v>3597715</v>
          </cell>
          <cell r="I197">
            <v>0</v>
          </cell>
          <cell r="J197">
            <v>3597715</v>
          </cell>
          <cell r="K197">
            <v>2193791</v>
          </cell>
        </row>
        <row r="199">
          <cell r="F199">
            <v>2424744</v>
          </cell>
          <cell r="G199">
            <v>0</v>
          </cell>
          <cell r="H199">
            <v>2424744</v>
          </cell>
          <cell r="I199">
            <v>0</v>
          </cell>
          <cell r="J199">
            <v>2424744</v>
          </cell>
          <cell r="K199">
            <v>1186864</v>
          </cell>
        </row>
        <row r="200">
          <cell r="F200">
            <v>2424744</v>
          </cell>
          <cell r="G200">
            <v>0</v>
          </cell>
          <cell r="H200">
            <v>2424744</v>
          </cell>
          <cell r="I200">
            <v>0</v>
          </cell>
          <cell r="J200">
            <v>2424744</v>
          </cell>
          <cell r="K200">
            <v>1186864</v>
          </cell>
        </row>
        <row r="202">
          <cell r="F202">
            <v>948493</v>
          </cell>
          <cell r="G202">
            <v>0</v>
          </cell>
          <cell r="H202">
            <v>948493</v>
          </cell>
          <cell r="I202">
            <v>0</v>
          </cell>
          <cell r="J202">
            <v>948493</v>
          </cell>
          <cell r="K202">
            <v>572053</v>
          </cell>
        </row>
        <row r="203">
          <cell r="F203">
            <v>19149</v>
          </cell>
          <cell r="G203">
            <v>0</v>
          </cell>
          <cell r="H203">
            <v>19149</v>
          </cell>
          <cell r="I203">
            <v>0</v>
          </cell>
          <cell r="J203">
            <v>19149</v>
          </cell>
          <cell r="K203">
            <v>11500</v>
          </cell>
        </row>
        <row r="204">
          <cell r="F204">
            <v>0</v>
          </cell>
          <cell r="G204">
            <v>0</v>
          </cell>
          <cell r="H204">
            <v>0</v>
          </cell>
          <cell r="I204">
            <v>0</v>
          </cell>
          <cell r="J204">
            <v>0</v>
          </cell>
          <cell r="K204">
            <v>21985</v>
          </cell>
        </row>
        <row r="205">
          <cell r="F205">
            <v>254792</v>
          </cell>
          <cell r="G205">
            <v>0</v>
          </cell>
          <cell r="H205">
            <v>254792</v>
          </cell>
          <cell r="I205">
            <v>0</v>
          </cell>
          <cell r="J205">
            <v>254792</v>
          </cell>
          <cell r="K205">
            <v>214250</v>
          </cell>
        </row>
        <row r="206">
          <cell r="F206">
            <v>103905</v>
          </cell>
          <cell r="G206">
            <v>0</v>
          </cell>
          <cell r="H206">
            <v>103905</v>
          </cell>
          <cell r="I206">
            <v>0</v>
          </cell>
          <cell r="J206">
            <v>103905</v>
          </cell>
          <cell r="K206">
            <v>100000</v>
          </cell>
        </row>
        <row r="207">
          <cell r="F207">
            <v>1326339</v>
          </cell>
          <cell r="G207">
            <v>0</v>
          </cell>
          <cell r="H207">
            <v>1326339</v>
          </cell>
          <cell r="I207">
            <v>0</v>
          </cell>
          <cell r="J207">
            <v>1326339</v>
          </cell>
          <cell r="K207">
            <v>919788</v>
          </cell>
        </row>
        <row r="209">
          <cell r="F209">
            <v>0</v>
          </cell>
          <cell r="G209">
            <v>0</v>
          </cell>
          <cell r="H209">
            <v>0</v>
          </cell>
          <cell r="I209">
            <v>0</v>
          </cell>
          <cell r="J209">
            <v>0</v>
          </cell>
          <cell r="K209">
            <v>0</v>
          </cell>
        </row>
        <row r="211">
          <cell r="F211">
            <v>0</v>
          </cell>
          <cell r="G211">
            <v>0</v>
          </cell>
          <cell r="H211">
            <v>0</v>
          </cell>
          <cell r="I211">
            <v>0</v>
          </cell>
          <cell r="J211">
            <v>0</v>
          </cell>
          <cell r="K211">
            <v>0</v>
          </cell>
        </row>
        <row r="213">
          <cell r="F213">
            <v>14042</v>
          </cell>
          <cell r="G213">
            <v>0</v>
          </cell>
          <cell r="H213">
            <v>14042</v>
          </cell>
          <cell r="I213">
            <v>0</v>
          </cell>
          <cell r="J213">
            <v>14042</v>
          </cell>
          <cell r="K213">
            <v>1255</v>
          </cell>
        </row>
        <row r="214">
          <cell r="F214">
            <v>1527</v>
          </cell>
          <cell r="G214">
            <v>0</v>
          </cell>
          <cell r="H214">
            <v>1527</v>
          </cell>
          <cell r="I214">
            <v>0</v>
          </cell>
          <cell r="J214">
            <v>1527</v>
          </cell>
          <cell r="K214">
            <v>0</v>
          </cell>
        </row>
        <row r="215">
          <cell r="F215">
            <v>216518</v>
          </cell>
          <cell r="G215">
            <v>0</v>
          </cell>
          <cell r="H215">
            <v>216518</v>
          </cell>
          <cell r="I215">
            <v>0</v>
          </cell>
          <cell r="J215">
            <v>216518</v>
          </cell>
          <cell r="K215">
            <v>115867</v>
          </cell>
        </row>
        <row r="216">
          <cell r="F216">
            <v>62498</v>
          </cell>
          <cell r="G216">
            <v>0</v>
          </cell>
          <cell r="H216">
            <v>62498</v>
          </cell>
          <cell r="I216">
            <v>0</v>
          </cell>
          <cell r="J216">
            <v>62498</v>
          </cell>
          <cell r="K216">
            <v>44124</v>
          </cell>
        </row>
        <row r="217">
          <cell r="F217">
            <v>36499</v>
          </cell>
          <cell r="G217">
            <v>0</v>
          </cell>
          <cell r="H217">
            <v>36499</v>
          </cell>
          <cell r="I217">
            <v>0</v>
          </cell>
          <cell r="J217">
            <v>36499</v>
          </cell>
          <cell r="K217">
            <v>20079</v>
          </cell>
        </row>
        <row r="218">
          <cell r="F218">
            <v>10060</v>
          </cell>
          <cell r="G218">
            <v>0</v>
          </cell>
          <cell r="H218">
            <v>10060</v>
          </cell>
          <cell r="I218">
            <v>0</v>
          </cell>
          <cell r="J218">
            <v>10060</v>
          </cell>
          <cell r="K218">
            <v>2968</v>
          </cell>
        </row>
        <row r="219">
          <cell r="F219">
            <v>341144</v>
          </cell>
          <cell r="G219">
            <v>0</v>
          </cell>
          <cell r="H219">
            <v>341144</v>
          </cell>
          <cell r="I219">
            <v>0</v>
          </cell>
          <cell r="J219">
            <v>341144</v>
          </cell>
          <cell r="K219">
            <v>184293</v>
          </cell>
        </row>
        <row r="221">
          <cell r="F221">
            <v>0</v>
          </cell>
          <cell r="G221">
            <v>0</v>
          </cell>
          <cell r="H221">
            <v>0</v>
          </cell>
          <cell r="I221">
            <v>0</v>
          </cell>
          <cell r="J221">
            <v>0</v>
          </cell>
          <cell r="K221">
            <v>0</v>
          </cell>
        </row>
        <row r="223">
          <cell r="F223">
            <v>0</v>
          </cell>
          <cell r="G223">
            <v>0</v>
          </cell>
          <cell r="H223">
            <v>0</v>
          </cell>
          <cell r="I223">
            <v>0</v>
          </cell>
          <cell r="J223">
            <v>0</v>
          </cell>
          <cell r="K223">
            <v>0</v>
          </cell>
        </row>
        <row r="224">
          <cell r="F224">
            <v>265835</v>
          </cell>
          <cell r="G224">
            <v>0</v>
          </cell>
          <cell r="H224">
            <v>265835</v>
          </cell>
          <cell r="I224">
            <v>0</v>
          </cell>
          <cell r="J224">
            <v>265835</v>
          </cell>
          <cell r="K224">
            <v>227196</v>
          </cell>
        </row>
        <row r="225">
          <cell r="F225">
            <v>25000</v>
          </cell>
          <cell r="G225">
            <v>0</v>
          </cell>
          <cell r="H225">
            <v>25000</v>
          </cell>
          <cell r="I225">
            <v>0</v>
          </cell>
          <cell r="J225">
            <v>25000</v>
          </cell>
          <cell r="K225">
            <v>24999</v>
          </cell>
        </row>
        <row r="226">
          <cell r="F226">
            <v>0</v>
          </cell>
          <cell r="G226">
            <v>0</v>
          </cell>
          <cell r="H226">
            <v>0</v>
          </cell>
          <cell r="I226">
            <v>0</v>
          </cell>
          <cell r="J226">
            <v>0</v>
          </cell>
          <cell r="K226">
            <v>0</v>
          </cell>
        </row>
        <row r="227">
          <cell r="F227">
            <v>0</v>
          </cell>
          <cell r="G227">
            <v>0</v>
          </cell>
          <cell r="H227">
            <v>0</v>
          </cell>
          <cell r="I227">
            <v>0</v>
          </cell>
          <cell r="J227">
            <v>0</v>
          </cell>
          <cell r="K227">
            <v>7875</v>
          </cell>
        </row>
        <row r="228">
          <cell r="F228">
            <v>290835</v>
          </cell>
          <cell r="G228">
            <v>0</v>
          </cell>
          <cell r="H228">
            <v>290835</v>
          </cell>
          <cell r="I228">
            <v>0</v>
          </cell>
          <cell r="J228">
            <v>290835</v>
          </cell>
          <cell r="K228">
            <v>260070</v>
          </cell>
        </row>
        <row r="230">
          <cell r="F230">
            <v>0</v>
          </cell>
          <cell r="G230">
            <v>0</v>
          </cell>
          <cell r="H230">
            <v>0</v>
          </cell>
          <cell r="I230">
            <v>0</v>
          </cell>
          <cell r="J230">
            <v>0</v>
          </cell>
          <cell r="K230">
            <v>0</v>
          </cell>
        </row>
        <row r="232">
          <cell r="F232">
            <v>0</v>
          </cell>
          <cell r="G232">
            <v>0</v>
          </cell>
          <cell r="H232">
            <v>0</v>
          </cell>
          <cell r="I232">
            <v>0</v>
          </cell>
          <cell r="J232">
            <v>0</v>
          </cell>
          <cell r="K232">
            <v>0</v>
          </cell>
        </row>
        <row r="234">
          <cell r="F234">
            <v>135878</v>
          </cell>
          <cell r="G234">
            <v>0</v>
          </cell>
          <cell r="H234">
            <v>135878</v>
          </cell>
          <cell r="I234">
            <v>0</v>
          </cell>
          <cell r="J234">
            <v>135878</v>
          </cell>
          <cell r="K234">
            <v>139035</v>
          </cell>
        </row>
        <row r="235">
          <cell r="F235">
            <v>11093</v>
          </cell>
          <cell r="G235">
            <v>0</v>
          </cell>
          <cell r="H235">
            <v>11093</v>
          </cell>
          <cell r="I235">
            <v>0</v>
          </cell>
          <cell r="J235">
            <v>11093</v>
          </cell>
          <cell r="K235">
            <v>9202</v>
          </cell>
        </row>
        <row r="236">
          <cell r="F236">
            <v>146971</v>
          </cell>
          <cell r="G236">
            <v>0</v>
          </cell>
          <cell r="H236">
            <v>146971</v>
          </cell>
          <cell r="I236">
            <v>0</v>
          </cell>
          <cell r="J236">
            <v>146971</v>
          </cell>
          <cell r="K236">
            <v>148237</v>
          </cell>
        </row>
        <row r="238">
          <cell r="F238">
            <v>527500</v>
          </cell>
          <cell r="G238">
            <v>0</v>
          </cell>
          <cell r="H238">
            <v>527500</v>
          </cell>
          <cell r="I238">
            <v>0</v>
          </cell>
          <cell r="J238">
            <v>527500</v>
          </cell>
          <cell r="K238">
            <v>502250</v>
          </cell>
        </row>
        <row r="239">
          <cell r="F239">
            <v>64936</v>
          </cell>
          <cell r="G239">
            <v>0</v>
          </cell>
          <cell r="H239">
            <v>64936</v>
          </cell>
          <cell r="I239">
            <v>0</v>
          </cell>
          <cell r="J239">
            <v>64936</v>
          </cell>
          <cell r="K239">
            <v>27250</v>
          </cell>
        </row>
        <row r="240">
          <cell r="F240">
            <v>592436</v>
          </cell>
          <cell r="G240">
            <v>0</v>
          </cell>
          <cell r="H240">
            <v>592436</v>
          </cell>
          <cell r="I240">
            <v>0</v>
          </cell>
          <cell r="J240">
            <v>592436</v>
          </cell>
          <cell r="K240">
            <v>529500</v>
          </cell>
        </row>
        <row r="242">
          <cell r="F242">
            <v>0</v>
          </cell>
          <cell r="G242">
            <v>0</v>
          </cell>
          <cell r="H242">
            <v>0</v>
          </cell>
          <cell r="I242">
            <v>0</v>
          </cell>
          <cell r="J242">
            <v>0</v>
          </cell>
          <cell r="K242">
            <v>0</v>
          </cell>
        </row>
        <row r="244">
          <cell r="F244">
            <v>0</v>
          </cell>
          <cell r="G244">
            <v>0</v>
          </cell>
          <cell r="H244">
            <v>0</v>
          </cell>
          <cell r="I244">
            <v>0</v>
          </cell>
          <cell r="J244">
            <v>0</v>
          </cell>
          <cell r="K244">
            <v>0</v>
          </cell>
        </row>
        <row r="246">
          <cell r="F246">
            <v>0</v>
          </cell>
          <cell r="G246">
            <v>0</v>
          </cell>
          <cell r="H246">
            <v>0</v>
          </cell>
          <cell r="I246">
            <v>0</v>
          </cell>
          <cell r="J246">
            <v>0</v>
          </cell>
          <cell r="K246">
            <v>2401235</v>
          </cell>
        </row>
        <row r="247">
          <cell r="F247">
            <v>0</v>
          </cell>
          <cell r="G247">
            <v>0</v>
          </cell>
          <cell r="H247">
            <v>0</v>
          </cell>
          <cell r="I247">
            <v>0</v>
          </cell>
          <cell r="J247">
            <v>0</v>
          </cell>
          <cell r="K247">
            <v>2401235</v>
          </cell>
        </row>
        <row r="249">
          <cell r="F249">
            <v>503427</v>
          </cell>
          <cell r="G249">
            <v>0</v>
          </cell>
          <cell r="H249">
            <v>503427</v>
          </cell>
          <cell r="I249">
            <v>0</v>
          </cell>
          <cell r="J249">
            <v>503427</v>
          </cell>
          <cell r="K249">
            <v>0</v>
          </cell>
        </row>
        <row r="250">
          <cell r="F250">
            <v>503427</v>
          </cell>
          <cell r="G250">
            <v>0</v>
          </cell>
          <cell r="H250">
            <v>503427</v>
          </cell>
          <cell r="I250">
            <v>0</v>
          </cell>
          <cell r="J250">
            <v>503427</v>
          </cell>
          <cell r="K250">
            <v>0</v>
          </cell>
        </row>
        <row r="252">
          <cell r="F252">
            <v>2294954</v>
          </cell>
          <cell r="G252">
            <v>0</v>
          </cell>
          <cell r="H252">
            <v>2294954</v>
          </cell>
          <cell r="I252">
            <v>0</v>
          </cell>
          <cell r="J252">
            <v>2294954</v>
          </cell>
          <cell r="K252">
            <v>0</v>
          </cell>
        </row>
        <row r="253">
          <cell r="F253">
            <v>321294</v>
          </cell>
          <cell r="G253">
            <v>0</v>
          </cell>
          <cell r="H253">
            <v>321294</v>
          </cell>
          <cell r="I253">
            <v>0</v>
          </cell>
          <cell r="J253">
            <v>321294</v>
          </cell>
          <cell r="K253">
            <v>0</v>
          </cell>
        </row>
        <row r="254">
          <cell r="F254">
            <v>2616248</v>
          </cell>
          <cell r="G254">
            <v>0</v>
          </cell>
          <cell r="H254">
            <v>2616248</v>
          </cell>
          <cell r="I254">
            <v>0</v>
          </cell>
          <cell r="J254">
            <v>2616248</v>
          </cell>
          <cell r="K254">
            <v>0</v>
          </cell>
        </row>
        <row r="256">
          <cell r="F256">
            <v>133135554</v>
          </cell>
          <cell r="G256">
            <v>0</v>
          </cell>
          <cell r="H256">
            <v>133135554</v>
          </cell>
          <cell r="I256">
            <v>0</v>
          </cell>
          <cell r="J256">
            <v>133135554</v>
          </cell>
          <cell r="K256">
            <v>90373946</v>
          </cell>
        </row>
        <row r="257">
          <cell r="F257">
            <v>133135554</v>
          </cell>
          <cell r="G257">
            <v>0</v>
          </cell>
          <cell r="H257">
            <v>133135554</v>
          </cell>
          <cell r="I257">
            <v>0</v>
          </cell>
          <cell r="J257">
            <v>133135554</v>
          </cell>
          <cell r="K257">
            <v>90373946</v>
          </cell>
        </row>
        <row r="259">
          <cell r="F259">
            <v>-104865494</v>
          </cell>
          <cell r="G259">
            <v>0</v>
          </cell>
          <cell r="H259">
            <v>-104865494</v>
          </cell>
          <cell r="I259">
            <v>0</v>
          </cell>
          <cell r="J259">
            <v>-104865494</v>
          </cell>
          <cell r="K259">
            <v>10668890</v>
          </cell>
        </row>
        <row r="260">
          <cell r="F260">
            <v>-104865494</v>
          </cell>
          <cell r="G260">
            <v>0</v>
          </cell>
          <cell r="H260">
            <v>-104865494</v>
          </cell>
          <cell r="I260">
            <v>0</v>
          </cell>
          <cell r="J260">
            <v>-104865494</v>
          </cell>
          <cell r="K260">
            <v>10668890</v>
          </cell>
        </row>
        <row r="262">
          <cell r="F262">
            <v>0</v>
          </cell>
          <cell r="G262">
            <v>0</v>
          </cell>
          <cell r="H262">
            <v>0</v>
          </cell>
          <cell r="I262">
            <v>0</v>
          </cell>
          <cell r="J262">
            <v>0</v>
          </cell>
          <cell r="K262">
            <v>0</v>
          </cell>
        </row>
        <row r="264">
          <cell r="F264">
            <v>0</v>
          </cell>
          <cell r="G264">
            <v>0</v>
          </cell>
          <cell r="H264">
            <v>0</v>
          </cell>
          <cell r="I264">
            <v>0</v>
          </cell>
          <cell r="J264">
            <v>0</v>
          </cell>
          <cell r="K264">
            <v>0</v>
          </cell>
        </row>
        <row r="266">
          <cell r="F266">
            <v>0</v>
          </cell>
          <cell r="G266">
            <v>0</v>
          </cell>
          <cell r="H266">
            <v>0</v>
          </cell>
          <cell r="I266">
            <v>0</v>
          </cell>
          <cell r="J266">
            <v>0</v>
          </cell>
          <cell r="K266">
            <v>0</v>
          </cell>
        </row>
        <row r="268">
          <cell r="F268">
            <v>0</v>
          </cell>
          <cell r="G268">
            <v>0</v>
          </cell>
          <cell r="H268">
            <v>0</v>
          </cell>
          <cell r="I268">
            <v>0</v>
          </cell>
          <cell r="J268">
            <v>0</v>
          </cell>
          <cell r="K268">
            <v>0</v>
          </cell>
        </row>
        <row r="270">
          <cell r="F270">
            <v>0</v>
          </cell>
          <cell r="G270">
            <v>0</v>
          </cell>
          <cell r="H270">
            <v>0</v>
          </cell>
          <cell r="I270">
            <v>0</v>
          </cell>
          <cell r="J270">
            <v>0</v>
          </cell>
          <cell r="K270">
            <v>0</v>
          </cell>
        </row>
        <row r="271">
          <cell r="F271">
            <v>0</v>
          </cell>
          <cell r="G271">
            <v>0</v>
          </cell>
          <cell r="H271">
            <v>0</v>
          </cell>
          <cell r="I271">
            <v>0</v>
          </cell>
          <cell r="J271">
            <v>0</v>
          </cell>
          <cell r="K271">
            <v>0</v>
          </cell>
        </row>
      </sheetData>
      <sheetData sheetId="16" refreshError="1"/>
      <sheetData sheetId="17">
        <row r="2">
          <cell r="F2" t="str">
            <v>Preliminary</v>
          </cell>
          <cell r="H2" t="str">
            <v>AJE</v>
          </cell>
          <cell r="I2" t="str">
            <v>Adjusted</v>
          </cell>
          <cell r="J2" t="str">
            <v>RJE</v>
          </cell>
          <cell r="K2" t="str">
            <v>2016</v>
          </cell>
          <cell r="M2" t="str">
            <v>2015</v>
          </cell>
        </row>
        <row r="4">
          <cell r="F4">
            <v>49125433</v>
          </cell>
          <cell r="H4">
            <v>0</v>
          </cell>
          <cell r="I4">
            <v>49125433</v>
          </cell>
          <cell r="J4">
            <v>0</v>
          </cell>
          <cell r="K4">
            <v>49125433</v>
          </cell>
          <cell r="M4">
            <v>622442</v>
          </cell>
        </row>
        <row r="5">
          <cell r="F5">
            <v>622797</v>
          </cell>
          <cell r="H5">
            <v>0</v>
          </cell>
          <cell r="I5">
            <v>622797</v>
          </cell>
          <cell r="J5">
            <v>0</v>
          </cell>
          <cell r="K5">
            <v>622797</v>
          </cell>
          <cell r="M5">
            <v>1169550</v>
          </cell>
        </row>
        <row r="6">
          <cell r="F6">
            <v>4385482</v>
          </cell>
          <cell r="H6">
            <v>0</v>
          </cell>
          <cell r="I6">
            <v>4385482</v>
          </cell>
          <cell r="J6">
            <v>0</v>
          </cell>
          <cell r="K6">
            <v>4385482</v>
          </cell>
          <cell r="M6">
            <v>10871335</v>
          </cell>
        </row>
        <row r="7">
          <cell r="F7">
            <v>1064305900</v>
          </cell>
          <cell r="H7">
            <v>0</v>
          </cell>
          <cell r="I7">
            <v>1064305900</v>
          </cell>
          <cell r="J7">
            <v>0</v>
          </cell>
          <cell r="K7">
            <v>1064305900</v>
          </cell>
          <cell r="M7">
            <v>1684446</v>
          </cell>
        </row>
        <row r="8">
          <cell r="F8">
            <v>165796027</v>
          </cell>
          <cell r="H8">
            <v>0</v>
          </cell>
          <cell r="I8">
            <v>165796027</v>
          </cell>
          <cell r="J8">
            <v>0</v>
          </cell>
          <cell r="K8">
            <v>165796027</v>
          </cell>
          <cell r="M8">
            <v>2580957</v>
          </cell>
        </row>
        <row r="9">
          <cell r="F9">
            <v>10895</v>
          </cell>
          <cell r="H9">
            <v>0</v>
          </cell>
          <cell r="I9">
            <v>10895</v>
          </cell>
          <cell r="J9">
            <v>0</v>
          </cell>
          <cell r="K9">
            <v>10895</v>
          </cell>
          <cell r="M9">
            <v>6500</v>
          </cell>
        </row>
        <row r="10">
          <cell r="F10">
            <v>2112690</v>
          </cell>
          <cell r="H10">
            <v>0</v>
          </cell>
          <cell r="I10">
            <v>2112690</v>
          </cell>
          <cell r="J10">
            <v>0</v>
          </cell>
          <cell r="K10">
            <v>2112690</v>
          </cell>
          <cell r="M10">
            <v>92941519</v>
          </cell>
        </row>
        <row r="11">
          <cell r="F11">
            <v>642679</v>
          </cell>
          <cell r="H11">
            <v>0</v>
          </cell>
          <cell r="I11">
            <v>642679</v>
          </cell>
          <cell r="J11">
            <v>0</v>
          </cell>
          <cell r="K11">
            <v>642679</v>
          </cell>
          <cell r="M11">
            <v>368391</v>
          </cell>
        </row>
        <row r="12">
          <cell r="F12">
            <v>4183339</v>
          </cell>
          <cell r="H12">
            <v>0</v>
          </cell>
          <cell r="I12">
            <v>4183339</v>
          </cell>
          <cell r="J12">
            <v>0</v>
          </cell>
          <cell r="K12">
            <v>4183339</v>
          </cell>
          <cell r="M12">
            <v>4129756</v>
          </cell>
        </row>
        <row r="13">
          <cell r="F13">
            <v>6500</v>
          </cell>
          <cell r="H13">
            <v>0</v>
          </cell>
          <cell r="I13">
            <v>6500</v>
          </cell>
          <cell r="J13">
            <v>0</v>
          </cell>
          <cell r="K13">
            <v>6500</v>
          </cell>
          <cell r="M13">
            <v>0</v>
          </cell>
        </row>
        <row r="14">
          <cell r="F14">
            <v>1291191742</v>
          </cell>
          <cell r="H14">
            <v>0</v>
          </cell>
          <cell r="I14">
            <v>1291191742</v>
          </cell>
          <cell r="J14">
            <v>0</v>
          </cell>
          <cell r="K14">
            <v>1291191742</v>
          </cell>
          <cell r="M14">
            <v>114374896</v>
          </cell>
        </row>
        <row r="16">
          <cell r="F16">
            <v>0</v>
          </cell>
          <cell r="H16">
            <v>0</v>
          </cell>
          <cell r="I16">
            <v>0</v>
          </cell>
          <cell r="J16">
            <v>0</v>
          </cell>
          <cell r="K16">
            <v>0</v>
          </cell>
          <cell r="M16">
            <v>0</v>
          </cell>
        </row>
        <row r="17">
          <cell r="F17">
            <v>0</v>
          </cell>
          <cell r="H17">
            <v>0</v>
          </cell>
          <cell r="I17">
            <v>0</v>
          </cell>
          <cell r="J17">
            <v>0</v>
          </cell>
          <cell r="K17">
            <v>0</v>
          </cell>
          <cell r="M17">
            <v>0</v>
          </cell>
        </row>
        <row r="19">
          <cell r="F19">
            <v>422528239</v>
          </cell>
          <cell r="H19">
            <v>0</v>
          </cell>
          <cell r="I19">
            <v>422528239</v>
          </cell>
          <cell r="J19">
            <v>0</v>
          </cell>
          <cell r="K19">
            <v>422528239</v>
          </cell>
          <cell r="M19">
            <v>214171076</v>
          </cell>
        </row>
        <row r="20">
          <cell r="F20">
            <v>1258462</v>
          </cell>
          <cell r="H20">
            <v>0</v>
          </cell>
          <cell r="I20">
            <v>1258462</v>
          </cell>
          <cell r="J20">
            <v>0</v>
          </cell>
          <cell r="K20">
            <v>1258462</v>
          </cell>
          <cell r="M20">
            <v>227308</v>
          </cell>
        </row>
        <row r="21">
          <cell r="F21">
            <v>-2083168</v>
          </cell>
          <cell r="H21">
            <v>0</v>
          </cell>
          <cell r="I21">
            <v>-2083168</v>
          </cell>
          <cell r="J21">
            <v>0</v>
          </cell>
          <cell r="K21">
            <v>-2083168</v>
          </cell>
          <cell r="M21">
            <v>-7271755</v>
          </cell>
        </row>
        <row r="22">
          <cell r="F22">
            <v>-9879502</v>
          </cell>
          <cell r="H22">
            <v>0</v>
          </cell>
          <cell r="I22">
            <v>-9879502</v>
          </cell>
          <cell r="J22">
            <v>0</v>
          </cell>
          <cell r="K22">
            <v>-9879502</v>
          </cell>
          <cell r="M22">
            <v>-19758391</v>
          </cell>
        </row>
        <row r="23">
          <cell r="F23">
            <v>70186266</v>
          </cell>
          <cell r="H23">
            <v>0</v>
          </cell>
          <cell r="I23">
            <v>70186266</v>
          </cell>
          <cell r="J23">
            <v>0</v>
          </cell>
          <cell r="K23">
            <v>70186266</v>
          </cell>
          <cell r="M23">
            <v>72353061</v>
          </cell>
        </row>
        <row r="24">
          <cell r="F24">
            <v>-59934000</v>
          </cell>
          <cell r="H24">
            <v>0</v>
          </cell>
          <cell r="I24">
            <v>-59934000</v>
          </cell>
          <cell r="J24">
            <v>0</v>
          </cell>
          <cell r="K24">
            <v>-59934000</v>
          </cell>
          <cell r="M24">
            <v>-44958000</v>
          </cell>
        </row>
        <row r="25">
          <cell r="F25">
            <v>-10252266</v>
          </cell>
          <cell r="H25">
            <v>0</v>
          </cell>
          <cell r="I25">
            <v>-10252266</v>
          </cell>
          <cell r="J25">
            <v>0</v>
          </cell>
          <cell r="K25">
            <v>-10252266</v>
          </cell>
          <cell r="M25">
            <v>-10252266</v>
          </cell>
        </row>
        <row r="26">
          <cell r="F26">
            <v>0</v>
          </cell>
          <cell r="H26">
            <v>0</v>
          </cell>
          <cell r="I26">
            <v>0</v>
          </cell>
          <cell r="J26">
            <v>0</v>
          </cell>
          <cell r="K26">
            <v>0</v>
          </cell>
          <cell r="M26">
            <v>-17142795</v>
          </cell>
        </row>
        <row r="27">
          <cell r="F27">
            <v>0</v>
          </cell>
          <cell r="H27">
            <v>0</v>
          </cell>
          <cell r="I27">
            <v>0</v>
          </cell>
          <cell r="J27">
            <v>0</v>
          </cell>
          <cell r="K27">
            <v>0</v>
          </cell>
          <cell r="M27">
            <v>0</v>
          </cell>
        </row>
        <row r="28">
          <cell r="F28">
            <v>411824031</v>
          </cell>
          <cell r="H28">
            <v>0</v>
          </cell>
          <cell r="I28">
            <v>411824031</v>
          </cell>
          <cell r="J28">
            <v>0</v>
          </cell>
          <cell r="K28">
            <v>411824031</v>
          </cell>
          <cell r="M28">
            <v>187368238</v>
          </cell>
        </row>
        <row r="30">
          <cell r="F30">
            <v>0</v>
          </cell>
          <cell r="H30">
            <v>0</v>
          </cell>
          <cell r="I30">
            <v>0</v>
          </cell>
          <cell r="J30">
            <v>0</v>
          </cell>
          <cell r="K30">
            <v>0</v>
          </cell>
          <cell r="M30">
            <v>0</v>
          </cell>
        </row>
        <row r="32">
          <cell r="F32">
            <v>0</v>
          </cell>
          <cell r="H32">
            <v>0</v>
          </cell>
          <cell r="I32">
            <v>0</v>
          </cell>
          <cell r="J32">
            <v>0</v>
          </cell>
          <cell r="K32">
            <v>0</v>
          </cell>
          <cell r="M32">
            <v>12500000</v>
          </cell>
        </row>
        <row r="33">
          <cell r="F33">
            <v>108</v>
          </cell>
          <cell r="H33">
            <v>0</v>
          </cell>
          <cell r="I33">
            <v>108</v>
          </cell>
          <cell r="J33">
            <v>0</v>
          </cell>
          <cell r="K33">
            <v>108</v>
          </cell>
          <cell r="M33">
            <v>62974</v>
          </cell>
        </row>
        <row r="34">
          <cell r="F34">
            <v>-85</v>
          </cell>
          <cell r="H34">
            <v>0</v>
          </cell>
          <cell r="I34">
            <v>-85</v>
          </cell>
          <cell r="J34">
            <v>0</v>
          </cell>
          <cell r="K34">
            <v>-85</v>
          </cell>
          <cell r="M34">
            <v>-622644</v>
          </cell>
        </row>
        <row r="35">
          <cell r="F35">
            <v>50000000</v>
          </cell>
          <cell r="H35">
            <v>0</v>
          </cell>
          <cell r="I35">
            <v>50000000</v>
          </cell>
          <cell r="J35">
            <v>0</v>
          </cell>
          <cell r="K35">
            <v>50000000</v>
          </cell>
          <cell r="M35">
            <v>55602575</v>
          </cell>
        </row>
        <row r="36">
          <cell r="F36">
            <v>257250</v>
          </cell>
          <cell r="H36">
            <v>0</v>
          </cell>
          <cell r="I36">
            <v>257250</v>
          </cell>
          <cell r="J36">
            <v>0</v>
          </cell>
          <cell r="K36">
            <v>257250</v>
          </cell>
          <cell r="M36">
            <v>6418571</v>
          </cell>
        </row>
        <row r="37">
          <cell r="F37">
            <v>7171600</v>
          </cell>
          <cell r="H37">
            <v>0</v>
          </cell>
          <cell r="I37">
            <v>7171600</v>
          </cell>
          <cell r="J37">
            <v>0</v>
          </cell>
          <cell r="K37">
            <v>7171600</v>
          </cell>
          <cell r="M37">
            <v>-6122702</v>
          </cell>
        </row>
        <row r="38">
          <cell r="F38">
            <v>677900000</v>
          </cell>
          <cell r="H38">
            <v>0</v>
          </cell>
          <cell r="I38">
            <v>677900000</v>
          </cell>
          <cell r="J38">
            <v>0</v>
          </cell>
          <cell r="K38">
            <v>677900000</v>
          </cell>
          <cell r="M38">
            <v>441597425</v>
          </cell>
        </row>
        <row r="39">
          <cell r="F39">
            <v>3534970</v>
          </cell>
          <cell r="H39">
            <v>0</v>
          </cell>
          <cell r="I39">
            <v>3534970</v>
          </cell>
          <cell r="J39">
            <v>0</v>
          </cell>
          <cell r="K39">
            <v>3534970</v>
          </cell>
          <cell r="M39">
            <v>-5115899</v>
          </cell>
        </row>
        <row r="40">
          <cell r="F40">
            <v>54773401</v>
          </cell>
          <cell r="H40">
            <v>0</v>
          </cell>
          <cell r="I40">
            <v>54773401</v>
          </cell>
          <cell r="J40">
            <v>0</v>
          </cell>
          <cell r="K40">
            <v>54773401</v>
          </cell>
          <cell r="M40">
            <v>32071881</v>
          </cell>
        </row>
        <row r="41">
          <cell r="F41">
            <v>793637244</v>
          </cell>
          <cell r="H41">
            <v>0</v>
          </cell>
          <cell r="I41">
            <v>793637244</v>
          </cell>
          <cell r="J41">
            <v>0</v>
          </cell>
          <cell r="K41">
            <v>793637244</v>
          </cell>
          <cell r="M41">
            <v>536392181</v>
          </cell>
        </row>
        <row r="43">
          <cell r="F43">
            <v>0</v>
          </cell>
          <cell r="H43">
            <v>0</v>
          </cell>
          <cell r="I43">
            <v>0</v>
          </cell>
          <cell r="J43">
            <v>0</v>
          </cell>
          <cell r="K43">
            <v>0</v>
          </cell>
          <cell r="M43">
            <v>150000000</v>
          </cell>
        </row>
        <row r="44">
          <cell r="F44">
            <v>0</v>
          </cell>
          <cell r="H44">
            <v>0</v>
          </cell>
          <cell r="I44">
            <v>0</v>
          </cell>
          <cell r="J44">
            <v>0</v>
          </cell>
          <cell r="K44">
            <v>0</v>
          </cell>
          <cell r="M44">
            <v>150000000</v>
          </cell>
        </row>
        <row r="46">
          <cell r="F46">
            <v>0</v>
          </cell>
          <cell r="H46">
            <v>0</v>
          </cell>
          <cell r="I46">
            <v>0</v>
          </cell>
          <cell r="J46">
            <v>0</v>
          </cell>
          <cell r="K46">
            <v>0</v>
          </cell>
          <cell r="M46">
            <v>0</v>
          </cell>
        </row>
        <row r="48">
          <cell r="F48">
            <v>33758441</v>
          </cell>
          <cell r="H48">
            <v>0</v>
          </cell>
          <cell r="I48">
            <v>33758441</v>
          </cell>
          <cell r="J48">
            <v>0</v>
          </cell>
          <cell r="K48">
            <v>33758441</v>
          </cell>
          <cell r="M48">
            <v>31169091</v>
          </cell>
        </row>
        <row r="49">
          <cell r="F49">
            <v>-33758441</v>
          </cell>
          <cell r="H49">
            <v>0</v>
          </cell>
          <cell r="I49">
            <v>-33758441</v>
          </cell>
          <cell r="J49">
            <v>0</v>
          </cell>
          <cell r="K49">
            <v>-33758441</v>
          </cell>
          <cell r="M49">
            <v>-31169091</v>
          </cell>
        </row>
        <row r="50">
          <cell r="F50">
            <v>0</v>
          </cell>
          <cell r="H50">
            <v>0</v>
          </cell>
          <cell r="I50">
            <v>0</v>
          </cell>
          <cell r="J50">
            <v>0</v>
          </cell>
          <cell r="K50">
            <v>0</v>
          </cell>
          <cell r="M50">
            <v>1932528</v>
          </cell>
        </row>
        <row r="51">
          <cell r="F51">
            <v>620847</v>
          </cell>
          <cell r="H51">
            <v>0</v>
          </cell>
          <cell r="I51">
            <v>620847</v>
          </cell>
          <cell r="J51">
            <v>0</v>
          </cell>
          <cell r="K51">
            <v>620847</v>
          </cell>
          <cell r="M51">
            <v>0</v>
          </cell>
        </row>
        <row r="52">
          <cell r="F52">
            <v>537</v>
          </cell>
          <cell r="H52">
            <v>0</v>
          </cell>
          <cell r="I52">
            <v>537</v>
          </cell>
          <cell r="J52">
            <v>0</v>
          </cell>
          <cell r="K52">
            <v>537</v>
          </cell>
          <cell r="M52">
            <v>4414</v>
          </cell>
        </row>
        <row r="53">
          <cell r="F53">
            <v>17654</v>
          </cell>
          <cell r="H53">
            <v>0</v>
          </cell>
          <cell r="I53">
            <v>17654</v>
          </cell>
          <cell r="J53">
            <v>0</v>
          </cell>
          <cell r="K53">
            <v>17654</v>
          </cell>
          <cell r="M53">
            <v>20708</v>
          </cell>
        </row>
        <row r="54">
          <cell r="F54">
            <v>18763</v>
          </cell>
          <cell r="H54">
            <v>0</v>
          </cell>
          <cell r="I54">
            <v>18763</v>
          </cell>
          <cell r="J54">
            <v>0</v>
          </cell>
          <cell r="K54">
            <v>18763</v>
          </cell>
          <cell r="M54">
            <v>5654</v>
          </cell>
        </row>
        <row r="55">
          <cell r="F55">
            <v>169008</v>
          </cell>
          <cell r="H55">
            <v>0</v>
          </cell>
          <cell r="I55">
            <v>169008</v>
          </cell>
          <cell r="J55">
            <v>0</v>
          </cell>
          <cell r="K55">
            <v>169008</v>
          </cell>
          <cell r="M55">
            <v>82023</v>
          </cell>
        </row>
        <row r="56">
          <cell r="F56">
            <v>32528</v>
          </cell>
          <cell r="H56">
            <v>0</v>
          </cell>
          <cell r="I56">
            <v>32528</v>
          </cell>
          <cell r="J56">
            <v>0</v>
          </cell>
          <cell r="K56">
            <v>32528</v>
          </cell>
          <cell r="M56">
            <v>402093</v>
          </cell>
        </row>
        <row r="57">
          <cell r="F57">
            <v>1600798</v>
          </cell>
          <cell r="H57">
            <v>0</v>
          </cell>
          <cell r="I57">
            <v>1600798</v>
          </cell>
          <cell r="J57">
            <v>0</v>
          </cell>
          <cell r="K57">
            <v>1600798</v>
          </cell>
          <cell r="M57">
            <v>9440744</v>
          </cell>
        </row>
        <row r="58">
          <cell r="F58">
            <v>5316327</v>
          </cell>
          <cell r="H58">
            <v>0</v>
          </cell>
          <cell r="I58">
            <v>5316327</v>
          </cell>
          <cell r="J58">
            <v>0</v>
          </cell>
          <cell r="K58">
            <v>5316327</v>
          </cell>
          <cell r="M58">
            <v>-6153964</v>
          </cell>
        </row>
        <row r="59">
          <cell r="F59">
            <v>0</v>
          </cell>
          <cell r="H59">
            <v>0</v>
          </cell>
          <cell r="I59">
            <v>0</v>
          </cell>
          <cell r="J59">
            <v>0</v>
          </cell>
          <cell r="K59">
            <v>0</v>
          </cell>
          <cell r="M59">
            <v>0</v>
          </cell>
        </row>
        <row r="60">
          <cell r="F60">
            <v>22992329</v>
          </cell>
          <cell r="H60">
            <v>0</v>
          </cell>
          <cell r="I60">
            <v>22992329</v>
          </cell>
          <cell r="J60">
            <v>0</v>
          </cell>
          <cell r="K60">
            <v>22992329</v>
          </cell>
          <cell r="M60">
            <v>19018823</v>
          </cell>
        </row>
        <row r="61">
          <cell r="F61">
            <v>30768791</v>
          </cell>
          <cell r="H61">
            <v>0</v>
          </cell>
          <cell r="I61">
            <v>30768791</v>
          </cell>
          <cell r="J61">
            <v>0</v>
          </cell>
          <cell r="K61">
            <v>30768791</v>
          </cell>
          <cell r="M61">
            <v>24753023</v>
          </cell>
        </row>
        <row r="63">
          <cell r="F63">
            <v>138694</v>
          </cell>
          <cell r="H63">
            <v>0</v>
          </cell>
          <cell r="I63">
            <v>138694</v>
          </cell>
          <cell r="J63">
            <v>0</v>
          </cell>
          <cell r="K63">
            <v>138694</v>
          </cell>
          <cell r="M63">
            <v>128650</v>
          </cell>
        </row>
        <row r="64">
          <cell r="F64">
            <v>0</v>
          </cell>
          <cell r="H64">
            <v>0</v>
          </cell>
          <cell r="I64">
            <v>0</v>
          </cell>
          <cell r="J64">
            <v>0</v>
          </cell>
          <cell r="K64">
            <v>0</v>
          </cell>
          <cell r="M64">
            <v>0</v>
          </cell>
        </row>
        <row r="65">
          <cell r="F65">
            <v>138694</v>
          </cell>
          <cell r="H65">
            <v>0</v>
          </cell>
          <cell r="I65">
            <v>138694</v>
          </cell>
          <cell r="J65">
            <v>0</v>
          </cell>
          <cell r="K65">
            <v>138694</v>
          </cell>
          <cell r="M65">
            <v>128650</v>
          </cell>
        </row>
        <row r="67">
          <cell r="F67">
            <v>56587</v>
          </cell>
          <cell r="H67">
            <v>0</v>
          </cell>
          <cell r="I67">
            <v>56587</v>
          </cell>
          <cell r="J67">
            <v>0</v>
          </cell>
          <cell r="K67">
            <v>56587</v>
          </cell>
          <cell r="M67">
            <v>0</v>
          </cell>
        </row>
        <row r="68">
          <cell r="F68">
            <v>110927</v>
          </cell>
          <cell r="H68">
            <v>0</v>
          </cell>
          <cell r="I68">
            <v>110927</v>
          </cell>
          <cell r="J68">
            <v>0</v>
          </cell>
          <cell r="K68">
            <v>110927</v>
          </cell>
          <cell r="M68">
            <v>256417</v>
          </cell>
        </row>
        <row r="69">
          <cell r="F69">
            <v>167514</v>
          </cell>
          <cell r="H69">
            <v>0</v>
          </cell>
          <cell r="I69">
            <v>167514</v>
          </cell>
          <cell r="J69">
            <v>0</v>
          </cell>
          <cell r="K69">
            <v>167514</v>
          </cell>
          <cell r="M69">
            <v>256417</v>
          </cell>
        </row>
        <row r="71">
          <cell r="F71">
            <v>51523</v>
          </cell>
          <cell r="H71">
            <v>0</v>
          </cell>
          <cell r="I71">
            <v>51523</v>
          </cell>
          <cell r="J71">
            <v>0</v>
          </cell>
          <cell r="K71">
            <v>51523</v>
          </cell>
          <cell r="M71">
            <v>51523</v>
          </cell>
        </row>
        <row r="72">
          <cell r="F72">
            <v>51523</v>
          </cell>
          <cell r="H72">
            <v>0</v>
          </cell>
          <cell r="I72">
            <v>51523</v>
          </cell>
          <cell r="J72">
            <v>0</v>
          </cell>
          <cell r="K72">
            <v>51523</v>
          </cell>
          <cell r="M72">
            <v>51523</v>
          </cell>
        </row>
        <row r="74">
          <cell r="F74">
            <v>200000</v>
          </cell>
          <cell r="H74">
            <v>0</v>
          </cell>
          <cell r="I74">
            <v>200000</v>
          </cell>
          <cell r="J74">
            <v>0</v>
          </cell>
          <cell r="K74">
            <v>200000</v>
          </cell>
          <cell r="M74">
            <v>200000</v>
          </cell>
        </row>
        <row r="75">
          <cell r="F75">
            <v>200000</v>
          </cell>
          <cell r="H75">
            <v>0</v>
          </cell>
          <cell r="I75">
            <v>200000</v>
          </cell>
          <cell r="J75">
            <v>0</v>
          </cell>
          <cell r="K75">
            <v>200000</v>
          </cell>
          <cell r="M75">
            <v>200000</v>
          </cell>
        </row>
        <row r="77">
          <cell r="F77">
            <v>0</v>
          </cell>
          <cell r="H77">
            <v>0</v>
          </cell>
          <cell r="I77">
            <v>0</v>
          </cell>
          <cell r="J77">
            <v>0</v>
          </cell>
          <cell r="K77">
            <v>0</v>
          </cell>
          <cell r="M77">
            <v>0</v>
          </cell>
        </row>
        <row r="79">
          <cell r="F79">
            <v>0</v>
          </cell>
          <cell r="H79">
            <v>0</v>
          </cell>
          <cell r="I79">
            <v>0</v>
          </cell>
          <cell r="J79">
            <v>0</v>
          </cell>
          <cell r="K79">
            <v>0</v>
          </cell>
          <cell r="M79">
            <v>0</v>
          </cell>
        </row>
        <row r="80">
          <cell r="F80">
            <v>0</v>
          </cell>
          <cell r="H80">
            <v>0</v>
          </cell>
          <cell r="I80">
            <v>0</v>
          </cell>
          <cell r="J80">
            <v>0</v>
          </cell>
          <cell r="K80">
            <v>0</v>
          </cell>
          <cell r="M80">
            <v>0</v>
          </cell>
        </row>
        <row r="82">
          <cell r="F82">
            <v>0</v>
          </cell>
          <cell r="H82">
            <v>0</v>
          </cell>
          <cell r="I82">
            <v>0</v>
          </cell>
          <cell r="J82">
            <v>0</v>
          </cell>
          <cell r="K82">
            <v>0</v>
          </cell>
          <cell r="M82">
            <v>0</v>
          </cell>
        </row>
        <row r="84">
          <cell r="F84">
            <v>-4731339</v>
          </cell>
          <cell r="H84">
            <v>0</v>
          </cell>
          <cell r="I84">
            <v>-4731339</v>
          </cell>
          <cell r="J84">
            <v>0</v>
          </cell>
          <cell r="K84">
            <v>-4731339</v>
          </cell>
          <cell r="M84">
            <v>-1690104</v>
          </cell>
        </row>
        <row r="85">
          <cell r="F85">
            <v>-662388</v>
          </cell>
          <cell r="H85">
            <v>0</v>
          </cell>
          <cell r="I85">
            <v>-662388</v>
          </cell>
          <cell r="J85">
            <v>0</v>
          </cell>
          <cell r="K85">
            <v>-662388</v>
          </cell>
          <cell r="M85">
            <v>-231916</v>
          </cell>
        </row>
        <row r="86">
          <cell r="F86">
            <v>-60005</v>
          </cell>
          <cell r="H86">
            <v>0</v>
          </cell>
          <cell r="I86">
            <v>-60005</v>
          </cell>
          <cell r="J86">
            <v>0</v>
          </cell>
          <cell r="K86">
            <v>-60005</v>
          </cell>
          <cell r="M86">
            <v>-100000</v>
          </cell>
        </row>
        <row r="87">
          <cell r="F87">
            <v>-5453732</v>
          </cell>
          <cell r="H87">
            <v>0</v>
          </cell>
          <cell r="I87">
            <v>-5453732</v>
          </cell>
          <cell r="J87">
            <v>0</v>
          </cell>
          <cell r="K87">
            <v>-5453732</v>
          </cell>
          <cell r="M87">
            <v>-2022020</v>
          </cell>
        </row>
        <row r="89">
          <cell r="F89">
            <v>-337825</v>
          </cell>
          <cell r="H89">
            <v>0</v>
          </cell>
          <cell r="I89">
            <v>-337825</v>
          </cell>
          <cell r="J89">
            <v>0</v>
          </cell>
          <cell r="K89">
            <v>-337825</v>
          </cell>
          <cell r="M89">
            <v>-156214</v>
          </cell>
        </row>
        <row r="90">
          <cell r="F90">
            <v>-337825</v>
          </cell>
          <cell r="H90">
            <v>0</v>
          </cell>
          <cell r="I90">
            <v>-337825</v>
          </cell>
          <cell r="J90">
            <v>0</v>
          </cell>
          <cell r="K90">
            <v>-337825</v>
          </cell>
          <cell r="M90">
            <v>-156214</v>
          </cell>
        </row>
        <row r="92">
          <cell r="F92">
            <v>-2424744</v>
          </cell>
          <cell r="H92">
            <v>0</v>
          </cell>
          <cell r="I92">
            <v>-2424744</v>
          </cell>
          <cell r="J92">
            <v>0</v>
          </cell>
          <cell r="K92">
            <v>-2424744</v>
          </cell>
          <cell r="M92">
            <v>-1186864</v>
          </cell>
        </row>
        <row r="93">
          <cell r="F93">
            <v>-2424744</v>
          </cell>
          <cell r="H93">
            <v>0</v>
          </cell>
          <cell r="I93">
            <v>-2424744</v>
          </cell>
          <cell r="J93">
            <v>0</v>
          </cell>
          <cell r="K93">
            <v>-2424744</v>
          </cell>
          <cell r="M93">
            <v>-1186864</v>
          </cell>
        </row>
        <row r="95">
          <cell r="F95">
            <v>-3108199</v>
          </cell>
          <cell r="H95">
            <v>0</v>
          </cell>
          <cell r="I95">
            <v>-3108199</v>
          </cell>
          <cell r="J95">
            <v>0</v>
          </cell>
          <cell r="K95">
            <v>-3108199</v>
          </cell>
          <cell r="M95">
            <v>-4589064</v>
          </cell>
        </row>
        <row r="96">
          <cell r="F96">
            <v>-3108199</v>
          </cell>
          <cell r="H96">
            <v>0</v>
          </cell>
          <cell r="I96">
            <v>-3108199</v>
          </cell>
          <cell r="J96">
            <v>0</v>
          </cell>
          <cell r="K96">
            <v>-3108199</v>
          </cell>
          <cell r="M96">
            <v>-4589064</v>
          </cell>
        </row>
        <row r="98">
          <cell r="F98">
            <v>0</v>
          </cell>
          <cell r="H98">
            <v>0</v>
          </cell>
          <cell r="I98">
            <v>0</v>
          </cell>
          <cell r="J98">
            <v>0</v>
          </cell>
          <cell r="K98">
            <v>0</v>
          </cell>
          <cell r="M98">
            <v>0</v>
          </cell>
        </row>
        <row r="100">
          <cell r="F100">
            <v>0</v>
          </cell>
          <cell r="H100">
            <v>0</v>
          </cell>
          <cell r="I100">
            <v>0</v>
          </cell>
          <cell r="J100">
            <v>0</v>
          </cell>
          <cell r="K100">
            <v>0</v>
          </cell>
          <cell r="M100">
            <v>0</v>
          </cell>
        </row>
        <row r="101">
          <cell r="F101">
            <v>-1330490</v>
          </cell>
          <cell r="H101">
            <v>0</v>
          </cell>
          <cell r="I101">
            <v>-1330490</v>
          </cell>
          <cell r="J101">
            <v>0</v>
          </cell>
          <cell r="K101">
            <v>-1330490</v>
          </cell>
          <cell r="M101">
            <v>-1194352</v>
          </cell>
        </row>
        <row r="102">
          <cell r="F102">
            <v>-16589808</v>
          </cell>
          <cell r="H102">
            <v>0</v>
          </cell>
          <cell r="I102">
            <v>-16589808</v>
          </cell>
          <cell r="J102">
            <v>0</v>
          </cell>
          <cell r="K102">
            <v>-16589808</v>
          </cell>
          <cell r="M102">
            <v>-7754800</v>
          </cell>
        </row>
        <row r="103">
          <cell r="F103">
            <v>-47299</v>
          </cell>
          <cell r="H103">
            <v>0</v>
          </cell>
          <cell r="I103">
            <v>-47299</v>
          </cell>
          <cell r="J103">
            <v>0</v>
          </cell>
          <cell r="K103">
            <v>-47299</v>
          </cell>
          <cell r="M103">
            <v>0</v>
          </cell>
        </row>
        <row r="104">
          <cell r="F104">
            <v>-4746222</v>
          </cell>
          <cell r="H104">
            <v>0</v>
          </cell>
          <cell r="I104">
            <v>-4746222</v>
          </cell>
          <cell r="J104">
            <v>0</v>
          </cell>
          <cell r="K104">
            <v>-4746222</v>
          </cell>
          <cell r="M104">
            <v>0</v>
          </cell>
        </row>
        <row r="105">
          <cell r="F105">
            <v>-5</v>
          </cell>
          <cell r="H105">
            <v>0</v>
          </cell>
          <cell r="I105">
            <v>-5</v>
          </cell>
          <cell r="J105">
            <v>0</v>
          </cell>
          <cell r="K105">
            <v>-5</v>
          </cell>
          <cell r="M105">
            <v>0</v>
          </cell>
        </row>
        <row r="106">
          <cell r="F106">
            <v>-344315</v>
          </cell>
          <cell r="H106">
            <v>0</v>
          </cell>
          <cell r="I106">
            <v>-344315</v>
          </cell>
          <cell r="J106">
            <v>0</v>
          </cell>
          <cell r="K106">
            <v>-344315</v>
          </cell>
          <cell r="M106">
            <v>-183914</v>
          </cell>
        </row>
        <row r="107">
          <cell r="F107">
            <v>0</v>
          </cell>
          <cell r="H107">
            <v>0</v>
          </cell>
          <cell r="I107">
            <v>0</v>
          </cell>
          <cell r="J107">
            <v>0</v>
          </cell>
          <cell r="K107">
            <v>0</v>
          </cell>
          <cell r="M107">
            <v>0</v>
          </cell>
        </row>
        <row r="108">
          <cell r="F108">
            <v>-18228155</v>
          </cell>
          <cell r="H108">
            <v>0</v>
          </cell>
          <cell r="I108">
            <v>-18228155</v>
          </cell>
          <cell r="J108">
            <v>0</v>
          </cell>
          <cell r="K108">
            <v>-18228155</v>
          </cell>
          <cell r="M108">
            <v>-18228155</v>
          </cell>
        </row>
        <row r="109">
          <cell r="F109">
            <v>-418935</v>
          </cell>
          <cell r="H109">
            <v>0</v>
          </cell>
          <cell r="I109">
            <v>-418935</v>
          </cell>
          <cell r="J109">
            <v>0</v>
          </cell>
          <cell r="K109">
            <v>-418935</v>
          </cell>
          <cell r="M109">
            <v>-367500</v>
          </cell>
        </row>
        <row r="110">
          <cell r="F110">
            <v>-1667086</v>
          </cell>
          <cell r="H110">
            <v>0</v>
          </cell>
          <cell r="I110">
            <v>-1667086</v>
          </cell>
          <cell r="J110">
            <v>0</v>
          </cell>
          <cell r="K110">
            <v>-1667086</v>
          </cell>
          <cell r="M110">
            <v>-46654</v>
          </cell>
        </row>
        <row r="111">
          <cell r="F111">
            <v>-9278472</v>
          </cell>
          <cell r="H111">
            <v>0</v>
          </cell>
          <cell r="I111">
            <v>-9278472</v>
          </cell>
          <cell r="J111">
            <v>0</v>
          </cell>
          <cell r="K111">
            <v>-9278472</v>
          </cell>
          <cell r="M111">
            <v>-8281615</v>
          </cell>
        </row>
        <row r="112">
          <cell r="F112">
            <v>-695032</v>
          </cell>
          <cell r="H112">
            <v>0</v>
          </cell>
          <cell r="I112">
            <v>-695032</v>
          </cell>
          <cell r="J112">
            <v>0</v>
          </cell>
          <cell r="K112">
            <v>-695032</v>
          </cell>
          <cell r="M112">
            <v>-695032</v>
          </cell>
        </row>
        <row r="113">
          <cell r="F113">
            <v>-20716</v>
          </cell>
          <cell r="H113">
            <v>0</v>
          </cell>
          <cell r="I113">
            <v>-20716</v>
          </cell>
          <cell r="J113">
            <v>0</v>
          </cell>
          <cell r="K113">
            <v>-20716</v>
          </cell>
          <cell r="M113">
            <v>-10217</v>
          </cell>
        </row>
        <row r="114">
          <cell r="F114">
            <v>-100037</v>
          </cell>
          <cell r="H114">
            <v>0</v>
          </cell>
          <cell r="I114">
            <v>-100037</v>
          </cell>
          <cell r="J114">
            <v>0</v>
          </cell>
          <cell r="K114">
            <v>-100037</v>
          </cell>
          <cell r="M114">
            <v>-100625</v>
          </cell>
        </row>
        <row r="115">
          <cell r="F115">
            <v>-636349</v>
          </cell>
          <cell r="H115">
            <v>0</v>
          </cell>
          <cell r="I115">
            <v>-636349</v>
          </cell>
          <cell r="J115">
            <v>0</v>
          </cell>
          <cell r="K115">
            <v>-636349</v>
          </cell>
          <cell r="M115">
            <v>0</v>
          </cell>
        </row>
        <row r="116">
          <cell r="F116">
            <v>-54102921</v>
          </cell>
          <cell r="H116">
            <v>0</v>
          </cell>
          <cell r="I116">
            <v>-54102921</v>
          </cell>
          <cell r="J116">
            <v>0</v>
          </cell>
          <cell r="K116">
            <v>-54102921</v>
          </cell>
          <cell r="M116">
            <v>-36862864</v>
          </cell>
        </row>
        <row r="118">
          <cell r="F118">
            <v>0</v>
          </cell>
          <cell r="H118">
            <v>0</v>
          </cell>
          <cell r="I118">
            <v>0</v>
          </cell>
          <cell r="J118">
            <v>0</v>
          </cell>
          <cell r="K118">
            <v>0</v>
          </cell>
          <cell r="M118">
            <v>0</v>
          </cell>
        </row>
        <row r="120">
          <cell r="F120">
            <v>0</v>
          </cell>
          <cell r="H120">
            <v>0</v>
          </cell>
          <cell r="I120">
            <v>0</v>
          </cell>
          <cell r="J120">
            <v>0</v>
          </cell>
          <cell r="K120">
            <v>0</v>
          </cell>
          <cell r="M120">
            <v>0</v>
          </cell>
        </row>
        <row r="122">
          <cell r="F122">
            <v>0</v>
          </cell>
          <cell r="H122">
            <v>0</v>
          </cell>
          <cell r="I122">
            <v>0</v>
          </cell>
          <cell r="J122">
            <v>0</v>
          </cell>
          <cell r="K122">
            <v>0</v>
          </cell>
          <cell r="M122">
            <v>0</v>
          </cell>
        </row>
        <row r="124">
          <cell r="F124">
            <v>-8059575</v>
          </cell>
          <cell r="H124">
            <v>0</v>
          </cell>
          <cell r="I124">
            <v>-8059575</v>
          </cell>
          <cell r="J124">
            <v>0</v>
          </cell>
          <cell r="K124">
            <v>-8059575</v>
          </cell>
          <cell r="M124">
            <v>4981651</v>
          </cell>
        </row>
        <row r="125">
          <cell r="F125">
            <v>-8059575</v>
          </cell>
          <cell r="H125">
            <v>0</v>
          </cell>
          <cell r="I125">
            <v>-8059575</v>
          </cell>
          <cell r="J125">
            <v>0</v>
          </cell>
          <cell r="K125">
            <v>-8059575</v>
          </cell>
          <cell r="M125">
            <v>4981651</v>
          </cell>
        </row>
        <row r="127">
          <cell r="F127">
            <v>101531700</v>
          </cell>
          <cell r="H127">
            <v>0</v>
          </cell>
          <cell r="I127">
            <v>101531700</v>
          </cell>
          <cell r="J127">
            <v>0</v>
          </cell>
          <cell r="K127">
            <v>101531700</v>
          </cell>
          <cell r="M127">
            <v>81539966</v>
          </cell>
        </row>
        <row r="128">
          <cell r="F128">
            <v>101531700</v>
          </cell>
          <cell r="H128">
            <v>0</v>
          </cell>
          <cell r="I128">
            <v>101531700</v>
          </cell>
          <cell r="J128">
            <v>0</v>
          </cell>
          <cell r="K128">
            <v>101531700</v>
          </cell>
          <cell r="M128">
            <v>81539966</v>
          </cell>
        </row>
        <row r="130">
          <cell r="F130">
            <v>-3619526683</v>
          </cell>
          <cell r="H130">
            <v>0</v>
          </cell>
          <cell r="I130">
            <v>-3619526683</v>
          </cell>
          <cell r="J130">
            <v>0</v>
          </cell>
          <cell r="K130">
            <v>-3619526683</v>
          </cell>
          <cell r="M130">
            <v>-1926514293</v>
          </cell>
        </row>
        <row r="131">
          <cell r="F131">
            <v>1104223371</v>
          </cell>
          <cell r="H131">
            <v>0</v>
          </cell>
          <cell r="I131">
            <v>1104223371</v>
          </cell>
          <cell r="J131">
            <v>0</v>
          </cell>
          <cell r="K131">
            <v>1104223371</v>
          </cell>
          <cell r="M131">
            <v>2444365150</v>
          </cell>
        </row>
        <row r="132">
          <cell r="F132">
            <v>-3148274875</v>
          </cell>
          <cell r="H132">
            <v>0</v>
          </cell>
          <cell r="I132">
            <v>-3148274875</v>
          </cell>
          <cell r="J132">
            <v>0</v>
          </cell>
          <cell r="K132">
            <v>-3148274875</v>
          </cell>
          <cell r="M132">
            <v>-905792371</v>
          </cell>
        </row>
        <row r="133">
          <cell r="F133">
            <v>4289450608</v>
          </cell>
          <cell r="H133">
            <v>0</v>
          </cell>
          <cell r="I133">
            <v>4289450608</v>
          </cell>
          <cell r="J133">
            <v>0</v>
          </cell>
          <cell r="K133">
            <v>4289450608</v>
          </cell>
          <cell r="M133">
            <v>1217912416</v>
          </cell>
        </row>
        <row r="134">
          <cell r="F134">
            <v>104865494</v>
          </cell>
          <cell r="H134">
            <v>0</v>
          </cell>
          <cell r="I134">
            <v>104865494</v>
          </cell>
          <cell r="J134">
            <v>0</v>
          </cell>
          <cell r="K134">
            <v>104865494</v>
          </cell>
          <cell r="M134">
            <v>-10668890</v>
          </cell>
        </row>
        <row r="135">
          <cell r="F135">
            <v>-968707905</v>
          </cell>
          <cell r="H135">
            <v>0</v>
          </cell>
          <cell r="I135">
            <v>-968707905</v>
          </cell>
          <cell r="J135">
            <v>0</v>
          </cell>
          <cell r="K135">
            <v>-968707905</v>
          </cell>
          <cell r="M135">
            <v>-1677165963</v>
          </cell>
        </row>
        <row r="136">
          <cell r="F136">
            <v>-2237969990</v>
          </cell>
          <cell r="H136">
            <v>0</v>
          </cell>
          <cell r="I136">
            <v>-2237969990</v>
          </cell>
          <cell r="J136">
            <v>0</v>
          </cell>
          <cell r="K136">
            <v>-2237969990</v>
          </cell>
          <cell r="M136">
            <v>-857863951</v>
          </cell>
        </row>
        <row r="138">
          <cell r="F138">
            <v>-133135554</v>
          </cell>
          <cell r="H138">
            <v>0</v>
          </cell>
          <cell r="I138">
            <v>-133135554</v>
          </cell>
          <cell r="J138">
            <v>0</v>
          </cell>
          <cell r="K138">
            <v>-133135554</v>
          </cell>
          <cell r="M138">
            <v>-90373946</v>
          </cell>
        </row>
        <row r="139">
          <cell r="F139">
            <v>-133135554</v>
          </cell>
          <cell r="H139">
            <v>0</v>
          </cell>
          <cell r="I139">
            <v>-133135554</v>
          </cell>
          <cell r="J139">
            <v>0</v>
          </cell>
          <cell r="K139">
            <v>-133135554</v>
          </cell>
          <cell r="M139">
            <v>-90373946</v>
          </cell>
        </row>
        <row r="141">
          <cell r="F141">
            <v>0</v>
          </cell>
          <cell r="H141">
            <v>0</v>
          </cell>
          <cell r="I141">
            <v>0</v>
          </cell>
          <cell r="J141">
            <v>0</v>
          </cell>
          <cell r="K141">
            <v>0</v>
          </cell>
          <cell r="M141">
            <v>0</v>
          </cell>
        </row>
        <row r="143">
          <cell r="F143">
            <v>351220</v>
          </cell>
          <cell r="H143">
            <v>0</v>
          </cell>
          <cell r="I143">
            <v>351220</v>
          </cell>
          <cell r="J143">
            <v>0</v>
          </cell>
          <cell r="K143">
            <v>351220</v>
          </cell>
          <cell r="M143">
            <v>-784271</v>
          </cell>
        </row>
        <row r="144">
          <cell r="F144">
            <v>13904550</v>
          </cell>
          <cell r="H144">
            <v>0</v>
          </cell>
          <cell r="I144">
            <v>13904550</v>
          </cell>
          <cell r="J144">
            <v>0</v>
          </cell>
          <cell r="K144">
            <v>13904550</v>
          </cell>
          <cell r="M144">
            <v>-71280248</v>
          </cell>
        </row>
        <row r="145">
          <cell r="F145">
            <v>-842630</v>
          </cell>
          <cell r="H145">
            <v>0</v>
          </cell>
          <cell r="I145">
            <v>-842630</v>
          </cell>
          <cell r="J145">
            <v>0</v>
          </cell>
          <cell r="K145">
            <v>-842630</v>
          </cell>
          <cell r="M145">
            <v>-330138</v>
          </cell>
        </row>
        <row r="146">
          <cell r="F146">
            <v>13413140</v>
          </cell>
          <cell r="H146">
            <v>0</v>
          </cell>
          <cell r="I146">
            <v>13413140</v>
          </cell>
          <cell r="J146">
            <v>0</v>
          </cell>
          <cell r="K146">
            <v>13413140</v>
          </cell>
          <cell r="M146">
            <v>-72394657</v>
          </cell>
        </row>
        <row r="148">
          <cell r="F148">
            <v>0</v>
          </cell>
          <cell r="H148">
            <v>0</v>
          </cell>
          <cell r="I148">
            <v>0</v>
          </cell>
          <cell r="J148">
            <v>0</v>
          </cell>
          <cell r="K148">
            <v>0</v>
          </cell>
          <cell r="M148">
            <v>0</v>
          </cell>
        </row>
        <row r="150">
          <cell r="F150">
            <v>-24347106</v>
          </cell>
          <cell r="H150">
            <v>0</v>
          </cell>
          <cell r="I150">
            <v>-24347106</v>
          </cell>
          <cell r="J150">
            <v>0</v>
          </cell>
          <cell r="K150">
            <v>-24347106</v>
          </cell>
          <cell r="M150">
            <v>-31652140</v>
          </cell>
        </row>
        <row r="151">
          <cell r="F151">
            <v>-14737</v>
          </cell>
          <cell r="H151">
            <v>0</v>
          </cell>
          <cell r="I151">
            <v>-14737</v>
          </cell>
          <cell r="J151">
            <v>0</v>
          </cell>
          <cell r="K151">
            <v>-14737</v>
          </cell>
          <cell r="M151">
            <v>-962972</v>
          </cell>
        </row>
        <row r="152">
          <cell r="F152">
            <v>-5096076</v>
          </cell>
          <cell r="H152">
            <v>0</v>
          </cell>
          <cell r="I152">
            <v>-5096076</v>
          </cell>
          <cell r="J152">
            <v>0</v>
          </cell>
          <cell r="K152">
            <v>-5096076</v>
          </cell>
          <cell r="M152">
            <v>-4202792</v>
          </cell>
        </row>
        <row r="153">
          <cell r="F153">
            <v>1876207</v>
          </cell>
          <cell r="H153">
            <v>0</v>
          </cell>
          <cell r="I153">
            <v>1876207</v>
          </cell>
          <cell r="J153">
            <v>0</v>
          </cell>
          <cell r="K153">
            <v>1876207</v>
          </cell>
          <cell r="M153">
            <v>0</v>
          </cell>
        </row>
        <row r="154">
          <cell r="F154">
            <v>6880</v>
          </cell>
          <cell r="H154">
            <v>0</v>
          </cell>
          <cell r="I154">
            <v>6880</v>
          </cell>
          <cell r="J154">
            <v>0</v>
          </cell>
          <cell r="K154">
            <v>6880</v>
          </cell>
          <cell r="M154">
            <v>4340836</v>
          </cell>
        </row>
        <row r="155">
          <cell r="F155">
            <v>-27574832</v>
          </cell>
          <cell r="H155">
            <v>0</v>
          </cell>
          <cell r="I155">
            <v>-27574832</v>
          </cell>
          <cell r="J155">
            <v>0</v>
          </cell>
          <cell r="K155">
            <v>-27574832</v>
          </cell>
          <cell r="M155">
            <v>-32477068</v>
          </cell>
        </row>
        <row r="157">
          <cell r="F157">
            <v>-198489941</v>
          </cell>
          <cell r="H157">
            <v>0</v>
          </cell>
          <cell r="I157">
            <v>-198489941</v>
          </cell>
          <cell r="J157">
            <v>0</v>
          </cell>
          <cell r="K157">
            <v>-198489941</v>
          </cell>
          <cell r="M157">
            <v>-114963915</v>
          </cell>
        </row>
        <row r="158">
          <cell r="F158">
            <v>-32648906</v>
          </cell>
          <cell r="H158">
            <v>0</v>
          </cell>
          <cell r="I158">
            <v>-32648906</v>
          </cell>
          <cell r="J158">
            <v>0</v>
          </cell>
          <cell r="K158">
            <v>-32648906</v>
          </cell>
          <cell r="M158">
            <v>-13422664</v>
          </cell>
        </row>
        <row r="159">
          <cell r="F159">
            <v>-231138847</v>
          </cell>
          <cell r="H159">
            <v>0</v>
          </cell>
          <cell r="I159">
            <v>-231138847</v>
          </cell>
          <cell r="J159">
            <v>0</v>
          </cell>
          <cell r="K159">
            <v>-231138847</v>
          </cell>
          <cell r="M159">
            <v>-128386579</v>
          </cell>
        </row>
        <row r="161">
          <cell r="F161">
            <v>0</v>
          </cell>
          <cell r="H161">
            <v>0</v>
          </cell>
          <cell r="I161">
            <v>0</v>
          </cell>
          <cell r="J161">
            <v>0</v>
          </cell>
          <cell r="K161">
            <v>0</v>
          </cell>
          <cell r="M161">
            <v>0</v>
          </cell>
        </row>
        <row r="163">
          <cell r="F163">
            <v>-10397042</v>
          </cell>
          <cell r="H163">
            <v>0</v>
          </cell>
          <cell r="I163">
            <v>-10397042</v>
          </cell>
          <cell r="J163">
            <v>0</v>
          </cell>
          <cell r="K163">
            <v>-10397042</v>
          </cell>
          <cell r="M163">
            <v>-1932528</v>
          </cell>
        </row>
        <row r="164">
          <cell r="F164">
            <v>-10397042</v>
          </cell>
          <cell r="H164">
            <v>0</v>
          </cell>
          <cell r="I164">
            <v>-10397042</v>
          </cell>
          <cell r="J164">
            <v>0</v>
          </cell>
          <cell r="K164">
            <v>-10397042</v>
          </cell>
          <cell r="M164">
            <v>-1932528</v>
          </cell>
        </row>
        <row r="166">
          <cell r="F166">
            <v>-1563</v>
          </cell>
          <cell r="H166">
            <v>0</v>
          </cell>
          <cell r="I166">
            <v>-1563</v>
          </cell>
          <cell r="J166">
            <v>0</v>
          </cell>
          <cell r="K166">
            <v>-1563</v>
          </cell>
          <cell r="M166">
            <v>-450</v>
          </cell>
        </row>
        <row r="167">
          <cell r="F167">
            <v>-1563</v>
          </cell>
          <cell r="H167">
            <v>0</v>
          </cell>
          <cell r="I167">
            <v>-1563</v>
          </cell>
          <cell r="J167">
            <v>0</v>
          </cell>
          <cell r="K167">
            <v>-1563</v>
          </cell>
          <cell r="M167">
            <v>-450</v>
          </cell>
        </row>
        <row r="169">
          <cell r="F169">
            <v>-225000</v>
          </cell>
          <cell r="H169">
            <v>0</v>
          </cell>
          <cell r="I169">
            <v>-225000</v>
          </cell>
          <cell r="J169">
            <v>0</v>
          </cell>
          <cell r="K169">
            <v>-225000</v>
          </cell>
          <cell r="M169">
            <v>-250000</v>
          </cell>
        </row>
        <row r="170">
          <cell r="F170">
            <v>-225000</v>
          </cell>
          <cell r="H170">
            <v>0</v>
          </cell>
          <cell r="I170">
            <v>-225000</v>
          </cell>
          <cell r="J170">
            <v>0</v>
          </cell>
          <cell r="K170">
            <v>-225000</v>
          </cell>
          <cell r="M170">
            <v>-250000</v>
          </cell>
        </row>
        <row r="172">
          <cell r="F172">
            <v>-2887599</v>
          </cell>
          <cell r="H172">
            <v>0</v>
          </cell>
          <cell r="I172">
            <v>-2887599</v>
          </cell>
          <cell r="J172">
            <v>0</v>
          </cell>
          <cell r="K172">
            <v>-2887599</v>
          </cell>
          <cell r="M172">
            <v>-52815</v>
          </cell>
        </row>
        <row r="173">
          <cell r="F173">
            <v>-450897</v>
          </cell>
          <cell r="H173">
            <v>0</v>
          </cell>
          <cell r="I173">
            <v>-450897</v>
          </cell>
          <cell r="J173">
            <v>0</v>
          </cell>
          <cell r="K173">
            <v>-450897</v>
          </cell>
          <cell r="M173">
            <v>-580047</v>
          </cell>
        </row>
        <row r="174">
          <cell r="F174">
            <v>-234339</v>
          </cell>
          <cell r="H174">
            <v>0</v>
          </cell>
          <cell r="I174">
            <v>-234339</v>
          </cell>
          <cell r="J174">
            <v>0</v>
          </cell>
          <cell r="K174">
            <v>-234339</v>
          </cell>
          <cell r="M174">
            <v>-299378</v>
          </cell>
        </row>
        <row r="175">
          <cell r="F175">
            <v>-236307</v>
          </cell>
          <cell r="H175">
            <v>0</v>
          </cell>
          <cell r="I175">
            <v>-236307</v>
          </cell>
          <cell r="J175">
            <v>0</v>
          </cell>
          <cell r="K175">
            <v>-236307</v>
          </cell>
          <cell r="M175">
            <v>-152554</v>
          </cell>
        </row>
        <row r="176">
          <cell r="F176">
            <v>-1475264</v>
          </cell>
          <cell r="H176">
            <v>0</v>
          </cell>
          <cell r="I176">
            <v>-1475264</v>
          </cell>
          <cell r="J176">
            <v>0</v>
          </cell>
          <cell r="K176">
            <v>-1475264</v>
          </cell>
          <cell r="M176">
            <v>-1961315</v>
          </cell>
        </row>
        <row r="177">
          <cell r="F177">
            <v>-263</v>
          </cell>
          <cell r="H177">
            <v>0</v>
          </cell>
          <cell r="I177">
            <v>-263</v>
          </cell>
          <cell r="J177">
            <v>0</v>
          </cell>
          <cell r="K177">
            <v>-263</v>
          </cell>
          <cell r="M177">
            <v>0</v>
          </cell>
        </row>
        <row r="178">
          <cell r="F178">
            <v>-14480932</v>
          </cell>
          <cell r="H178">
            <v>0</v>
          </cell>
          <cell r="I178">
            <v>-14480932</v>
          </cell>
          <cell r="J178">
            <v>0</v>
          </cell>
          <cell r="K178">
            <v>-14480932</v>
          </cell>
          <cell r="M178">
            <v>-6830195</v>
          </cell>
        </row>
        <row r="179">
          <cell r="F179">
            <v>0</v>
          </cell>
          <cell r="H179">
            <v>0</v>
          </cell>
          <cell r="I179">
            <v>0</v>
          </cell>
          <cell r="J179">
            <v>0</v>
          </cell>
          <cell r="K179">
            <v>0</v>
          </cell>
          <cell r="M179">
            <v>-192917</v>
          </cell>
        </row>
        <row r="180">
          <cell r="F180">
            <v>-123685</v>
          </cell>
          <cell r="H180">
            <v>0</v>
          </cell>
          <cell r="I180">
            <v>-123685</v>
          </cell>
          <cell r="J180">
            <v>0</v>
          </cell>
          <cell r="K180">
            <v>-123685</v>
          </cell>
          <cell r="M180">
            <v>-21224</v>
          </cell>
        </row>
        <row r="181">
          <cell r="F181">
            <v>-19889286</v>
          </cell>
          <cell r="H181">
            <v>0</v>
          </cell>
          <cell r="I181">
            <v>-19889286</v>
          </cell>
          <cell r="J181">
            <v>0</v>
          </cell>
          <cell r="K181">
            <v>-19889286</v>
          </cell>
          <cell r="M181">
            <v>-10090445</v>
          </cell>
        </row>
        <row r="183">
          <cell r="F183">
            <v>-1031154</v>
          </cell>
          <cell r="H183">
            <v>0</v>
          </cell>
          <cell r="I183">
            <v>-1031154</v>
          </cell>
          <cell r="J183">
            <v>0</v>
          </cell>
          <cell r="K183">
            <v>-1031154</v>
          </cell>
          <cell r="M183">
            <v>-227295</v>
          </cell>
        </row>
        <row r="184">
          <cell r="F184">
            <v>-257250</v>
          </cell>
          <cell r="H184">
            <v>0</v>
          </cell>
          <cell r="I184">
            <v>-257250</v>
          </cell>
          <cell r="J184">
            <v>0</v>
          </cell>
          <cell r="K184">
            <v>-257250</v>
          </cell>
          <cell r="M184">
            <v>-5595045</v>
          </cell>
        </row>
        <row r="185">
          <cell r="F185">
            <v>-55</v>
          </cell>
          <cell r="H185">
            <v>0</v>
          </cell>
          <cell r="I185">
            <v>-55</v>
          </cell>
          <cell r="J185">
            <v>0</v>
          </cell>
          <cell r="K185">
            <v>-55</v>
          </cell>
          <cell r="M185">
            <v>-62964</v>
          </cell>
        </row>
        <row r="186">
          <cell r="F186">
            <v>-1288459</v>
          </cell>
          <cell r="H186">
            <v>0</v>
          </cell>
          <cell r="I186">
            <v>-1288459</v>
          </cell>
          <cell r="J186">
            <v>0</v>
          </cell>
          <cell r="K186">
            <v>-1288459</v>
          </cell>
          <cell r="M186">
            <v>-5885304</v>
          </cell>
        </row>
        <row r="188">
          <cell r="F188">
            <v>-12045683</v>
          </cell>
          <cell r="H188">
            <v>0</v>
          </cell>
          <cell r="I188">
            <v>-12045683</v>
          </cell>
          <cell r="J188">
            <v>0</v>
          </cell>
          <cell r="K188">
            <v>-12045683</v>
          </cell>
          <cell r="M188">
            <v>0</v>
          </cell>
        </row>
        <row r="189">
          <cell r="F189">
            <v>0</v>
          </cell>
          <cell r="H189">
            <v>0</v>
          </cell>
          <cell r="I189">
            <v>0</v>
          </cell>
          <cell r="J189">
            <v>0</v>
          </cell>
          <cell r="K189">
            <v>0</v>
          </cell>
          <cell r="M189">
            <v>3893195</v>
          </cell>
        </row>
        <row r="190">
          <cell r="F190">
            <v>-12045683</v>
          </cell>
          <cell r="H190">
            <v>0</v>
          </cell>
          <cell r="I190">
            <v>-12045683</v>
          </cell>
          <cell r="J190">
            <v>0</v>
          </cell>
          <cell r="K190">
            <v>-12045683</v>
          </cell>
          <cell r="M190">
            <v>3893195</v>
          </cell>
        </row>
        <row r="192">
          <cell r="F192">
            <v>48494690</v>
          </cell>
          <cell r="H192">
            <v>0</v>
          </cell>
          <cell r="I192">
            <v>48494690</v>
          </cell>
          <cell r="J192">
            <v>0</v>
          </cell>
          <cell r="K192">
            <v>48494690</v>
          </cell>
          <cell r="M192">
            <v>23737331</v>
          </cell>
        </row>
        <row r="193">
          <cell r="F193">
            <v>6789292</v>
          </cell>
          <cell r="H193">
            <v>0</v>
          </cell>
          <cell r="I193">
            <v>6789292</v>
          </cell>
          <cell r="J193">
            <v>0</v>
          </cell>
          <cell r="K193">
            <v>6789292</v>
          </cell>
          <cell r="M193">
            <v>3705680</v>
          </cell>
        </row>
        <row r="194">
          <cell r="F194">
            <v>8834972</v>
          </cell>
          <cell r="H194">
            <v>0</v>
          </cell>
          <cell r="I194">
            <v>8834972</v>
          </cell>
          <cell r="J194">
            <v>0</v>
          </cell>
          <cell r="K194">
            <v>8834972</v>
          </cell>
          <cell r="M194">
            <v>4222589</v>
          </cell>
        </row>
        <row r="195">
          <cell r="F195">
            <v>64118954</v>
          </cell>
          <cell r="H195">
            <v>0</v>
          </cell>
          <cell r="I195">
            <v>64118954</v>
          </cell>
          <cell r="J195">
            <v>0</v>
          </cell>
          <cell r="K195">
            <v>64118954</v>
          </cell>
          <cell r="M195">
            <v>31665600</v>
          </cell>
        </row>
        <row r="197">
          <cell r="F197">
            <v>3597715</v>
          </cell>
          <cell r="H197">
            <v>0</v>
          </cell>
          <cell r="I197">
            <v>3597715</v>
          </cell>
          <cell r="J197">
            <v>0</v>
          </cell>
          <cell r="K197">
            <v>3597715</v>
          </cell>
          <cell r="M197">
            <v>2193791</v>
          </cell>
        </row>
        <row r="198">
          <cell r="F198">
            <v>3597715</v>
          </cell>
          <cell r="H198">
            <v>0</v>
          </cell>
          <cell r="I198">
            <v>3597715</v>
          </cell>
          <cell r="J198">
            <v>0</v>
          </cell>
          <cell r="K198">
            <v>3597715</v>
          </cell>
          <cell r="M198">
            <v>2193791</v>
          </cell>
        </row>
        <row r="200">
          <cell r="F200">
            <v>2424744</v>
          </cell>
          <cell r="H200">
            <v>0</v>
          </cell>
          <cell r="I200">
            <v>2424744</v>
          </cell>
          <cell r="J200">
            <v>0</v>
          </cell>
          <cell r="K200">
            <v>2424744</v>
          </cell>
          <cell r="M200">
            <v>1186864</v>
          </cell>
        </row>
        <row r="201">
          <cell r="F201">
            <v>2424744</v>
          </cell>
          <cell r="H201">
            <v>0</v>
          </cell>
          <cell r="I201">
            <v>2424744</v>
          </cell>
          <cell r="J201">
            <v>0</v>
          </cell>
          <cell r="K201">
            <v>2424744</v>
          </cell>
          <cell r="M201">
            <v>1186864</v>
          </cell>
        </row>
        <row r="203">
          <cell r="F203">
            <v>948493</v>
          </cell>
          <cell r="H203">
            <v>0</v>
          </cell>
          <cell r="I203">
            <v>948493</v>
          </cell>
          <cell r="J203">
            <v>0</v>
          </cell>
          <cell r="K203">
            <v>948493</v>
          </cell>
          <cell r="M203">
            <v>572053</v>
          </cell>
        </row>
        <row r="204">
          <cell r="F204">
            <v>19149</v>
          </cell>
          <cell r="H204">
            <v>0</v>
          </cell>
          <cell r="I204">
            <v>19149</v>
          </cell>
          <cell r="J204">
            <v>0</v>
          </cell>
          <cell r="K204">
            <v>19149</v>
          </cell>
          <cell r="M204">
            <v>11500</v>
          </cell>
        </row>
        <row r="205">
          <cell r="F205">
            <v>0</v>
          </cell>
          <cell r="H205">
            <v>0</v>
          </cell>
          <cell r="I205">
            <v>0</v>
          </cell>
          <cell r="J205">
            <v>0</v>
          </cell>
          <cell r="K205">
            <v>0</v>
          </cell>
          <cell r="M205">
            <v>21985</v>
          </cell>
        </row>
        <row r="206">
          <cell r="F206">
            <v>254792</v>
          </cell>
          <cell r="H206">
            <v>0</v>
          </cell>
          <cell r="I206">
            <v>254792</v>
          </cell>
          <cell r="J206">
            <v>0</v>
          </cell>
          <cell r="K206">
            <v>254792</v>
          </cell>
          <cell r="M206">
            <v>214250</v>
          </cell>
        </row>
        <row r="207">
          <cell r="F207">
            <v>103905</v>
          </cell>
          <cell r="H207">
            <v>0</v>
          </cell>
          <cell r="I207">
            <v>103905</v>
          </cell>
          <cell r="J207">
            <v>0</v>
          </cell>
          <cell r="K207">
            <v>103905</v>
          </cell>
          <cell r="M207">
            <v>100000</v>
          </cell>
        </row>
        <row r="208">
          <cell r="F208">
            <v>1326339</v>
          </cell>
          <cell r="H208">
            <v>0</v>
          </cell>
          <cell r="I208">
            <v>1326339</v>
          </cell>
          <cell r="J208">
            <v>0</v>
          </cell>
          <cell r="K208">
            <v>1326339</v>
          </cell>
          <cell r="M208">
            <v>919788</v>
          </cell>
        </row>
        <row r="210">
          <cell r="F210">
            <v>0</v>
          </cell>
          <cell r="H210">
            <v>0</v>
          </cell>
          <cell r="I210">
            <v>0</v>
          </cell>
          <cell r="J210">
            <v>0</v>
          </cell>
          <cell r="K210">
            <v>0</v>
          </cell>
          <cell r="M210">
            <v>0</v>
          </cell>
        </row>
        <row r="212">
          <cell r="F212">
            <v>0</v>
          </cell>
          <cell r="H212">
            <v>0</v>
          </cell>
          <cell r="I212">
            <v>0</v>
          </cell>
          <cell r="J212">
            <v>0</v>
          </cell>
          <cell r="K212">
            <v>0</v>
          </cell>
          <cell r="M212">
            <v>0</v>
          </cell>
        </row>
        <row r="214">
          <cell r="F214">
            <v>14042</v>
          </cell>
          <cell r="H214">
            <v>0</v>
          </cell>
          <cell r="I214">
            <v>14042</v>
          </cell>
          <cell r="J214">
            <v>0</v>
          </cell>
          <cell r="K214">
            <v>14042</v>
          </cell>
          <cell r="M214">
            <v>1255</v>
          </cell>
        </row>
        <row r="215">
          <cell r="F215">
            <v>1527</v>
          </cell>
          <cell r="H215">
            <v>0</v>
          </cell>
          <cell r="I215">
            <v>1527</v>
          </cell>
          <cell r="J215">
            <v>0</v>
          </cell>
          <cell r="K215">
            <v>1527</v>
          </cell>
          <cell r="M215">
            <v>0</v>
          </cell>
        </row>
        <row r="216">
          <cell r="F216">
            <v>216518</v>
          </cell>
          <cell r="H216">
            <v>0</v>
          </cell>
          <cell r="I216">
            <v>216518</v>
          </cell>
          <cell r="J216">
            <v>0</v>
          </cell>
          <cell r="K216">
            <v>216518</v>
          </cell>
          <cell r="M216">
            <v>115867</v>
          </cell>
        </row>
        <row r="217">
          <cell r="F217">
            <v>62498</v>
          </cell>
          <cell r="H217">
            <v>0</v>
          </cell>
          <cell r="I217">
            <v>62498</v>
          </cell>
          <cell r="J217">
            <v>0</v>
          </cell>
          <cell r="K217">
            <v>62498</v>
          </cell>
          <cell r="M217">
            <v>44124</v>
          </cell>
        </row>
        <row r="218">
          <cell r="F218">
            <v>36499</v>
          </cell>
          <cell r="H218">
            <v>0</v>
          </cell>
          <cell r="I218">
            <v>36499</v>
          </cell>
          <cell r="J218">
            <v>0</v>
          </cell>
          <cell r="K218">
            <v>36499</v>
          </cell>
          <cell r="M218">
            <v>20079</v>
          </cell>
        </row>
        <row r="219">
          <cell r="F219">
            <v>10060</v>
          </cell>
          <cell r="H219">
            <v>0</v>
          </cell>
          <cell r="I219">
            <v>10060</v>
          </cell>
          <cell r="J219">
            <v>0</v>
          </cell>
          <cell r="K219">
            <v>10060</v>
          </cell>
          <cell r="M219">
            <v>2968</v>
          </cell>
        </row>
        <row r="220">
          <cell r="F220">
            <v>341144</v>
          </cell>
          <cell r="H220">
            <v>0</v>
          </cell>
          <cell r="I220">
            <v>341144</v>
          </cell>
          <cell r="J220">
            <v>0</v>
          </cell>
          <cell r="K220">
            <v>341144</v>
          </cell>
          <cell r="M220">
            <v>184293</v>
          </cell>
        </row>
        <row r="222">
          <cell r="F222">
            <v>0</v>
          </cell>
          <cell r="H222">
            <v>0</v>
          </cell>
          <cell r="I222">
            <v>0</v>
          </cell>
          <cell r="J222">
            <v>0</v>
          </cell>
          <cell r="K222">
            <v>0</v>
          </cell>
          <cell r="M222">
            <v>0</v>
          </cell>
        </row>
        <row r="224">
          <cell r="F224">
            <v>0</v>
          </cell>
          <cell r="H224">
            <v>0</v>
          </cell>
          <cell r="I224">
            <v>0</v>
          </cell>
          <cell r="J224">
            <v>0</v>
          </cell>
          <cell r="K224">
            <v>0</v>
          </cell>
          <cell r="M224">
            <v>0</v>
          </cell>
        </row>
        <row r="225">
          <cell r="F225">
            <v>265835</v>
          </cell>
          <cell r="H225">
            <v>0</v>
          </cell>
          <cell r="I225">
            <v>265835</v>
          </cell>
          <cell r="J225">
            <v>0</v>
          </cell>
          <cell r="K225">
            <v>265835</v>
          </cell>
          <cell r="M225">
            <v>227196</v>
          </cell>
        </row>
        <row r="226">
          <cell r="F226">
            <v>25000</v>
          </cell>
          <cell r="H226">
            <v>0</v>
          </cell>
          <cell r="I226">
            <v>25000</v>
          </cell>
          <cell r="J226">
            <v>0</v>
          </cell>
          <cell r="K226">
            <v>25000</v>
          </cell>
          <cell r="M226">
            <v>24999</v>
          </cell>
        </row>
        <row r="227">
          <cell r="F227">
            <v>0</v>
          </cell>
          <cell r="H227">
            <v>0</v>
          </cell>
          <cell r="I227">
            <v>0</v>
          </cell>
          <cell r="J227">
            <v>0</v>
          </cell>
          <cell r="K227">
            <v>0</v>
          </cell>
          <cell r="M227">
            <v>0</v>
          </cell>
        </row>
        <row r="228">
          <cell r="F228">
            <v>0</v>
          </cell>
          <cell r="H228">
            <v>0</v>
          </cell>
          <cell r="I228">
            <v>0</v>
          </cell>
          <cell r="J228">
            <v>0</v>
          </cell>
          <cell r="K228">
            <v>0</v>
          </cell>
          <cell r="M228">
            <v>7875</v>
          </cell>
        </row>
        <row r="229">
          <cell r="F229">
            <v>290835</v>
          </cell>
          <cell r="H229">
            <v>0</v>
          </cell>
          <cell r="I229">
            <v>290835</v>
          </cell>
          <cell r="J229">
            <v>0</v>
          </cell>
          <cell r="K229">
            <v>290835</v>
          </cell>
          <cell r="M229">
            <v>260070</v>
          </cell>
        </row>
        <row r="231">
          <cell r="F231">
            <v>0</v>
          </cell>
          <cell r="H231">
            <v>0</v>
          </cell>
          <cell r="I231">
            <v>0</v>
          </cell>
          <cell r="J231">
            <v>0</v>
          </cell>
          <cell r="K231">
            <v>0</v>
          </cell>
          <cell r="M231">
            <v>0</v>
          </cell>
        </row>
        <row r="233">
          <cell r="F233">
            <v>0</v>
          </cell>
          <cell r="H233">
            <v>0</v>
          </cell>
          <cell r="I233">
            <v>0</v>
          </cell>
          <cell r="J233">
            <v>0</v>
          </cell>
          <cell r="K233">
            <v>0</v>
          </cell>
          <cell r="M233">
            <v>0</v>
          </cell>
        </row>
        <row r="235">
          <cell r="F235">
            <v>135878</v>
          </cell>
          <cell r="H235">
            <v>0</v>
          </cell>
          <cell r="I235">
            <v>135878</v>
          </cell>
          <cell r="J235">
            <v>0</v>
          </cell>
          <cell r="K235">
            <v>135878</v>
          </cell>
          <cell r="M235">
            <v>139035</v>
          </cell>
        </row>
        <row r="236">
          <cell r="F236">
            <v>11093</v>
          </cell>
          <cell r="H236">
            <v>0</v>
          </cell>
          <cell r="I236">
            <v>11093</v>
          </cell>
          <cell r="J236">
            <v>0</v>
          </cell>
          <cell r="K236">
            <v>11093</v>
          </cell>
          <cell r="M236">
            <v>9202</v>
          </cell>
        </row>
        <row r="237">
          <cell r="F237">
            <v>146971</v>
          </cell>
          <cell r="H237">
            <v>0</v>
          </cell>
          <cell r="I237">
            <v>146971</v>
          </cell>
          <cell r="J237">
            <v>0</v>
          </cell>
          <cell r="K237">
            <v>146971</v>
          </cell>
          <cell r="M237">
            <v>148237</v>
          </cell>
        </row>
        <row r="239">
          <cell r="F239">
            <v>527500</v>
          </cell>
          <cell r="H239">
            <v>0</v>
          </cell>
          <cell r="I239">
            <v>527500</v>
          </cell>
          <cell r="J239">
            <v>0</v>
          </cell>
          <cell r="K239">
            <v>527500</v>
          </cell>
          <cell r="M239">
            <v>502250</v>
          </cell>
        </row>
        <row r="240">
          <cell r="F240">
            <v>64936</v>
          </cell>
          <cell r="H240">
            <v>0</v>
          </cell>
          <cell r="I240">
            <v>64936</v>
          </cell>
          <cell r="J240">
            <v>0</v>
          </cell>
          <cell r="K240">
            <v>64936</v>
          </cell>
          <cell r="M240">
            <v>27250</v>
          </cell>
        </row>
        <row r="241">
          <cell r="F241">
            <v>592436</v>
          </cell>
          <cell r="H241">
            <v>0</v>
          </cell>
          <cell r="I241">
            <v>592436</v>
          </cell>
          <cell r="J241">
            <v>0</v>
          </cell>
          <cell r="K241">
            <v>592436</v>
          </cell>
          <cell r="M241">
            <v>529500</v>
          </cell>
        </row>
        <row r="243">
          <cell r="F243">
            <v>0</v>
          </cell>
          <cell r="H243">
            <v>0</v>
          </cell>
          <cell r="I243">
            <v>0</v>
          </cell>
          <cell r="J243">
            <v>0</v>
          </cell>
          <cell r="K243">
            <v>0</v>
          </cell>
          <cell r="M243">
            <v>0</v>
          </cell>
        </row>
        <row r="245">
          <cell r="F245">
            <v>0</v>
          </cell>
          <cell r="H245">
            <v>0</v>
          </cell>
          <cell r="I245">
            <v>0</v>
          </cell>
          <cell r="J245">
            <v>0</v>
          </cell>
          <cell r="K245">
            <v>0</v>
          </cell>
          <cell r="M245">
            <v>0</v>
          </cell>
        </row>
        <row r="247">
          <cell r="F247">
            <v>0</v>
          </cell>
          <cell r="H247">
            <v>0</v>
          </cell>
          <cell r="I247">
            <v>0</v>
          </cell>
          <cell r="J247">
            <v>0</v>
          </cell>
          <cell r="K247">
            <v>0</v>
          </cell>
          <cell r="M247">
            <v>2401235</v>
          </cell>
        </row>
        <row r="248">
          <cell r="F248">
            <v>0</v>
          </cell>
          <cell r="H248">
            <v>0</v>
          </cell>
          <cell r="I248">
            <v>0</v>
          </cell>
          <cell r="J248">
            <v>0</v>
          </cell>
          <cell r="K248">
            <v>0</v>
          </cell>
          <cell r="M248">
            <v>2401235</v>
          </cell>
        </row>
        <row r="250">
          <cell r="F250">
            <v>503427</v>
          </cell>
          <cell r="H250">
            <v>0</v>
          </cell>
          <cell r="I250">
            <v>503427</v>
          </cell>
          <cell r="J250">
            <v>0</v>
          </cell>
          <cell r="K250">
            <v>503427</v>
          </cell>
          <cell r="M250">
            <v>0</v>
          </cell>
        </row>
        <row r="251">
          <cell r="F251">
            <v>503427</v>
          </cell>
          <cell r="H251">
            <v>0</v>
          </cell>
          <cell r="I251">
            <v>503427</v>
          </cell>
          <cell r="J251">
            <v>0</v>
          </cell>
          <cell r="K251">
            <v>503427</v>
          </cell>
          <cell r="M251">
            <v>0</v>
          </cell>
        </row>
        <row r="253">
          <cell r="F253">
            <v>2294954</v>
          </cell>
          <cell r="H253">
            <v>0</v>
          </cell>
          <cell r="I253">
            <v>2294954</v>
          </cell>
          <cell r="J253">
            <v>0</v>
          </cell>
          <cell r="K253">
            <v>2294954</v>
          </cell>
          <cell r="M253">
            <v>0</v>
          </cell>
        </row>
        <row r="254">
          <cell r="F254">
            <v>321294</v>
          </cell>
          <cell r="H254">
            <v>0</v>
          </cell>
          <cell r="I254">
            <v>321294</v>
          </cell>
          <cell r="J254">
            <v>0</v>
          </cell>
          <cell r="K254">
            <v>321294</v>
          </cell>
          <cell r="M254">
            <v>0</v>
          </cell>
        </row>
        <row r="255">
          <cell r="F255">
            <v>2616248</v>
          </cell>
          <cell r="H255">
            <v>0</v>
          </cell>
          <cell r="I255">
            <v>2616248</v>
          </cell>
          <cell r="J255">
            <v>0</v>
          </cell>
          <cell r="K255">
            <v>2616248</v>
          </cell>
          <cell r="M255">
            <v>0</v>
          </cell>
        </row>
        <row r="257">
          <cell r="F257">
            <v>133135554</v>
          </cell>
          <cell r="H257">
            <v>0</v>
          </cell>
          <cell r="I257">
            <v>133135554</v>
          </cell>
          <cell r="J257">
            <v>0</v>
          </cell>
          <cell r="K257">
            <v>133135554</v>
          </cell>
          <cell r="M257">
            <v>90373946</v>
          </cell>
        </row>
        <row r="258">
          <cell r="F258">
            <v>133135554</v>
          </cell>
          <cell r="H258">
            <v>0</v>
          </cell>
          <cell r="I258">
            <v>133135554</v>
          </cell>
          <cell r="J258">
            <v>0</v>
          </cell>
          <cell r="K258">
            <v>133135554</v>
          </cell>
          <cell r="M258">
            <v>90373946</v>
          </cell>
        </row>
        <row r="260">
          <cell r="F260">
            <v>-104865494</v>
          </cell>
          <cell r="H260">
            <v>0</v>
          </cell>
          <cell r="I260">
            <v>-104865494</v>
          </cell>
          <cell r="J260">
            <v>0</v>
          </cell>
          <cell r="K260">
            <v>-104865494</v>
          </cell>
          <cell r="M260">
            <v>10668890</v>
          </cell>
        </row>
        <row r="261">
          <cell r="F261">
            <v>-104865494</v>
          </cell>
          <cell r="H261">
            <v>0</v>
          </cell>
          <cell r="I261">
            <v>-104865494</v>
          </cell>
          <cell r="J261">
            <v>0</v>
          </cell>
          <cell r="K261">
            <v>-104865494</v>
          </cell>
          <cell r="M261">
            <v>10668890</v>
          </cell>
        </row>
        <row r="263">
          <cell r="F263">
            <v>0</v>
          </cell>
          <cell r="H263">
            <v>0</v>
          </cell>
          <cell r="I263">
            <v>0</v>
          </cell>
          <cell r="J263">
            <v>0</v>
          </cell>
          <cell r="K263">
            <v>0</v>
          </cell>
          <cell r="M263">
            <v>0</v>
          </cell>
        </row>
        <row r="265">
          <cell r="F265">
            <v>0</v>
          </cell>
          <cell r="H265">
            <v>0</v>
          </cell>
          <cell r="I265">
            <v>0</v>
          </cell>
          <cell r="J265">
            <v>0</v>
          </cell>
          <cell r="K265">
            <v>0</v>
          </cell>
          <cell r="M265">
            <v>0</v>
          </cell>
        </row>
        <row r="267">
          <cell r="F267">
            <v>0</v>
          </cell>
          <cell r="H267">
            <v>0</v>
          </cell>
          <cell r="I267">
            <v>0</v>
          </cell>
          <cell r="J267">
            <v>0</v>
          </cell>
          <cell r="K267">
            <v>0</v>
          </cell>
          <cell r="M267">
            <v>0</v>
          </cell>
        </row>
        <row r="269">
          <cell r="F269">
            <v>0</v>
          </cell>
          <cell r="H269">
            <v>0</v>
          </cell>
          <cell r="I269">
            <v>0</v>
          </cell>
          <cell r="J269">
            <v>0</v>
          </cell>
          <cell r="K269">
            <v>0</v>
          </cell>
          <cell r="M269">
            <v>0</v>
          </cell>
        </row>
        <row r="271">
          <cell r="F271">
            <v>0</v>
          </cell>
          <cell r="H271">
            <v>0</v>
          </cell>
          <cell r="I271">
            <v>0</v>
          </cell>
          <cell r="J271">
            <v>0</v>
          </cell>
          <cell r="K271">
            <v>0</v>
          </cell>
          <cell r="M271">
            <v>0</v>
          </cell>
        </row>
        <row r="272">
          <cell r="F272">
            <v>0</v>
          </cell>
          <cell r="H272">
            <v>0</v>
          </cell>
          <cell r="I272">
            <v>0</v>
          </cell>
          <cell r="J272">
            <v>0</v>
          </cell>
          <cell r="K272">
            <v>0</v>
          </cell>
          <cell r="M272">
            <v>0</v>
          </cell>
        </row>
      </sheetData>
      <sheetData sheetId="18">
        <row r="17">
          <cell r="G17">
            <v>32812.985062780353</v>
          </cell>
        </row>
      </sheetData>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TAX 2002-2003 (2)"/>
      <sheetName val="Individual Tax Sheet"/>
      <sheetName val="INDTAX 2002-2003"/>
      <sheetName val="B"/>
      <sheetName val="SALARY"/>
      <sheetName val="Tax Deposit 07-02 - 06-03"/>
      <sheetName val="CLUB"/>
      <sheetName val="DRIVER PAY"/>
      <sheetName val="PETROL"/>
      <sheetName val="MEDICAL"/>
      <sheetName val="MARKET PRE ALL"/>
      <sheetName val="UTILITIES"/>
      <sheetName val="OVER TIME "/>
      <sheetName val="FILD All "/>
      <sheetName val="TRANS  Comp Allow"/>
      <sheetName val="EXTRA DAYS "/>
      <sheetName val="New Tax Law "/>
      <sheetName val="Vehicle Tax 2002-2003"/>
      <sheetName val="kad staff remove"/>
    </sheetNames>
    <sheetDataSet>
      <sheetData sheetId="0"/>
      <sheetData sheetId="1"/>
      <sheetData sheetId="2">
        <row r="200">
          <cell r="C200" t="str">
            <v>TOTAL</v>
          </cell>
          <cell r="D200">
            <v>100450909.58064516</v>
          </cell>
          <cell r="E200">
            <v>45203138.161290325</v>
          </cell>
          <cell r="F200">
            <v>10045230.387096774</v>
          </cell>
          <cell r="G200">
            <v>6307396.3870967748</v>
          </cell>
          <cell r="H200">
            <v>162006674.51612905</v>
          </cell>
          <cell r="I200">
            <v>12330482</v>
          </cell>
          <cell r="J200">
            <v>13829746</v>
          </cell>
          <cell r="K200">
            <v>7614580</v>
          </cell>
          <cell r="L200">
            <v>80460</v>
          </cell>
          <cell r="M200">
            <v>1896045</v>
          </cell>
          <cell r="N200">
            <v>355302</v>
          </cell>
          <cell r="O200">
            <v>1539761</v>
          </cell>
          <cell r="P200">
            <v>387982.06</v>
          </cell>
          <cell r="Q200">
            <v>6141000</v>
          </cell>
          <cell r="R200">
            <v>1136439.23</v>
          </cell>
          <cell r="S200">
            <v>5760050.5099999979</v>
          </cell>
          <cell r="T200">
            <v>0</v>
          </cell>
          <cell r="U200">
            <v>45666.666666666672</v>
          </cell>
          <cell r="V200">
            <v>-12800</v>
          </cell>
          <cell r="W200">
            <v>903000</v>
          </cell>
          <cell r="X200">
            <v>693000</v>
          </cell>
          <cell r="Y200">
            <v>397270</v>
          </cell>
          <cell r="Z200">
            <v>10001067.799999997</v>
          </cell>
          <cell r="AA200">
            <v>7504515.8399999999</v>
          </cell>
          <cell r="AB200">
            <v>2712297</v>
          </cell>
          <cell r="AC200">
            <v>243983.87096774194</v>
          </cell>
          <cell r="AD200">
            <v>86228</v>
          </cell>
          <cell r="AE200">
            <v>0</v>
          </cell>
          <cell r="AF200">
            <v>1597285.8870967743</v>
          </cell>
          <cell r="AG200">
            <v>237250037.38086012</v>
          </cell>
          <cell r="AH200">
            <v>192046899.21956983</v>
          </cell>
          <cell r="AI200">
            <v>218981293.40827939</v>
          </cell>
          <cell r="AJ200">
            <v>220019620.05827945</v>
          </cell>
          <cell r="AK200">
            <v>53792571</v>
          </cell>
        </row>
        <row r="201">
          <cell r="C201" t="str">
            <v xml:space="preserve"> </v>
          </cell>
          <cell r="L201" t="str">
            <v>Ok</v>
          </cell>
          <cell r="M201" t="str">
            <v>Ok</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M Book"/>
      <sheetName val="MTM PIB"/>
      <sheetName val="PIB_REPO"/>
      <sheetName val="MTM TB"/>
      <sheetName val="PKRV"/>
      <sheetName val="CALL_B"/>
      <sheetName val="RTFC"/>
      <sheetName val="PIBrevrepo"/>
      <sheetName val="Call_Lend"/>
      <sheetName val="TBrev repo"/>
      <sheetName val="Deal Sheet"/>
      <sheetName val="Manual Deal Ticket"/>
      <sheetName val="TB_REPO"/>
      <sheetName val="CLEAN_LEND"/>
      <sheetName val="Blotter"/>
      <sheetName val="M2M"/>
      <sheetName val="out r B Sell"/>
    </sheetNames>
    <sheetDataSet>
      <sheetData sheetId="0" refreshError="1"/>
      <sheetData sheetId="1" refreshError="1"/>
      <sheetData sheetId="2" refreshError="1"/>
      <sheetData sheetId="3"/>
      <sheetData sheetId="4">
        <row r="1">
          <cell r="B1" t="str">
            <v>Years</v>
          </cell>
          <cell r="C1" t="str">
            <v>Rates</v>
          </cell>
        </row>
        <row r="2">
          <cell r="B2">
            <v>2.7000000000000001E-3</v>
          </cell>
          <cell r="C2">
            <v>12.23</v>
          </cell>
        </row>
        <row r="3">
          <cell r="B3">
            <v>5.4999999999999997E-3</v>
          </cell>
          <cell r="C3">
            <v>12.23</v>
          </cell>
        </row>
        <row r="4">
          <cell r="B4">
            <v>8.2000000000000007E-3</v>
          </cell>
          <cell r="C4">
            <v>12.23</v>
          </cell>
        </row>
        <row r="5">
          <cell r="B5">
            <v>1.0999999999999999E-2</v>
          </cell>
          <cell r="C5">
            <v>12.23</v>
          </cell>
        </row>
        <row r="6">
          <cell r="B6">
            <v>1.37E-2</v>
          </cell>
          <cell r="C6">
            <v>12.23</v>
          </cell>
        </row>
        <row r="7">
          <cell r="B7">
            <v>1.6400000000000001E-2</v>
          </cell>
          <cell r="C7">
            <v>12.23</v>
          </cell>
        </row>
        <row r="8">
          <cell r="B8">
            <v>1.9199999999999998E-2</v>
          </cell>
          <cell r="C8">
            <v>12.23</v>
          </cell>
        </row>
        <row r="9">
          <cell r="B9">
            <v>2.1899999999999999E-2</v>
          </cell>
          <cell r="C9">
            <v>12.265000000000001</v>
          </cell>
        </row>
        <row r="10">
          <cell r="B10">
            <v>2.47E-2</v>
          </cell>
          <cell r="C10">
            <v>12.3</v>
          </cell>
        </row>
        <row r="11">
          <cell r="B11">
            <v>2.7400000000000001E-2</v>
          </cell>
          <cell r="C11">
            <v>12.335000000000001</v>
          </cell>
        </row>
        <row r="12">
          <cell r="B12">
            <v>3.0099999999999998E-2</v>
          </cell>
          <cell r="C12">
            <v>12.370000000000001</v>
          </cell>
        </row>
        <row r="13">
          <cell r="B13">
            <v>3.2899999999999999E-2</v>
          </cell>
          <cell r="C13">
            <v>12.404999999999999</v>
          </cell>
        </row>
        <row r="14">
          <cell r="B14">
            <v>3.56E-2</v>
          </cell>
          <cell r="C14">
            <v>12.44</v>
          </cell>
        </row>
        <row r="15">
          <cell r="B15">
            <v>3.8399999999999997E-2</v>
          </cell>
          <cell r="C15">
            <v>12.475</v>
          </cell>
        </row>
        <row r="16">
          <cell r="B16">
            <v>4.1099999999999998E-2</v>
          </cell>
          <cell r="C16">
            <v>12.51</v>
          </cell>
        </row>
        <row r="17">
          <cell r="B17">
            <v>4.3799999999999999E-2</v>
          </cell>
          <cell r="C17">
            <v>12.302666666666667</v>
          </cell>
        </row>
        <row r="18">
          <cell r="B18">
            <v>4.6600000000000003E-2</v>
          </cell>
          <cell r="C18">
            <v>12.095333333333333</v>
          </cell>
        </row>
        <row r="19">
          <cell r="B19">
            <v>4.9299999999999997E-2</v>
          </cell>
          <cell r="C19">
            <v>11.888</v>
          </cell>
        </row>
        <row r="20">
          <cell r="B20">
            <v>5.21E-2</v>
          </cell>
          <cell r="C20">
            <v>11.680666666666667</v>
          </cell>
        </row>
        <row r="21">
          <cell r="B21">
            <v>5.4800000000000001E-2</v>
          </cell>
          <cell r="C21">
            <v>11.473333333333333</v>
          </cell>
        </row>
        <row r="22">
          <cell r="B22">
            <v>5.7500000000000002E-2</v>
          </cell>
          <cell r="C22">
            <v>11.266</v>
          </cell>
        </row>
        <row r="23">
          <cell r="B23">
            <v>6.0299999999999999E-2</v>
          </cell>
          <cell r="C23">
            <v>11.058666666666667</v>
          </cell>
        </row>
        <row r="24">
          <cell r="B24">
            <v>6.3E-2</v>
          </cell>
          <cell r="C24">
            <v>10.851333333333333</v>
          </cell>
        </row>
        <row r="25">
          <cell r="B25">
            <v>6.5799999999999997E-2</v>
          </cell>
          <cell r="C25">
            <v>10.644</v>
          </cell>
        </row>
        <row r="26">
          <cell r="B26">
            <v>6.8500000000000005E-2</v>
          </cell>
          <cell r="C26">
            <v>10.436666666666667</v>
          </cell>
        </row>
        <row r="27">
          <cell r="B27">
            <v>7.1199999999999999E-2</v>
          </cell>
          <cell r="C27">
            <v>10.229333333333333</v>
          </cell>
        </row>
        <row r="28">
          <cell r="B28">
            <v>7.3999999999999996E-2</v>
          </cell>
          <cell r="C28">
            <v>10.022</v>
          </cell>
        </row>
        <row r="29">
          <cell r="B29">
            <v>7.6700000000000004E-2</v>
          </cell>
          <cell r="C29">
            <v>9.8146666666666675</v>
          </cell>
        </row>
        <row r="30">
          <cell r="B30">
            <v>7.9500000000000001E-2</v>
          </cell>
          <cell r="C30">
            <v>9.6073333333333331</v>
          </cell>
        </row>
        <row r="31">
          <cell r="B31">
            <v>8.2199999999999995E-2</v>
          </cell>
          <cell r="C31">
            <v>9.4</v>
          </cell>
        </row>
        <row r="32">
          <cell r="B32">
            <v>8.4900000000000003E-2</v>
          </cell>
          <cell r="C32">
            <v>9.4013333333333335</v>
          </cell>
        </row>
        <row r="33">
          <cell r="B33">
            <v>8.77E-2</v>
          </cell>
          <cell r="C33">
            <v>9.4026666666666667</v>
          </cell>
        </row>
        <row r="34">
          <cell r="B34">
            <v>9.0399999999999994E-2</v>
          </cell>
          <cell r="C34">
            <v>9.4039999999999999</v>
          </cell>
        </row>
        <row r="35">
          <cell r="B35">
            <v>9.3200000000000005E-2</v>
          </cell>
          <cell r="C35">
            <v>9.4053333333333331</v>
          </cell>
        </row>
        <row r="36">
          <cell r="B36">
            <v>9.5899999999999999E-2</v>
          </cell>
          <cell r="C36">
            <v>9.4066666666666663</v>
          </cell>
        </row>
        <row r="37">
          <cell r="B37">
            <v>9.8599999999999993E-2</v>
          </cell>
          <cell r="C37">
            <v>9.4079999999999995</v>
          </cell>
        </row>
        <row r="38">
          <cell r="B38">
            <v>0.1014</v>
          </cell>
          <cell r="C38">
            <v>9.4093333333333327</v>
          </cell>
        </row>
        <row r="39">
          <cell r="B39">
            <v>0.1041</v>
          </cell>
          <cell r="C39">
            <v>9.4106666666666676</v>
          </cell>
        </row>
        <row r="40">
          <cell r="B40">
            <v>0.10680000000000001</v>
          </cell>
          <cell r="C40">
            <v>9.4120000000000008</v>
          </cell>
        </row>
        <row r="41">
          <cell r="B41">
            <v>0.1096</v>
          </cell>
          <cell r="C41">
            <v>9.413333333333334</v>
          </cell>
        </row>
        <row r="42">
          <cell r="B42">
            <v>0.1123</v>
          </cell>
          <cell r="C42">
            <v>9.4146666666666672</v>
          </cell>
        </row>
        <row r="43">
          <cell r="B43">
            <v>0.11509999999999999</v>
          </cell>
          <cell r="C43">
            <v>9.4160000000000004</v>
          </cell>
        </row>
        <row r="44">
          <cell r="B44">
            <v>0.1178</v>
          </cell>
          <cell r="C44">
            <v>9.4173333333333336</v>
          </cell>
        </row>
        <row r="45">
          <cell r="B45">
            <v>0.1205</v>
          </cell>
          <cell r="C45">
            <v>9.4186666666666667</v>
          </cell>
        </row>
        <row r="46">
          <cell r="B46">
            <v>0.12330000000000001</v>
          </cell>
          <cell r="C46">
            <v>9.42</v>
          </cell>
        </row>
        <row r="47">
          <cell r="B47">
            <v>0.126</v>
          </cell>
          <cell r="C47">
            <v>9.4213333333333331</v>
          </cell>
        </row>
        <row r="48">
          <cell r="B48">
            <v>0.1288</v>
          </cell>
          <cell r="C48">
            <v>9.4226666666666663</v>
          </cell>
        </row>
        <row r="49">
          <cell r="B49">
            <v>0.13150000000000001</v>
          </cell>
          <cell r="C49">
            <v>9.4239999999999995</v>
          </cell>
        </row>
        <row r="50">
          <cell r="B50">
            <v>0.13420000000000001</v>
          </cell>
          <cell r="C50">
            <v>9.4253333333333327</v>
          </cell>
        </row>
        <row r="51">
          <cell r="B51">
            <v>0.13700000000000001</v>
          </cell>
          <cell r="C51">
            <v>9.4266666666666659</v>
          </cell>
        </row>
        <row r="52">
          <cell r="B52">
            <v>0.13969999999999999</v>
          </cell>
          <cell r="C52">
            <v>9.427999999999999</v>
          </cell>
        </row>
        <row r="53">
          <cell r="B53">
            <v>0.14249999999999999</v>
          </cell>
          <cell r="C53">
            <v>9.4293333333333322</v>
          </cell>
        </row>
        <row r="54">
          <cell r="B54">
            <v>0.1452</v>
          </cell>
          <cell r="C54">
            <v>9.4306666666666672</v>
          </cell>
        </row>
        <row r="55">
          <cell r="B55">
            <v>0.1479</v>
          </cell>
          <cell r="C55">
            <v>9.4320000000000004</v>
          </cell>
        </row>
        <row r="56">
          <cell r="B56">
            <v>0.1507</v>
          </cell>
          <cell r="C56">
            <v>9.4333333333333336</v>
          </cell>
        </row>
        <row r="57">
          <cell r="B57">
            <v>0.15340000000000001</v>
          </cell>
          <cell r="C57">
            <v>9.4346666666666668</v>
          </cell>
        </row>
        <row r="58">
          <cell r="B58">
            <v>0.15620000000000001</v>
          </cell>
          <cell r="C58">
            <v>9.4359999999999999</v>
          </cell>
        </row>
        <row r="59">
          <cell r="B59">
            <v>0.15890000000000001</v>
          </cell>
          <cell r="C59">
            <v>9.4373333333333331</v>
          </cell>
        </row>
        <row r="60">
          <cell r="B60">
            <v>0.16159999999999999</v>
          </cell>
          <cell r="C60">
            <v>9.4386666666666663</v>
          </cell>
        </row>
        <row r="61">
          <cell r="B61">
            <v>0.16439999999999999</v>
          </cell>
          <cell r="C61">
            <v>9.44</v>
          </cell>
        </row>
        <row r="62">
          <cell r="B62">
            <v>0.1671</v>
          </cell>
          <cell r="C62">
            <v>9.440666666666667</v>
          </cell>
        </row>
        <row r="63">
          <cell r="B63">
            <v>0.1699</v>
          </cell>
          <cell r="C63">
            <v>9.4413333333333327</v>
          </cell>
        </row>
        <row r="64">
          <cell r="B64">
            <v>0.1726</v>
          </cell>
          <cell r="C64">
            <v>9.4420000000000002</v>
          </cell>
        </row>
        <row r="65">
          <cell r="B65">
            <v>0.17530000000000001</v>
          </cell>
          <cell r="C65">
            <v>9.4426666666666659</v>
          </cell>
        </row>
        <row r="66">
          <cell r="B66">
            <v>0.17810000000000001</v>
          </cell>
          <cell r="C66">
            <v>9.4433333333333334</v>
          </cell>
        </row>
        <row r="67">
          <cell r="B67">
            <v>0.18079999999999999</v>
          </cell>
          <cell r="C67">
            <v>9.4439999999999991</v>
          </cell>
        </row>
        <row r="68">
          <cell r="B68">
            <v>0.18360000000000001</v>
          </cell>
          <cell r="C68">
            <v>9.4446666666666665</v>
          </cell>
        </row>
        <row r="69">
          <cell r="B69">
            <v>0.18629999999999999</v>
          </cell>
          <cell r="C69">
            <v>9.445333333333334</v>
          </cell>
        </row>
        <row r="70">
          <cell r="B70">
            <v>0.189</v>
          </cell>
          <cell r="C70">
            <v>9.4459999999999997</v>
          </cell>
        </row>
        <row r="71">
          <cell r="B71">
            <v>0.1918</v>
          </cell>
          <cell r="C71">
            <v>9.4466666666666672</v>
          </cell>
        </row>
        <row r="72">
          <cell r="B72">
            <v>0.19450000000000001</v>
          </cell>
          <cell r="C72">
            <v>9.4473333333333329</v>
          </cell>
        </row>
        <row r="73">
          <cell r="B73">
            <v>0.1973</v>
          </cell>
          <cell r="C73">
            <v>9.4480000000000004</v>
          </cell>
        </row>
        <row r="74">
          <cell r="B74">
            <v>0.2</v>
          </cell>
          <cell r="C74">
            <v>9.4486666666666661</v>
          </cell>
        </row>
        <row r="75">
          <cell r="B75">
            <v>0.20269999999999999</v>
          </cell>
          <cell r="C75">
            <v>9.4493333333333336</v>
          </cell>
        </row>
        <row r="76">
          <cell r="B76">
            <v>0.20549999999999999</v>
          </cell>
          <cell r="C76">
            <v>9.4499999999999993</v>
          </cell>
        </row>
        <row r="77">
          <cell r="B77">
            <v>0.2082</v>
          </cell>
          <cell r="C77">
            <v>9.4506666666666668</v>
          </cell>
        </row>
        <row r="78">
          <cell r="B78">
            <v>0.21099999999999999</v>
          </cell>
          <cell r="C78">
            <v>9.4513333333333343</v>
          </cell>
        </row>
        <row r="79">
          <cell r="B79">
            <v>0.2137</v>
          </cell>
          <cell r="C79">
            <v>9.452</v>
          </cell>
        </row>
        <row r="80">
          <cell r="B80">
            <v>0.21640000000000001</v>
          </cell>
          <cell r="C80">
            <v>9.4526666666666674</v>
          </cell>
        </row>
        <row r="81">
          <cell r="B81">
            <v>0.21920000000000001</v>
          </cell>
          <cell r="C81">
            <v>9.4533333333333331</v>
          </cell>
        </row>
        <row r="82">
          <cell r="B82">
            <v>0.22189999999999999</v>
          </cell>
          <cell r="C82">
            <v>9.4540000000000006</v>
          </cell>
        </row>
        <row r="83">
          <cell r="B83">
            <v>0.22470000000000001</v>
          </cell>
          <cell r="C83">
            <v>9.4546666666666663</v>
          </cell>
        </row>
        <row r="84">
          <cell r="B84">
            <v>0.22739999999999999</v>
          </cell>
          <cell r="C84">
            <v>9.4553333333333338</v>
          </cell>
        </row>
        <row r="85">
          <cell r="B85">
            <v>0.2301</v>
          </cell>
          <cell r="C85">
            <v>9.4560000000000013</v>
          </cell>
        </row>
        <row r="86">
          <cell r="B86">
            <v>0.2329</v>
          </cell>
          <cell r="C86">
            <v>9.456666666666667</v>
          </cell>
        </row>
        <row r="87">
          <cell r="B87">
            <v>0.2356</v>
          </cell>
          <cell r="C87">
            <v>9.4573333333333345</v>
          </cell>
        </row>
        <row r="88">
          <cell r="B88">
            <v>0.2384</v>
          </cell>
          <cell r="C88">
            <v>9.4580000000000002</v>
          </cell>
        </row>
        <row r="89">
          <cell r="B89">
            <v>0.24110000000000001</v>
          </cell>
          <cell r="C89">
            <v>9.4586666666666677</v>
          </cell>
        </row>
        <row r="90">
          <cell r="B90">
            <v>0.24379999999999999</v>
          </cell>
          <cell r="C90">
            <v>9.4593333333333334</v>
          </cell>
        </row>
        <row r="91">
          <cell r="B91">
            <v>0.24660000000000001</v>
          </cell>
          <cell r="C91">
            <v>9.4600000000000009</v>
          </cell>
        </row>
        <row r="92">
          <cell r="B92">
            <v>0.24929999999999999</v>
          </cell>
          <cell r="C92">
            <v>9.4610000000000003</v>
          </cell>
        </row>
        <row r="93">
          <cell r="B93">
            <v>0.25209999999999999</v>
          </cell>
          <cell r="C93">
            <v>9.4620000000000015</v>
          </cell>
        </row>
        <row r="94">
          <cell r="B94">
            <v>0.25480000000000003</v>
          </cell>
          <cell r="C94">
            <v>9.463000000000001</v>
          </cell>
        </row>
        <row r="95">
          <cell r="B95">
            <v>0.25750000000000001</v>
          </cell>
          <cell r="C95">
            <v>9.4640000000000004</v>
          </cell>
        </row>
        <row r="96">
          <cell r="B96">
            <v>0.26029999999999998</v>
          </cell>
          <cell r="C96">
            <v>9.4649999999999999</v>
          </cell>
        </row>
        <row r="97">
          <cell r="B97">
            <v>0.26300000000000001</v>
          </cell>
          <cell r="C97">
            <v>9.4660000000000011</v>
          </cell>
        </row>
        <row r="98">
          <cell r="B98">
            <v>0.26579999999999998</v>
          </cell>
          <cell r="C98">
            <v>9.4670000000000005</v>
          </cell>
        </row>
        <row r="99">
          <cell r="B99">
            <v>0.26850000000000002</v>
          </cell>
          <cell r="C99">
            <v>9.468</v>
          </cell>
        </row>
        <row r="100">
          <cell r="B100">
            <v>0.2712</v>
          </cell>
          <cell r="C100">
            <v>9.4690000000000012</v>
          </cell>
        </row>
        <row r="101">
          <cell r="B101">
            <v>0.27400000000000002</v>
          </cell>
          <cell r="C101">
            <v>9.4700000000000006</v>
          </cell>
        </row>
        <row r="102">
          <cell r="B102">
            <v>0.2767</v>
          </cell>
          <cell r="C102">
            <v>9.4710000000000001</v>
          </cell>
        </row>
        <row r="103">
          <cell r="B103">
            <v>0.27950000000000003</v>
          </cell>
          <cell r="C103">
            <v>9.4720000000000013</v>
          </cell>
        </row>
        <row r="104">
          <cell r="B104">
            <v>0.28220000000000001</v>
          </cell>
          <cell r="C104">
            <v>9.4730000000000008</v>
          </cell>
        </row>
        <row r="105">
          <cell r="B105">
            <v>0.28489999999999999</v>
          </cell>
          <cell r="C105">
            <v>9.4740000000000002</v>
          </cell>
        </row>
        <row r="106">
          <cell r="B106">
            <v>0.28770000000000001</v>
          </cell>
          <cell r="C106">
            <v>9.4750000000000014</v>
          </cell>
        </row>
        <row r="107">
          <cell r="B107">
            <v>0.29039999999999999</v>
          </cell>
          <cell r="C107">
            <v>9.4760000000000009</v>
          </cell>
        </row>
        <row r="108">
          <cell r="B108">
            <v>0.29320000000000002</v>
          </cell>
          <cell r="C108">
            <v>9.4770000000000003</v>
          </cell>
        </row>
        <row r="109">
          <cell r="B109">
            <v>0.2959</v>
          </cell>
          <cell r="C109">
            <v>9.4779999999999998</v>
          </cell>
        </row>
        <row r="110">
          <cell r="B110">
            <v>0.29859999999999998</v>
          </cell>
          <cell r="C110">
            <v>9.479000000000001</v>
          </cell>
        </row>
        <row r="111">
          <cell r="B111">
            <v>0.3014</v>
          </cell>
          <cell r="C111">
            <v>9.48</v>
          </cell>
        </row>
        <row r="112">
          <cell r="B112">
            <v>0.30409999999999998</v>
          </cell>
          <cell r="C112">
            <v>9.4809999999999999</v>
          </cell>
        </row>
        <row r="113">
          <cell r="B113">
            <v>0.30680000000000002</v>
          </cell>
          <cell r="C113">
            <v>9.4820000000000011</v>
          </cell>
        </row>
        <row r="114">
          <cell r="B114">
            <v>0.30959999999999999</v>
          </cell>
          <cell r="C114">
            <v>9.4830000000000005</v>
          </cell>
        </row>
        <row r="115">
          <cell r="B115">
            <v>0.31230000000000002</v>
          </cell>
          <cell r="C115">
            <v>9.484</v>
          </cell>
        </row>
        <row r="116">
          <cell r="B116">
            <v>0.31509999999999999</v>
          </cell>
          <cell r="C116">
            <v>9.4850000000000012</v>
          </cell>
        </row>
        <row r="117">
          <cell r="B117">
            <v>0.31780000000000003</v>
          </cell>
          <cell r="C117">
            <v>9.4860000000000007</v>
          </cell>
        </row>
        <row r="118">
          <cell r="B118">
            <v>0.32050000000000001</v>
          </cell>
          <cell r="C118">
            <v>9.4870000000000001</v>
          </cell>
        </row>
        <row r="119">
          <cell r="B119">
            <v>0.32329999999999998</v>
          </cell>
          <cell r="C119">
            <v>9.4879999999999995</v>
          </cell>
        </row>
        <row r="120">
          <cell r="B120">
            <v>0.32600000000000001</v>
          </cell>
          <cell r="C120">
            <v>9.4890000000000008</v>
          </cell>
        </row>
        <row r="121">
          <cell r="B121">
            <v>0.32879999999999998</v>
          </cell>
          <cell r="C121">
            <v>9.49</v>
          </cell>
        </row>
        <row r="122">
          <cell r="B122">
            <v>0.33150000000000002</v>
          </cell>
          <cell r="C122">
            <v>9.49</v>
          </cell>
        </row>
        <row r="123">
          <cell r="B123">
            <v>0.3342</v>
          </cell>
          <cell r="C123">
            <v>9.49</v>
          </cell>
        </row>
        <row r="124">
          <cell r="B124">
            <v>0.33700000000000002</v>
          </cell>
          <cell r="C124">
            <v>9.49</v>
          </cell>
        </row>
        <row r="125">
          <cell r="B125">
            <v>0.3397</v>
          </cell>
          <cell r="C125">
            <v>9.49</v>
          </cell>
        </row>
        <row r="126">
          <cell r="B126">
            <v>0.34250000000000003</v>
          </cell>
          <cell r="C126">
            <v>9.49</v>
          </cell>
        </row>
        <row r="127">
          <cell r="B127">
            <v>0.34520000000000001</v>
          </cell>
          <cell r="C127">
            <v>9.49</v>
          </cell>
        </row>
        <row r="128">
          <cell r="B128">
            <v>0.34789999999999999</v>
          </cell>
          <cell r="C128">
            <v>9.49</v>
          </cell>
        </row>
        <row r="129">
          <cell r="B129">
            <v>0.35070000000000001</v>
          </cell>
          <cell r="C129">
            <v>9.49</v>
          </cell>
        </row>
        <row r="130">
          <cell r="B130">
            <v>0.35339999999999999</v>
          </cell>
          <cell r="C130">
            <v>9.49</v>
          </cell>
        </row>
        <row r="131">
          <cell r="B131">
            <v>0.35620000000000002</v>
          </cell>
          <cell r="C131">
            <v>9.49</v>
          </cell>
        </row>
        <row r="132">
          <cell r="B132">
            <v>0.3589</v>
          </cell>
          <cell r="C132">
            <v>9.49</v>
          </cell>
        </row>
        <row r="133">
          <cell r="B133">
            <v>0.36159999999999998</v>
          </cell>
          <cell r="C133">
            <v>9.49</v>
          </cell>
        </row>
        <row r="134">
          <cell r="B134">
            <v>0.3644</v>
          </cell>
          <cell r="C134">
            <v>9.49</v>
          </cell>
        </row>
        <row r="135">
          <cell r="B135">
            <v>0.36709999999999998</v>
          </cell>
          <cell r="C135">
            <v>9.49</v>
          </cell>
        </row>
        <row r="136">
          <cell r="B136">
            <v>0.36990000000000001</v>
          </cell>
          <cell r="C136">
            <v>9.49</v>
          </cell>
        </row>
        <row r="137">
          <cell r="B137">
            <v>0.37259999999999999</v>
          </cell>
          <cell r="C137">
            <v>9.49</v>
          </cell>
        </row>
        <row r="138">
          <cell r="B138">
            <v>0.37530000000000002</v>
          </cell>
          <cell r="C138">
            <v>9.49</v>
          </cell>
        </row>
        <row r="139">
          <cell r="B139">
            <v>0.37809999999999999</v>
          </cell>
          <cell r="C139">
            <v>9.49</v>
          </cell>
        </row>
        <row r="140">
          <cell r="B140">
            <v>0.38080000000000003</v>
          </cell>
          <cell r="C140">
            <v>9.49</v>
          </cell>
        </row>
        <row r="141">
          <cell r="B141">
            <v>0.3836</v>
          </cell>
          <cell r="C141">
            <v>9.49</v>
          </cell>
        </row>
        <row r="142">
          <cell r="B142">
            <v>0.38629999999999998</v>
          </cell>
          <cell r="C142">
            <v>9.49</v>
          </cell>
        </row>
        <row r="143">
          <cell r="B143">
            <v>0.38900000000000001</v>
          </cell>
          <cell r="C143">
            <v>9.49</v>
          </cell>
        </row>
        <row r="144">
          <cell r="B144">
            <v>0.39179999999999998</v>
          </cell>
          <cell r="C144">
            <v>9.49</v>
          </cell>
        </row>
        <row r="145">
          <cell r="B145">
            <v>0.39450000000000002</v>
          </cell>
          <cell r="C145">
            <v>9.49</v>
          </cell>
        </row>
        <row r="146">
          <cell r="B146">
            <v>0.39729999999999999</v>
          </cell>
          <cell r="C146">
            <v>9.49</v>
          </cell>
        </row>
        <row r="147">
          <cell r="B147">
            <v>0.4</v>
          </cell>
          <cell r="C147">
            <v>9.49</v>
          </cell>
        </row>
        <row r="148">
          <cell r="B148">
            <v>0.4027</v>
          </cell>
          <cell r="C148">
            <v>9.49</v>
          </cell>
        </row>
        <row r="149">
          <cell r="B149">
            <v>0.40550000000000003</v>
          </cell>
          <cell r="C149">
            <v>9.49</v>
          </cell>
        </row>
        <row r="150">
          <cell r="B150">
            <v>0.40820000000000001</v>
          </cell>
          <cell r="C150">
            <v>9.49</v>
          </cell>
        </row>
        <row r="151">
          <cell r="B151">
            <v>0.41099999999999998</v>
          </cell>
          <cell r="C151">
            <v>9.49</v>
          </cell>
        </row>
        <row r="152">
          <cell r="B152">
            <v>0.41370000000000001</v>
          </cell>
          <cell r="C152">
            <v>9.49</v>
          </cell>
        </row>
        <row r="153">
          <cell r="B153">
            <v>0.41639999999999999</v>
          </cell>
          <cell r="C153">
            <v>9.49</v>
          </cell>
        </row>
        <row r="154">
          <cell r="B154">
            <v>0.41920000000000002</v>
          </cell>
          <cell r="C154">
            <v>9.49</v>
          </cell>
        </row>
        <row r="155">
          <cell r="B155">
            <v>0.4219</v>
          </cell>
          <cell r="C155">
            <v>9.49</v>
          </cell>
        </row>
        <row r="156">
          <cell r="B156">
            <v>0.42470000000000002</v>
          </cell>
          <cell r="C156">
            <v>9.49</v>
          </cell>
        </row>
        <row r="157">
          <cell r="B157">
            <v>0.4274</v>
          </cell>
          <cell r="C157">
            <v>9.49</v>
          </cell>
        </row>
        <row r="158">
          <cell r="B158">
            <v>0.43009999999999998</v>
          </cell>
          <cell r="C158">
            <v>9.49</v>
          </cell>
        </row>
        <row r="159">
          <cell r="B159">
            <v>0.43290000000000001</v>
          </cell>
          <cell r="C159">
            <v>9.49</v>
          </cell>
        </row>
        <row r="160">
          <cell r="B160">
            <v>0.43559999999999999</v>
          </cell>
          <cell r="C160">
            <v>9.49</v>
          </cell>
        </row>
        <row r="161">
          <cell r="B161">
            <v>0.43840000000000001</v>
          </cell>
          <cell r="C161">
            <v>9.49</v>
          </cell>
        </row>
        <row r="162">
          <cell r="B162">
            <v>0.44109999999999999</v>
          </cell>
          <cell r="C162">
            <v>9.49</v>
          </cell>
        </row>
        <row r="163">
          <cell r="B163">
            <v>0.44379999999999997</v>
          </cell>
          <cell r="C163">
            <v>9.49</v>
          </cell>
        </row>
        <row r="164">
          <cell r="B164">
            <v>0.4466</v>
          </cell>
          <cell r="C164">
            <v>9.49</v>
          </cell>
        </row>
        <row r="165">
          <cell r="B165">
            <v>0.44929999999999998</v>
          </cell>
          <cell r="C165">
            <v>9.49</v>
          </cell>
        </row>
        <row r="166">
          <cell r="B166">
            <v>0.4521</v>
          </cell>
          <cell r="C166">
            <v>9.49</v>
          </cell>
        </row>
        <row r="167">
          <cell r="B167">
            <v>0.45479999999999998</v>
          </cell>
          <cell r="C167">
            <v>9.49</v>
          </cell>
        </row>
        <row r="168">
          <cell r="B168">
            <v>0.45750000000000002</v>
          </cell>
          <cell r="C168">
            <v>9.49</v>
          </cell>
        </row>
        <row r="169">
          <cell r="B169">
            <v>0.46029999999999999</v>
          </cell>
          <cell r="C169">
            <v>9.49</v>
          </cell>
        </row>
        <row r="170">
          <cell r="B170">
            <v>0.46300000000000002</v>
          </cell>
          <cell r="C170">
            <v>9.49</v>
          </cell>
        </row>
        <row r="171">
          <cell r="B171">
            <v>0.46579999999999999</v>
          </cell>
          <cell r="C171">
            <v>9.49</v>
          </cell>
        </row>
        <row r="172">
          <cell r="B172">
            <v>0.46850000000000003</v>
          </cell>
          <cell r="C172">
            <v>9.49</v>
          </cell>
        </row>
        <row r="173">
          <cell r="B173">
            <v>0.47120000000000001</v>
          </cell>
          <cell r="C173">
            <v>9.49</v>
          </cell>
        </row>
        <row r="174">
          <cell r="B174">
            <v>0.47399999999999998</v>
          </cell>
          <cell r="C174">
            <v>9.49</v>
          </cell>
        </row>
        <row r="175">
          <cell r="B175">
            <v>0.47670000000000001</v>
          </cell>
          <cell r="C175">
            <v>9.49</v>
          </cell>
        </row>
        <row r="176">
          <cell r="B176">
            <v>0.47949999999999998</v>
          </cell>
          <cell r="C176">
            <v>9.49</v>
          </cell>
        </row>
        <row r="177">
          <cell r="B177">
            <v>0.48220000000000002</v>
          </cell>
          <cell r="C177">
            <v>9.49</v>
          </cell>
        </row>
        <row r="178">
          <cell r="B178">
            <v>0.4849</v>
          </cell>
          <cell r="C178">
            <v>9.49</v>
          </cell>
        </row>
        <row r="179">
          <cell r="B179">
            <v>0.48770000000000002</v>
          </cell>
          <cell r="C179">
            <v>9.49</v>
          </cell>
        </row>
        <row r="180">
          <cell r="B180">
            <v>0.4904</v>
          </cell>
          <cell r="C180">
            <v>9.49</v>
          </cell>
        </row>
        <row r="181">
          <cell r="B181">
            <v>0.49320000000000003</v>
          </cell>
          <cell r="C181">
            <v>9.49</v>
          </cell>
        </row>
        <row r="182">
          <cell r="B182">
            <v>0.49590000000000001</v>
          </cell>
          <cell r="C182">
            <v>9.490333333333334</v>
          </cell>
        </row>
        <row r="183">
          <cell r="B183">
            <v>0.49859999999999999</v>
          </cell>
          <cell r="C183">
            <v>9.4906666666666677</v>
          </cell>
        </row>
        <row r="184">
          <cell r="B184">
            <v>0.50139999999999996</v>
          </cell>
          <cell r="C184">
            <v>9.4909999999999997</v>
          </cell>
        </row>
        <row r="185">
          <cell r="B185">
            <v>0.50409999999999999</v>
          </cell>
          <cell r="C185">
            <v>9.4913333333333334</v>
          </cell>
        </row>
        <row r="186">
          <cell r="B186">
            <v>0.50680000000000003</v>
          </cell>
          <cell r="C186">
            <v>9.4916666666666671</v>
          </cell>
        </row>
        <row r="187">
          <cell r="B187">
            <v>0.50960000000000005</v>
          </cell>
          <cell r="C187">
            <v>9.4920000000000009</v>
          </cell>
        </row>
        <row r="188">
          <cell r="B188">
            <v>0.51229999999999998</v>
          </cell>
          <cell r="C188">
            <v>9.4923333333333328</v>
          </cell>
        </row>
        <row r="189">
          <cell r="B189">
            <v>0.5151</v>
          </cell>
          <cell r="C189">
            <v>9.4926666666666666</v>
          </cell>
        </row>
        <row r="190">
          <cell r="B190">
            <v>0.51780000000000004</v>
          </cell>
          <cell r="C190">
            <v>9.4930000000000003</v>
          </cell>
        </row>
        <row r="191">
          <cell r="B191">
            <v>0.52049999999999996</v>
          </cell>
          <cell r="C191">
            <v>9.4933333333333341</v>
          </cell>
        </row>
        <row r="192">
          <cell r="B192">
            <v>0.52329999999999999</v>
          </cell>
          <cell r="C192">
            <v>9.493666666666666</v>
          </cell>
        </row>
        <row r="193">
          <cell r="B193">
            <v>0.52600000000000002</v>
          </cell>
          <cell r="C193">
            <v>9.4939999999999998</v>
          </cell>
        </row>
        <row r="194">
          <cell r="B194">
            <v>0.52880000000000005</v>
          </cell>
          <cell r="C194">
            <v>9.4943333333333335</v>
          </cell>
        </row>
        <row r="195">
          <cell r="B195">
            <v>0.53149999999999997</v>
          </cell>
          <cell r="C195">
            <v>9.4946666666666673</v>
          </cell>
        </row>
        <row r="196">
          <cell r="B196">
            <v>0.53420000000000001</v>
          </cell>
          <cell r="C196">
            <v>9.495000000000001</v>
          </cell>
        </row>
        <row r="197">
          <cell r="B197">
            <v>0.53700000000000003</v>
          </cell>
          <cell r="C197">
            <v>9.495333333333333</v>
          </cell>
        </row>
        <row r="198">
          <cell r="B198">
            <v>0.53969999999999996</v>
          </cell>
          <cell r="C198">
            <v>9.4956666666666667</v>
          </cell>
        </row>
        <row r="199">
          <cell r="B199">
            <v>0.54249999999999998</v>
          </cell>
          <cell r="C199">
            <v>9.4960000000000004</v>
          </cell>
        </row>
        <row r="200">
          <cell r="B200">
            <v>0.54520000000000002</v>
          </cell>
          <cell r="C200">
            <v>9.4963333333333342</v>
          </cell>
        </row>
        <row r="201">
          <cell r="B201">
            <v>0.54790000000000005</v>
          </cell>
          <cell r="C201">
            <v>9.4966666666666661</v>
          </cell>
        </row>
        <row r="202">
          <cell r="B202">
            <v>0.55069999999999997</v>
          </cell>
          <cell r="C202">
            <v>9.4969999999999999</v>
          </cell>
        </row>
        <row r="203">
          <cell r="B203">
            <v>0.5534</v>
          </cell>
          <cell r="C203">
            <v>9.4973333333333336</v>
          </cell>
        </row>
        <row r="204">
          <cell r="B204">
            <v>0.55620000000000003</v>
          </cell>
          <cell r="C204">
            <v>9.4976666666666674</v>
          </cell>
        </row>
        <row r="205">
          <cell r="B205">
            <v>0.55889999999999995</v>
          </cell>
          <cell r="C205">
            <v>9.4979999999999993</v>
          </cell>
        </row>
        <row r="206">
          <cell r="B206">
            <v>0.56159999999999999</v>
          </cell>
          <cell r="C206">
            <v>9.4983333333333331</v>
          </cell>
        </row>
        <row r="207">
          <cell r="B207">
            <v>0.56440000000000001</v>
          </cell>
          <cell r="C207">
            <v>9.4986666666666668</v>
          </cell>
        </row>
        <row r="208">
          <cell r="B208">
            <v>0.56710000000000005</v>
          </cell>
          <cell r="C208">
            <v>9.4990000000000006</v>
          </cell>
        </row>
        <row r="209">
          <cell r="B209">
            <v>0.56989999999999996</v>
          </cell>
          <cell r="C209">
            <v>9.4993333333333325</v>
          </cell>
        </row>
        <row r="210">
          <cell r="B210">
            <v>0.5726</v>
          </cell>
          <cell r="C210">
            <v>9.4996666666666663</v>
          </cell>
        </row>
        <row r="211">
          <cell r="B211">
            <v>0.57530000000000003</v>
          </cell>
          <cell r="C211">
            <v>9.5</v>
          </cell>
        </row>
        <row r="212">
          <cell r="B212">
            <v>0.57809999999999995</v>
          </cell>
          <cell r="C212">
            <v>9.5003333333333337</v>
          </cell>
        </row>
        <row r="213">
          <cell r="B213">
            <v>0.58079999999999998</v>
          </cell>
          <cell r="C213">
            <v>9.5006666666666675</v>
          </cell>
        </row>
        <row r="214">
          <cell r="B214">
            <v>0.58360000000000001</v>
          </cell>
          <cell r="C214">
            <v>9.5009999999999994</v>
          </cell>
        </row>
        <row r="215">
          <cell r="B215">
            <v>0.58630000000000004</v>
          </cell>
          <cell r="C215">
            <v>9.5013333333333332</v>
          </cell>
        </row>
        <row r="216">
          <cell r="B216">
            <v>0.58899999999999997</v>
          </cell>
          <cell r="C216">
            <v>9.5016666666666669</v>
          </cell>
        </row>
        <row r="217">
          <cell r="B217">
            <v>0.59179999999999999</v>
          </cell>
          <cell r="C217">
            <v>9.5020000000000007</v>
          </cell>
        </row>
        <row r="218">
          <cell r="B218">
            <v>0.59450000000000003</v>
          </cell>
          <cell r="C218">
            <v>9.5023333333333326</v>
          </cell>
        </row>
        <row r="219">
          <cell r="B219">
            <v>0.59730000000000005</v>
          </cell>
          <cell r="C219">
            <v>9.5026666666666664</v>
          </cell>
        </row>
        <row r="220">
          <cell r="B220">
            <v>0.6</v>
          </cell>
          <cell r="C220">
            <v>9.5030000000000001</v>
          </cell>
        </row>
        <row r="221">
          <cell r="B221">
            <v>0.60270000000000001</v>
          </cell>
          <cell r="C221">
            <v>9.5033333333333339</v>
          </cell>
        </row>
        <row r="222">
          <cell r="B222">
            <v>0.60550000000000004</v>
          </cell>
          <cell r="C222">
            <v>9.5036666666666658</v>
          </cell>
        </row>
        <row r="223">
          <cell r="B223">
            <v>0.60819999999999996</v>
          </cell>
          <cell r="C223">
            <v>9.5039999999999996</v>
          </cell>
        </row>
        <row r="224">
          <cell r="B224">
            <v>0.61099999999999999</v>
          </cell>
          <cell r="C224">
            <v>9.5043333333333333</v>
          </cell>
        </row>
        <row r="225">
          <cell r="B225">
            <v>0.61370000000000002</v>
          </cell>
          <cell r="C225">
            <v>9.504666666666667</v>
          </cell>
        </row>
        <row r="226">
          <cell r="B226">
            <v>0.61639999999999995</v>
          </cell>
          <cell r="C226">
            <v>9.504999999999999</v>
          </cell>
        </row>
        <row r="227">
          <cell r="B227">
            <v>0.61919999999999997</v>
          </cell>
          <cell r="C227">
            <v>9.5053333333333327</v>
          </cell>
        </row>
        <row r="228">
          <cell r="B228">
            <v>0.62190000000000001</v>
          </cell>
          <cell r="C228">
            <v>9.5056666666666665</v>
          </cell>
        </row>
        <row r="229">
          <cell r="B229">
            <v>0.62470000000000003</v>
          </cell>
          <cell r="C229">
            <v>9.5060000000000002</v>
          </cell>
        </row>
        <row r="230">
          <cell r="B230">
            <v>0.62739999999999996</v>
          </cell>
          <cell r="C230">
            <v>9.506333333333334</v>
          </cell>
        </row>
        <row r="231">
          <cell r="B231">
            <v>0.63009999999999999</v>
          </cell>
          <cell r="C231">
            <v>9.5066666666666659</v>
          </cell>
        </row>
        <row r="232">
          <cell r="B232">
            <v>0.63290000000000002</v>
          </cell>
          <cell r="C232">
            <v>9.5069999999999997</v>
          </cell>
        </row>
        <row r="233">
          <cell r="B233">
            <v>0.63560000000000005</v>
          </cell>
          <cell r="C233">
            <v>9.5073333333333334</v>
          </cell>
        </row>
        <row r="234">
          <cell r="B234">
            <v>0.63839999999999997</v>
          </cell>
          <cell r="C234">
            <v>9.5076666666666672</v>
          </cell>
        </row>
        <row r="235">
          <cell r="B235">
            <v>0.6411</v>
          </cell>
          <cell r="C235">
            <v>9.5079999999999991</v>
          </cell>
        </row>
        <row r="236">
          <cell r="B236">
            <v>0.64380000000000004</v>
          </cell>
          <cell r="C236">
            <v>9.5083333333333329</v>
          </cell>
        </row>
        <row r="237">
          <cell r="B237">
            <v>0.64659999999999995</v>
          </cell>
          <cell r="C237">
            <v>9.5086666666666666</v>
          </cell>
        </row>
        <row r="238">
          <cell r="B238">
            <v>0.64929999999999999</v>
          </cell>
          <cell r="C238">
            <v>9.5090000000000003</v>
          </cell>
        </row>
        <row r="239">
          <cell r="B239">
            <v>0.65210000000000001</v>
          </cell>
          <cell r="C239">
            <v>9.5093333333333323</v>
          </cell>
        </row>
        <row r="240">
          <cell r="B240">
            <v>0.65480000000000005</v>
          </cell>
          <cell r="C240">
            <v>9.509666666666666</v>
          </cell>
        </row>
        <row r="241">
          <cell r="B241">
            <v>0.65749999999999997</v>
          </cell>
          <cell r="C241">
            <v>9.51</v>
          </cell>
        </row>
        <row r="242">
          <cell r="B242">
            <v>0.6603</v>
          </cell>
          <cell r="C242">
            <v>9.5103333333333335</v>
          </cell>
        </row>
        <row r="243">
          <cell r="B243">
            <v>0.66300000000000003</v>
          </cell>
          <cell r="C243">
            <v>9.5106666666666673</v>
          </cell>
        </row>
        <row r="244">
          <cell r="B244">
            <v>0.66579999999999995</v>
          </cell>
          <cell r="C244">
            <v>9.5109999999999992</v>
          </cell>
        </row>
        <row r="245">
          <cell r="B245">
            <v>0.66849999999999998</v>
          </cell>
          <cell r="C245">
            <v>9.511333333333333</v>
          </cell>
        </row>
        <row r="246">
          <cell r="B246">
            <v>0.67120000000000002</v>
          </cell>
          <cell r="C246">
            <v>9.5116666666666667</v>
          </cell>
        </row>
        <row r="247">
          <cell r="B247">
            <v>0.67400000000000004</v>
          </cell>
          <cell r="C247">
            <v>9.5120000000000005</v>
          </cell>
        </row>
        <row r="248">
          <cell r="B248">
            <v>0.67669999999999997</v>
          </cell>
          <cell r="C248">
            <v>9.5123333333333324</v>
          </cell>
        </row>
        <row r="249">
          <cell r="B249">
            <v>0.67949999999999999</v>
          </cell>
          <cell r="C249">
            <v>9.5126666666666662</v>
          </cell>
        </row>
        <row r="250">
          <cell r="B250">
            <v>0.68220000000000003</v>
          </cell>
          <cell r="C250">
            <v>9.5129999999999999</v>
          </cell>
        </row>
        <row r="251">
          <cell r="B251">
            <v>0.68489999999999995</v>
          </cell>
          <cell r="C251">
            <v>9.5133333333333336</v>
          </cell>
        </row>
        <row r="252">
          <cell r="B252">
            <v>0.68769999999999998</v>
          </cell>
          <cell r="C252">
            <v>9.5136666666666656</v>
          </cell>
        </row>
        <row r="253">
          <cell r="B253">
            <v>0.69040000000000001</v>
          </cell>
          <cell r="C253">
            <v>9.5139999999999993</v>
          </cell>
        </row>
        <row r="254">
          <cell r="B254">
            <v>0.69320000000000004</v>
          </cell>
          <cell r="C254">
            <v>9.5143333333333331</v>
          </cell>
        </row>
        <row r="255">
          <cell r="B255">
            <v>0.69589999999999996</v>
          </cell>
          <cell r="C255">
            <v>9.5146666666666668</v>
          </cell>
        </row>
        <row r="256">
          <cell r="B256">
            <v>0.6986</v>
          </cell>
          <cell r="C256">
            <v>9.5150000000000006</v>
          </cell>
        </row>
        <row r="257">
          <cell r="B257">
            <v>0.70140000000000002</v>
          </cell>
          <cell r="C257">
            <v>9.5153333333333325</v>
          </cell>
        </row>
        <row r="258">
          <cell r="B258">
            <v>0.70409999999999995</v>
          </cell>
          <cell r="C258">
            <v>9.5156666666666663</v>
          </cell>
        </row>
        <row r="259">
          <cell r="B259">
            <v>0.70679999999999998</v>
          </cell>
          <cell r="C259">
            <v>9.516</v>
          </cell>
        </row>
        <row r="260">
          <cell r="B260">
            <v>0.70960000000000001</v>
          </cell>
          <cell r="C260">
            <v>9.5163333333333338</v>
          </cell>
        </row>
        <row r="261">
          <cell r="B261">
            <v>0.71230000000000004</v>
          </cell>
          <cell r="C261">
            <v>9.5166666666666657</v>
          </cell>
        </row>
        <row r="262">
          <cell r="B262">
            <v>0.71509999999999996</v>
          </cell>
          <cell r="C262">
            <v>9.5169999999999995</v>
          </cell>
        </row>
        <row r="263">
          <cell r="B263">
            <v>0.71779999999999999</v>
          </cell>
          <cell r="C263">
            <v>9.5173333333333332</v>
          </cell>
        </row>
        <row r="264">
          <cell r="B264">
            <v>0.72050000000000003</v>
          </cell>
          <cell r="C264">
            <v>9.5176666666666669</v>
          </cell>
        </row>
        <row r="265">
          <cell r="B265">
            <v>0.72330000000000005</v>
          </cell>
          <cell r="C265">
            <v>9.5179999999999989</v>
          </cell>
        </row>
        <row r="266">
          <cell r="B266">
            <v>0.72599999999999998</v>
          </cell>
          <cell r="C266">
            <v>9.5183333333333326</v>
          </cell>
        </row>
        <row r="267">
          <cell r="B267">
            <v>0.7288</v>
          </cell>
          <cell r="C267">
            <v>9.5186666666666664</v>
          </cell>
        </row>
        <row r="268">
          <cell r="B268">
            <v>0.73150000000000004</v>
          </cell>
          <cell r="C268">
            <v>9.5190000000000001</v>
          </cell>
        </row>
        <row r="269">
          <cell r="B269">
            <v>0.73419999999999996</v>
          </cell>
          <cell r="C269">
            <v>9.5193333333333321</v>
          </cell>
        </row>
        <row r="270">
          <cell r="B270">
            <v>0.73699999999999999</v>
          </cell>
          <cell r="C270">
            <v>9.5196666666666658</v>
          </cell>
        </row>
        <row r="271">
          <cell r="B271">
            <v>0.73970000000000002</v>
          </cell>
          <cell r="C271">
            <v>9.52</v>
          </cell>
        </row>
        <row r="272">
          <cell r="B272">
            <v>0.74250000000000005</v>
          </cell>
          <cell r="C272">
            <v>9.5202105263157897</v>
          </cell>
        </row>
        <row r="273">
          <cell r="B273">
            <v>0.74519999999999997</v>
          </cell>
          <cell r="C273">
            <v>9.520421052631578</v>
          </cell>
        </row>
        <row r="274">
          <cell r="B274">
            <v>0.74790000000000001</v>
          </cell>
          <cell r="C274">
            <v>9.5206315789473681</v>
          </cell>
        </row>
        <row r="275">
          <cell r="B275">
            <v>0.75070000000000003</v>
          </cell>
          <cell r="C275">
            <v>9.5208421052631582</v>
          </cell>
        </row>
        <row r="276">
          <cell r="B276">
            <v>0.75339999999999996</v>
          </cell>
          <cell r="C276">
            <v>9.5210526315789465</v>
          </cell>
        </row>
        <row r="277">
          <cell r="B277">
            <v>0.75619999999999998</v>
          </cell>
          <cell r="C277">
            <v>9.5212631578947367</v>
          </cell>
        </row>
        <row r="278">
          <cell r="B278">
            <v>0.75890000000000002</v>
          </cell>
          <cell r="C278">
            <v>9.521473684210525</v>
          </cell>
        </row>
        <row r="279">
          <cell r="B279">
            <v>0.76160000000000005</v>
          </cell>
          <cell r="C279">
            <v>9.5216842105263151</v>
          </cell>
        </row>
        <row r="280">
          <cell r="B280">
            <v>0.76439999999999997</v>
          </cell>
          <cell r="C280">
            <v>9.5218947368421052</v>
          </cell>
        </row>
        <row r="281">
          <cell r="B281">
            <v>0.7671</v>
          </cell>
          <cell r="C281">
            <v>9.5221052631578935</v>
          </cell>
        </row>
        <row r="282">
          <cell r="B282">
            <v>0.76990000000000003</v>
          </cell>
          <cell r="C282">
            <v>9.5223157894736836</v>
          </cell>
        </row>
        <row r="283">
          <cell r="B283">
            <v>0.77259999999999995</v>
          </cell>
          <cell r="C283">
            <v>9.5225263157894737</v>
          </cell>
        </row>
        <row r="284">
          <cell r="B284">
            <v>0.77529999999999999</v>
          </cell>
          <cell r="C284">
            <v>9.5227368421052621</v>
          </cell>
        </row>
        <row r="285">
          <cell r="B285">
            <v>0.77810000000000001</v>
          </cell>
          <cell r="C285">
            <v>9.5229473684210522</v>
          </cell>
        </row>
        <row r="286">
          <cell r="B286">
            <v>0.78080000000000005</v>
          </cell>
          <cell r="C286">
            <v>9.5231578947368423</v>
          </cell>
        </row>
        <row r="287">
          <cell r="B287">
            <v>0.78359999999999996</v>
          </cell>
          <cell r="C287">
            <v>9.5233684210526306</v>
          </cell>
        </row>
        <row r="288">
          <cell r="B288">
            <v>0.7863</v>
          </cell>
          <cell r="C288">
            <v>9.5235789473684207</v>
          </cell>
        </row>
        <row r="289">
          <cell r="B289">
            <v>0.78900000000000003</v>
          </cell>
          <cell r="C289">
            <v>9.5237894736842108</v>
          </cell>
        </row>
        <row r="290">
          <cell r="B290">
            <v>0.79179999999999995</v>
          </cell>
          <cell r="C290">
            <v>9.5239999999999991</v>
          </cell>
        </row>
        <row r="291">
          <cell r="B291">
            <v>0.79449999999999998</v>
          </cell>
          <cell r="C291">
            <v>9.5242105263157892</v>
          </cell>
        </row>
        <row r="292">
          <cell r="B292">
            <v>0.79730000000000001</v>
          </cell>
          <cell r="C292">
            <v>9.5244210526315776</v>
          </cell>
        </row>
        <row r="293">
          <cell r="B293">
            <v>0.8</v>
          </cell>
          <cell r="C293">
            <v>9.5246315789473677</v>
          </cell>
        </row>
        <row r="294">
          <cell r="B294">
            <v>0.80269999999999997</v>
          </cell>
          <cell r="C294">
            <v>9.5248421052631578</v>
          </cell>
        </row>
        <row r="295">
          <cell r="B295">
            <v>0.80549999999999999</v>
          </cell>
          <cell r="C295">
            <v>9.5250526315789461</v>
          </cell>
        </row>
        <row r="296">
          <cell r="B296">
            <v>0.80820000000000003</v>
          </cell>
          <cell r="C296">
            <v>9.5252631578947362</v>
          </cell>
        </row>
        <row r="297">
          <cell r="B297">
            <v>0.81100000000000005</v>
          </cell>
          <cell r="C297">
            <v>9.5254736842105263</v>
          </cell>
        </row>
        <row r="298">
          <cell r="B298">
            <v>0.81369999999999998</v>
          </cell>
          <cell r="C298">
            <v>9.5256842105263146</v>
          </cell>
        </row>
        <row r="299">
          <cell r="B299">
            <v>0.81640000000000001</v>
          </cell>
          <cell r="C299">
            <v>9.5258947368421047</v>
          </cell>
        </row>
        <row r="300">
          <cell r="B300">
            <v>0.81920000000000004</v>
          </cell>
          <cell r="C300">
            <v>9.5261052631578949</v>
          </cell>
        </row>
        <row r="301">
          <cell r="B301">
            <v>0.82189999999999996</v>
          </cell>
          <cell r="C301">
            <v>9.5263157894736832</v>
          </cell>
        </row>
        <row r="302">
          <cell r="B302">
            <v>0.82469999999999999</v>
          </cell>
          <cell r="C302">
            <v>9.5265263157894733</v>
          </cell>
        </row>
        <row r="303">
          <cell r="B303">
            <v>0.82740000000000002</v>
          </cell>
          <cell r="C303">
            <v>9.5267368421052634</v>
          </cell>
        </row>
        <row r="304">
          <cell r="B304">
            <v>0.83009999999999995</v>
          </cell>
          <cell r="C304">
            <v>9.5269473684210517</v>
          </cell>
        </row>
        <row r="305">
          <cell r="B305">
            <v>0.83289999999999997</v>
          </cell>
          <cell r="C305">
            <v>9.5271578947368418</v>
          </cell>
        </row>
        <row r="306">
          <cell r="B306">
            <v>0.83560000000000001</v>
          </cell>
          <cell r="C306">
            <v>9.5273684210526302</v>
          </cell>
        </row>
        <row r="307">
          <cell r="B307">
            <v>0.83840000000000003</v>
          </cell>
          <cell r="C307">
            <v>9.5275789473684203</v>
          </cell>
        </row>
        <row r="308">
          <cell r="B308">
            <v>0.84109999999999996</v>
          </cell>
          <cell r="C308">
            <v>9.5277894736842104</v>
          </cell>
        </row>
        <row r="309">
          <cell r="B309">
            <v>0.84379999999999999</v>
          </cell>
          <cell r="C309">
            <v>9.5279999999999987</v>
          </cell>
        </row>
        <row r="310">
          <cell r="B310">
            <v>0.84660000000000002</v>
          </cell>
          <cell r="C310">
            <v>9.5282105263157888</v>
          </cell>
        </row>
        <row r="311">
          <cell r="B311">
            <v>0.84930000000000005</v>
          </cell>
          <cell r="C311">
            <v>9.5284210526315789</v>
          </cell>
        </row>
        <row r="312">
          <cell r="B312">
            <v>0.85209999999999997</v>
          </cell>
          <cell r="C312">
            <v>9.5286315789473672</v>
          </cell>
        </row>
        <row r="313">
          <cell r="B313">
            <v>0.8548</v>
          </cell>
          <cell r="C313">
            <v>9.5288421052631573</v>
          </cell>
        </row>
        <row r="314">
          <cell r="B314">
            <v>0.85750000000000004</v>
          </cell>
          <cell r="C314">
            <v>9.5290526315789474</v>
          </cell>
        </row>
        <row r="315">
          <cell r="B315">
            <v>0.86029999999999995</v>
          </cell>
          <cell r="C315">
            <v>9.5292631578947358</v>
          </cell>
        </row>
        <row r="316">
          <cell r="B316">
            <v>0.86299999999999999</v>
          </cell>
          <cell r="C316">
            <v>9.5294736842105259</v>
          </cell>
        </row>
        <row r="317">
          <cell r="B317">
            <v>0.86580000000000001</v>
          </cell>
          <cell r="C317">
            <v>9.529684210526316</v>
          </cell>
        </row>
        <row r="318">
          <cell r="B318">
            <v>0.86850000000000005</v>
          </cell>
          <cell r="C318">
            <v>9.5298947368421043</v>
          </cell>
        </row>
        <row r="319">
          <cell r="B319">
            <v>0.87119999999999997</v>
          </cell>
          <cell r="C319">
            <v>9.5301052631578944</v>
          </cell>
        </row>
        <row r="320">
          <cell r="B320">
            <v>0.874</v>
          </cell>
          <cell r="C320">
            <v>9.5303157894736827</v>
          </cell>
        </row>
        <row r="321">
          <cell r="B321">
            <v>0.87670000000000003</v>
          </cell>
          <cell r="C321">
            <v>9.5305263157894728</v>
          </cell>
        </row>
        <row r="322">
          <cell r="B322">
            <v>0.87949999999999995</v>
          </cell>
          <cell r="C322">
            <v>9.530736842105263</v>
          </cell>
        </row>
        <row r="323">
          <cell r="B323">
            <v>0.88219999999999998</v>
          </cell>
          <cell r="C323">
            <v>9.5309473684210513</v>
          </cell>
        </row>
        <row r="324">
          <cell r="B324">
            <v>0.88490000000000002</v>
          </cell>
          <cell r="C324">
            <v>9.5311578947368414</v>
          </cell>
        </row>
        <row r="325">
          <cell r="B325">
            <v>0.88770000000000004</v>
          </cell>
          <cell r="C325">
            <v>9.5313684210526315</v>
          </cell>
        </row>
        <row r="326">
          <cell r="B326">
            <v>0.89039999999999997</v>
          </cell>
          <cell r="C326">
            <v>9.5315789473684198</v>
          </cell>
        </row>
        <row r="327">
          <cell r="B327">
            <v>0.89319999999999999</v>
          </cell>
          <cell r="C327">
            <v>9.5317894736842099</v>
          </cell>
        </row>
        <row r="328">
          <cell r="B328">
            <v>0.89590000000000003</v>
          </cell>
          <cell r="C328">
            <v>9.532</v>
          </cell>
        </row>
        <row r="329">
          <cell r="B329">
            <v>0.89859999999999995</v>
          </cell>
          <cell r="C329">
            <v>9.5322105263157884</v>
          </cell>
        </row>
        <row r="330">
          <cell r="B330">
            <v>0.90139999999999998</v>
          </cell>
          <cell r="C330">
            <v>9.5324210526315785</v>
          </cell>
        </row>
        <row r="331">
          <cell r="B331">
            <v>0.90410000000000001</v>
          </cell>
          <cell r="C331">
            <v>9.5326315789473686</v>
          </cell>
        </row>
        <row r="332">
          <cell r="B332">
            <v>0.90680000000000005</v>
          </cell>
          <cell r="C332">
            <v>9.5328421052631569</v>
          </cell>
        </row>
        <row r="333">
          <cell r="B333">
            <v>0.90959999999999996</v>
          </cell>
          <cell r="C333">
            <v>9.533052631578947</v>
          </cell>
        </row>
        <row r="334">
          <cell r="B334">
            <v>0.9123</v>
          </cell>
          <cell r="C334">
            <v>9.5332631578947353</v>
          </cell>
        </row>
        <row r="335">
          <cell r="B335">
            <v>0.91510000000000002</v>
          </cell>
          <cell r="C335">
            <v>9.5334736842105254</v>
          </cell>
        </row>
        <row r="336">
          <cell r="B336">
            <v>0.91779999999999995</v>
          </cell>
          <cell r="C336">
            <v>9.5336842105263155</v>
          </cell>
        </row>
        <row r="337">
          <cell r="B337">
            <v>0.92049999999999998</v>
          </cell>
          <cell r="C337">
            <v>9.5338947368421039</v>
          </cell>
        </row>
        <row r="338">
          <cell r="B338">
            <v>0.92330000000000001</v>
          </cell>
          <cell r="C338">
            <v>9.534105263157894</v>
          </cell>
        </row>
        <row r="339">
          <cell r="B339">
            <v>0.92600000000000005</v>
          </cell>
          <cell r="C339">
            <v>9.5343157894736841</v>
          </cell>
        </row>
        <row r="340">
          <cell r="B340">
            <v>0.92879999999999996</v>
          </cell>
          <cell r="C340">
            <v>9.5345263157894724</v>
          </cell>
        </row>
        <row r="341">
          <cell r="B341">
            <v>0.93149999999999999</v>
          </cell>
          <cell r="C341">
            <v>9.5347368421052625</v>
          </cell>
        </row>
        <row r="342">
          <cell r="B342">
            <v>0.93420000000000003</v>
          </cell>
          <cell r="C342">
            <v>9.5349473684210526</v>
          </cell>
        </row>
        <row r="343">
          <cell r="B343">
            <v>0.93700000000000006</v>
          </cell>
          <cell r="C343">
            <v>9.5351578947368409</v>
          </cell>
        </row>
        <row r="344">
          <cell r="B344">
            <v>0.93969999999999998</v>
          </cell>
          <cell r="C344">
            <v>9.535368421052631</v>
          </cell>
        </row>
        <row r="345">
          <cell r="B345">
            <v>0.9425</v>
          </cell>
          <cell r="C345">
            <v>9.5355789473684212</v>
          </cell>
        </row>
        <row r="346">
          <cell r="B346">
            <v>0.94520000000000004</v>
          </cell>
          <cell r="C346">
            <v>9.5357894736842095</v>
          </cell>
        </row>
        <row r="347">
          <cell r="B347">
            <v>0.94789999999999996</v>
          </cell>
          <cell r="C347">
            <v>9.5359999999999996</v>
          </cell>
        </row>
        <row r="348">
          <cell r="B348">
            <v>0.95069999999999999</v>
          </cell>
          <cell r="C348">
            <v>9.5362105263157879</v>
          </cell>
        </row>
        <row r="349">
          <cell r="B349">
            <v>0.95340000000000003</v>
          </cell>
          <cell r="C349">
            <v>9.536421052631578</v>
          </cell>
        </row>
        <row r="350">
          <cell r="B350">
            <v>0.95620000000000005</v>
          </cell>
          <cell r="C350">
            <v>9.5366315789473681</v>
          </cell>
        </row>
        <row r="351">
          <cell r="B351">
            <v>0.95889999999999997</v>
          </cell>
          <cell r="C351">
            <v>9.5368421052631565</v>
          </cell>
        </row>
        <row r="352">
          <cell r="B352">
            <v>0.96160000000000001</v>
          </cell>
          <cell r="C352">
            <v>9.5370526315789466</v>
          </cell>
        </row>
        <row r="353">
          <cell r="B353">
            <v>0.96440000000000003</v>
          </cell>
          <cell r="C353">
            <v>9.5372631578947367</v>
          </cell>
        </row>
        <row r="354">
          <cell r="B354">
            <v>0.96709999999999996</v>
          </cell>
          <cell r="C354">
            <v>9.537473684210525</v>
          </cell>
        </row>
        <row r="355">
          <cell r="B355">
            <v>0.96989999999999998</v>
          </cell>
          <cell r="C355">
            <v>9.5376842105263151</v>
          </cell>
        </row>
        <row r="356">
          <cell r="B356">
            <v>0.97260000000000002</v>
          </cell>
          <cell r="C356">
            <v>9.5378947368421052</v>
          </cell>
        </row>
        <row r="357">
          <cell r="B357">
            <v>0.97529999999999994</v>
          </cell>
          <cell r="C357">
            <v>9.5381052631578935</v>
          </cell>
        </row>
        <row r="358">
          <cell r="B358">
            <v>0.97809999999999997</v>
          </cell>
          <cell r="C358">
            <v>9.5383157894736836</v>
          </cell>
        </row>
        <row r="359">
          <cell r="B359">
            <v>0.98080000000000001</v>
          </cell>
          <cell r="C359">
            <v>9.5385263157894737</v>
          </cell>
        </row>
        <row r="360">
          <cell r="B360">
            <v>0.98360000000000003</v>
          </cell>
          <cell r="C360">
            <v>9.5387368421052621</v>
          </cell>
        </row>
        <row r="361">
          <cell r="B361">
            <v>0.98629999999999995</v>
          </cell>
          <cell r="C361">
            <v>9.5389473684210522</v>
          </cell>
        </row>
        <row r="362">
          <cell r="B362">
            <v>0.98899999999999999</v>
          </cell>
          <cell r="C362">
            <v>9.5391578947368405</v>
          </cell>
        </row>
        <row r="363">
          <cell r="B363">
            <v>0.99180000000000001</v>
          </cell>
          <cell r="C363">
            <v>9.5393684210526306</v>
          </cell>
        </row>
        <row r="364">
          <cell r="B364">
            <v>0.99450000000000005</v>
          </cell>
          <cell r="C364">
            <v>9.5395789473684207</v>
          </cell>
        </row>
        <row r="365">
          <cell r="B365">
            <v>0.99729999999999996</v>
          </cell>
          <cell r="C365">
            <v>9.539789473684209</v>
          </cell>
        </row>
        <row r="366">
          <cell r="B366">
            <v>1</v>
          </cell>
          <cell r="C366">
            <v>9.5399999999999991</v>
          </cell>
        </row>
        <row r="367">
          <cell r="B367">
            <v>1.0026999999999999</v>
          </cell>
          <cell r="C367">
            <v>9.5405479452054784</v>
          </cell>
        </row>
        <row r="368">
          <cell r="B368">
            <v>1.0055000000000001</v>
          </cell>
          <cell r="C368">
            <v>9.5410958904109577</v>
          </cell>
        </row>
        <row r="369">
          <cell r="B369">
            <v>1.0082</v>
          </cell>
          <cell r="C369">
            <v>9.541643835616437</v>
          </cell>
        </row>
        <row r="370">
          <cell r="B370">
            <v>1.0109999999999999</v>
          </cell>
          <cell r="C370">
            <v>9.5421917808219163</v>
          </cell>
        </row>
        <row r="371">
          <cell r="B371">
            <v>1.0137</v>
          </cell>
          <cell r="C371">
            <v>9.5427397260273956</v>
          </cell>
        </row>
        <row r="372">
          <cell r="B372">
            <v>1.0164</v>
          </cell>
          <cell r="C372">
            <v>9.5432876712328767</v>
          </cell>
        </row>
        <row r="373">
          <cell r="B373">
            <v>1.0192000000000001</v>
          </cell>
          <cell r="C373">
            <v>9.543835616438356</v>
          </cell>
        </row>
        <row r="374">
          <cell r="B374">
            <v>1.0219</v>
          </cell>
          <cell r="C374">
            <v>9.5443835616438353</v>
          </cell>
        </row>
        <row r="375">
          <cell r="B375">
            <v>1.0246999999999999</v>
          </cell>
          <cell r="C375">
            <v>9.5449315068493146</v>
          </cell>
        </row>
        <row r="376">
          <cell r="B376">
            <v>1.0274000000000001</v>
          </cell>
          <cell r="C376">
            <v>9.5454794520547939</v>
          </cell>
        </row>
        <row r="377">
          <cell r="B377">
            <v>1.0301</v>
          </cell>
          <cell r="C377">
            <v>9.5460273972602732</v>
          </cell>
        </row>
        <row r="378">
          <cell r="B378">
            <v>1.0328999999999999</v>
          </cell>
          <cell r="C378">
            <v>9.5465753424657525</v>
          </cell>
        </row>
        <row r="379">
          <cell r="B379">
            <v>1.0356000000000001</v>
          </cell>
          <cell r="C379">
            <v>9.5471232876712318</v>
          </cell>
        </row>
        <row r="380">
          <cell r="B380">
            <v>1.0384</v>
          </cell>
          <cell r="C380">
            <v>9.547671232876711</v>
          </cell>
        </row>
        <row r="381">
          <cell r="B381">
            <v>1.0410999999999999</v>
          </cell>
          <cell r="C381">
            <v>9.5482191780821903</v>
          </cell>
        </row>
        <row r="382">
          <cell r="B382">
            <v>1.0438000000000001</v>
          </cell>
          <cell r="C382">
            <v>9.5487671232876696</v>
          </cell>
        </row>
        <row r="383">
          <cell r="B383">
            <v>1.0466</v>
          </cell>
          <cell r="C383">
            <v>9.5493150684931507</v>
          </cell>
        </row>
        <row r="384">
          <cell r="B384">
            <v>1.0492999999999999</v>
          </cell>
          <cell r="C384">
            <v>9.54986301369863</v>
          </cell>
        </row>
        <row r="385">
          <cell r="B385">
            <v>1.0521</v>
          </cell>
          <cell r="C385">
            <v>9.5504109589041093</v>
          </cell>
        </row>
        <row r="386">
          <cell r="B386">
            <v>1.0548</v>
          </cell>
          <cell r="C386">
            <v>9.5509589041095886</v>
          </cell>
        </row>
        <row r="387">
          <cell r="B387">
            <v>1.0575000000000001</v>
          </cell>
          <cell r="C387">
            <v>9.5515068493150679</v>
          </cell>
        </row>
        <row r="388">
          <cell r="B388">
            <v>1.0603</v>
          </cell>
          <cell r="C388">
            <v>9.5520547945205472</v>
          </cell>
        </row>
        <row r="389">
          <cell r="B389">
            <v>1.0629999999999999</v>
          </cell>
          <cell r="C389">
            <v>9.5526027397260265</v>
          </cell>
        </row>
        <row r="390">
          <cell r="B390">
            <v>1.0658000000000001</v>
          </cell>
          <cell r="C390">
            <v>9.5531506849315058</v>
          </cell>
        </row>
        <row r="391">
          <cell r="B391">
            <v>1.0685</v>
          </cell>
          <cell r="C391">
            <v>9.5536986301369851</v>
          </cell>
        </row>
        <row r="392">
          <cell r="B392">
            <v>1.0711999999999999</v>
          </cell>
          <cell r="C392">
            <v>9.5542465753424644</v>
          </cell>
        </row>
        <row r="393">
          <cell r="B393">
            <v>1.0740000000000001</v>
          </cell>
          <cell r="C393">
            <v>9.5547945205479436</v>
          </cell>
        </row>
        <row r="394">
          <cell r="B394">
            <v>1.0767</v>
          </cell>
          <cell r="C394">
            <v>9.5553424657534247</v>
          </cell>
        </row>
        <row r="395">
          <cell r="B395">
            <v>1.0794999999999999</v>
          </cell>
          <cell r="C395">
            <v>9.555890410958904</v>
          </cell>
        </row>
        <row r="396">
          <cell r="B396">
            <v>1.0822000000000001</v>
          </cell>
          <cell r="C396">
            <v>9.5564383561643833</v>
          </cell>
        </row>
        <row r="397">
          <cell r="B397">
            <v>1.0849</v>
          </cell>
          <cell r="C397">
            <v>9.5569863013698626</v>
          </cell>
        </row>
        <row r="398">
          <cell r="B398">
            <v>1.0876999999999999</v>
          </cell>
          <cell r="C398">
            <v>9.5575342465753419</v>
          </cell>
        </row>
        <row r="399">
          <cell r="B399">
            <v>1.0904</v>
          </cell>
          <cell r="C399">
            <v>9.5580821917808212</v>
          </cell>
        </row>
        <row r="400">
          <cell r="B400">
            <v>1.0931999999999999</v>
          </cell>
          <cell r="C400">
            <v>9.5586301369863005</v>
          </cell>
        </row>
        <row r="401">
          <cell r="B401">
            <v>1.0959000000000001</v>
          </cell>
          <cell r="C401">
            <v>9.5591780821917798</v>
          </cell>
        </row>
        <row r="402">
          <cell r="B402">
            <v>1.0986</v>
          </cell>
          <cell r="C402">
            <v>9.5597260273972591</v>
          </cell>
        </row>
        <row r="403">
          <cell r="B403">
            <v>1.1013999999999999</v>
          </cell>
          <cell r="C403">
            <v>9.5602739726027384</v>
          </cell>
        </row>
        <row r="404">
          <cell r="B404">
            <v>1.1041000000000001</v>
          </cell>
          <cell r="C404">
            <v>9.5608219178082177</v>
          </cell>
        </row>
        <row r="405">
          <cell r="B405">
            <v>1.1068</v>
          </cell>
          <cell r="C405">
            <v>9.5613698630136987</v>
          </cell>
        </row>
        <row r="406">
          <cell r="B406">
            <v>1.1095999999999999</v>
          </cell>
          <cell r="C406">
            <v>9.561917808219178</v>
          </cell>
        </row>
        <row r="407">
          <cell r="B407">
            <v>1.1123000000000001</v>
          </cell>
          <cell r="C407">
            <v>9.5624657534246573</v>
          </cell>
        </row>
        <row r="408">
          <cell r="B408">
            <v>1.1151</v>
          </cell>
          <cell r="C408">
            <v>9.5630136986301366</v>
          </cell>
        </row>
        <row r="409">
          <cell r="B409">
            <v>1.1177999999999999</v>
          </cell>
          <cell r="C409">
            <v>9.5635616438356159</v>
          </cell>
        </row>
        <row r="410">
          <cell r="B410">
            <v>1.1205000000000001</v>
          </cell>
          <cell r="C410">
            <v>9.5641095890410952</v>
          </cell>
        </row>
        <row r="411">
          <cell r="B411">
            <v>1.1233</v>
          </cell>
          <cell r="C411">
            <v>9.5646575342465745</v>
          </cell>
        </row>
        <row r="412">
          <cell r="B412">
            <v>1.1259999999999999</v>
          </cell>
          <cell r="C412">
            <v>9.5652054794520538</v>
          </cell>
        </row>
        <row r="413">
          <cell r="B413">
            <v>1.1288</v>
          </cell>
          <cell r="C413">
            <v>9.5657534246575331</v>
          </cell>
        </row>
        <row r="414">
          <cell r="B414">
            <v>1.1315</v>
          </cell>
          <cell r="C414">
            <v>9.5663013698630124</v>
          </cell>
        </row>
        <row r="415">
          <cell r="B415">
            <v>1.1342000000000001</v>
          </cell>
          <cell r="C415">
            <v>9.5668493150684917</v>
          </cell>
        </row>
        <row r="416">
          <cell r="B416">
            <v>1.137</v>
          </cell>
          <cell r="C416">
            <v>9.5673972602739727</v>
          </cell>
        </row>
        <row r="417">
          <cell r="B417">
            <v>1.1396999999999999</v>
          </cell>
          <cell r="C417">
            <v>9.567945205479452</v>
          </cell>
        </row>
        <row r="418">
          <cell r="B418">
            <v>1.1425000000000001</v>
          </cell>
          <cell r="C418">
            <v>9.5684931506849313</v>
          </cell>
        </row>
        <row r="419">
          <cell r="B419">
            <v>1.1452</v>
          </cell>
          <cell r="C419">
            <v>9.5690410958904106</v>
          </cell>
        </row>
        <row r="420">
          <cell r="B420">
            <v>1.1478999999999999</v>
          </cell>
          <cell r="C420">
            <v>9.5695890410958899</v>
          </cell>
        </row>
        <row r="421">
          <cell r="B421">
            <v>1.1507000000000001</v>
          </cell>
          <cell r="C421">
            <v>9.5701369863013692</v>
          </cell>
        </row>
        <row r="422">
          <cell r="B422">
            <v>1.1534</v>
          </cell>
          <cell r="C422">
            <v>9.5706849315068485</v>
          </cell>
        </row>
        <row r="423">
          <cell r="B423">
            <v>1.1561999999999999</v>
          </cell>
          <cell r="C423">
            <v>9.5712328767123278</v>
          </cell>
        </row>
        <row r="424">
          <cell r="B424">
            <v>1.1589</v>
          </cell>
          <cell r="C424">
            <v>9.5717808219178071</v>
          </cell>
        </row>
        <row r="425">
          <cell r="B425">
            <v>1.1616</v>
          </cell>
          <cell r="C425">
            <v>9.5723287671232864</v>
          </cell>
        </row>
        <row r="426">
          <cell r="B426">
            <v>1.1644000000000001</v>
          </cell>
          <cell r="C426">
            <v>9.5728767123287657</v>
          </cell>
        </row>
        <row r="427">
          <cell r="B427">
            <v>1.1671</v>
          </cell>
          <cell r="C427">
            <v>9.5734246575342468</v>
          </cell>
        </row>
        <row r="428">
          <cell r="B428">
            <v>1.1698999999999999</v>
          </cell>
          <cell r="C428">
            <v>9.5739726027397261</v>
          </cell>
        </row>
        <row r="429">
          <cell r="B429">
            <v>1.1726000000000001</v>
          </cell>
          <cell r="C429">
            <v>9.5745205479452054</v>
          </cell>
        </row>
        <row r="430">
          <cell r="B430">
            <v>1.1753</v>
          </cell>
          <cell r="C430">
            <v>9.5750684931506846</v>
          </cell>
        </row>
        <row r="431">
          <cell r="B431">
            <v>1.1780999999999999</v>
          </cell>
          <cell r="C431">
            <v>9.5756164383561639</v>
          </cell>
        </row>
        <row r="432">
          <cell r="B432">
            <v>1.1808000000000001</v>
          </cell>
          <cell r="C432">
            <v>9.5761643835616432</v>
          </cell>
        </row>
        <row r="433">
          <cell r="B433">
            <v>1.1836</v>
          </cell>
          <cell r="C433">
            <v>9.5767123287671225</v>
          </cell>
        </row>
        <row r="434">
          <cell r="B434">
            <v>1.1862999999999999</v>
          </cell>
          <cell r="C434">
            <v>9.5772602739726018</v>
          </cell>
        </row>
        <row r="435">
          <cell r="B435">
            <v>1.1890000000000001</v>
          </cell>
          <cell r="C435">
            <v>9.5778082191780811</v>
          </cell>
        </row>
        <row r="436">
          <cell r="B436">
            <v>1.1918</v>
          </cell>
          <cell r="C436">
            <v>9.5783561643835604</v>
          </cell>
        </row>
        <row r="437">
          <cell r="B437">
            <v>1.1944999999999999</v>
          </cell>
          <cell r="C437">
            <v>9.5789041095890397</v>
          </cell>
        </row>
        <row r="438">
          <cell r="B438">
            <v>1.1973</v>
          </cell>
          <cell r="C438">
            <v>9.5794520547945208</v>
          </cell>
        </row>
        <row r="439">
          <cell r="B439">
            <v>1.2</v>
          </cell>
          <cell r="C439">
            <v>9.58</v>
          </cell>
        </row>
        <row r="440">
          <cell r="B440">
            <v>1.2027000000000001</v>
          </cell>
          <cell r="C440">
            <v>9.5805479452054794</v>
          </cell>
        </row>
        <row r="441">
          <cell r="B441">
            <v>1.2055</v>
          </cell>
          <cell r="C441">
            <v>9.5810958904109587</v>
          </cell>
        </row>
        <row r="442">
          <cell r="B442">
            <v>1.2081999999999999</v>
          </cell>
          <cell r="C442">
            <v>9.581643835616438</v>
          </cell>
        </row>
        <row r="443">
          <cell r="B443">
            <v>1.2110000000000001</v>
          </cell>
          <cell r="C443">
            <v>9.5821917808219172</v>
          </cell>
        </row>
        <row r="444">
          <cell r="B444">
            <v>1.2137</v>
          </cell>
          <cell r="C444">
            <v>9.5827397260273965</v>
          </cell>
        </row>
        <row r="445">
          <cell r="B445">
            <v>1.2163999999999999</v>
          </cell>
          <cell r="C445">
            <v>9.5832876712328758</v>
          </cell>
        </row>
        <row r="446">
          <cell r="B446">
            <v>1.2192000000000001</v>
          </cell>
          <cell r="C446">
            <v>9.5838356164383551</v>
          </cell>
        </row>
        <row r="447">
          <cell r="B447">
            <v>1.2219</v>
          </cell>
          <cell r="C447">
            <v>9.5843835616438344</v>
          </cell>
        </row>
        <row r="448">
          <cell r="B448">
            <v>1.2246999999999999</v>
          </cell>
          <cell r="C448">
            <v>9.5849315068493137</v>
          </cell>
        </row>
        <row r="449">
          <cell r="B449">
            <v>1.2274</v>
          </cell>
          <cell r="C449">
            <v>9.5854794520547948</v>
          </cell>
        </row>
        <row r="450">
          <cell r="B450">
            <v>1.2301</v>
          </cell>
          <cell r="C450">
            <v>9.5860273972602741</v>
          </cell>
        </row>
        <row r="451">
          <cell r="B451">
            <v>1.2329000000000001</v>
          </cell>
          <cell r="C451">
            <v>9.5865753424657534</v>
          </cell>
        </row>
        <row r="452">
          <cell r="B452">
            <v>1.2356</v>
          </cell>
          <cell r="C452">
            <v>9.5871232876712327</v>
          </cell>
        </row>
        <row r="453">
          <cell r="B453">
            <v>1.2383999999999999</v>
          </cell>
          <cell r="C453">
            <v>9.587671232876712</v>
          </cell>
        </row>
        <row r="454">
          <cell r="B454">
            <v>1.2411000000000001</v>
          </cell>
          <cell r="C454">
            <v>9.5882191780821913</v>
          </cell>
        </row>
        <row r="455">
          <cell r="B455">
            <v>1.2438</v>
          </cell>
          <cell r="C455">
            <v>9.5887671232876706</v>
          </cell>
        </row>
        <row r="456">
          <cell r="B456">
            <v>1.2465999999999999</v>
          </cell>
          <cell r="C456">
            <v>9.5893150684931499</v>
          </cell>
        </row>
        <row r="457">
          <cell r="B457">
            <v>1.2493000000000001</v>
          </cell>
          <cell r="C457">
            <v>9.5898630136986291</v>
          </cell>
        </row>
        <row r="458">
          <cell r="B458">
            <v>1.2521</v>
          </cell>
          <cell r="C458">
            <v>9.5904109589041084</v>
          </cell>
        </row>
        <row r="459">
          <cell r="B459">
            <v>1.2547999999999999</v>
          </cell>
          <cell r="C459">
            <v>9.5909589041095877</v>
          </cell>
        </row>
        <row r="460">
          <cell r="B460">
            <v>1.2575000000000001</v>
          </cell>
          <cell r="C460">
            <v>9.591506849315067</v>
          </cell>
        </row>
        <row r="461">
          <cell r="B461">
            <v>1.2603</v>
          </cell>
          <cell r="C461">
            <v>9.5920547945205481</v>
          </cell>
        </row>
        <row r="462">
          <cell r="B462">
            <v>1.2629999999999999</v>
          </cell>
          <cell r="C462">
            <v>9.5926027397260274</v>
          </cell>
        </row>
        <row r="463">
          <cell r="B463">
            <v>1.2658</v>
          </cell>
          <cell r="C463">
            <v>9.5931506849315067</v>
          </cell>
        </row>
        <row r="464">
          <cell r="B464">
            <v>1.2685</v>
          </cell>
          <cell r="C464">
            <v>9.593698630136986</v>
          </cell>
        </row>
        <row r="465">
          <cell r="B465">
            <v>1.2712000000000001</v>
          </cell>
          <cell r="C465">
            <v>9.5942465753424653</v>
          </cell>
        </row>
        <row r="466">
          <cell r="B466">
            <v>1.274</v>
          </cell>
          <cell r="C466">
            <v>9.5947945205479446</v>
          </cell>
        </row>
        <row r="467">
          <cell r="B467">
            <v>1.2766999999999999</v>
          </cell>
          <cell r="C467">
            <v>9.5953424657534239</v>
          </cell>
        </row>
        <row r="468">
          <cell r="B468">
            <v>1.2795000000000001</v>
          </cell>
          <cell r="C468">
            <v>9.5958904109589032</v>
          </cell>
        </row>
        <row r="469">
          <cell r="B469">
            <v>1.2822</v>
          </cell>
          <cell r="C469">
            <v>9.5964383561643825</v>
          </cell>
        </row>
        <row r="470">
          <cell r="B470">
            <v>1.2848999999999999</v>
          </cell>
          <cell r="C470">
            <v>9.5969863013698617</v>
          </cell>
        </row>
        <row r="471">
          <cell r="B471">
            <v>1.2877000000000001</v>
          </cell>
          <cell r="C471">
            <v>9.597534246575341</v>
          </cell>
        </row>
        <row r="472">
          <cell r="B472">
            <v>1.2904</v>
          </cell>
          <cell r="C472">
            <v>9.5980821917808221</v>
          </cell>
        </row>
        <row r="473">
          <cell r="B473">
            <v>1.2931999999999999</v>
          </cell>
          <cell r="C473">
            <v>9.5986301369863014</v>
          </cell>
        </row>
        <row r="474">
          <cell r="B474">
            <v>1.2959000000000001</v>
          </cell>
          <cell r="C474">
            <v>9.5991780821917807</v>
          </cell>
        </row>
        <row r="475">
          <cell r="B475">
            <v>1.2986</v>
          </cell>
          <cell r="C475">
            <v>9.59972602739726</v>
          </cell>
        </row>
        <row r="476">
          <cell r="B476">
            <v>1.3013999999999999</v>
          </cell>
          <cell r="C476">
            <v>9.6002739726027393</v>
          </cell>
        </row>
        <row r="477">
          <cell r="B477">
            <v>1.3041</v>
          </cell>
          <cell r="C477">
            <v>9.6008219178082186</v>
          </cell>
        </row>
        <row r="478">
          <cell r="B478">
            <v>1.3068</v>
          </cell>
          <cell r="C478">
            <v>9.6013698630136979</v>
          </cell>
        </row>
        <row r="479">
          <cell r="B479">
            <v>1.3096000000000001</v>
          </cell>
          <cell r="C479">
            <v>9.6019178082191772</v>
          </cell>
        </row>
        <row r="480">
          <cell r="B480">
            <v>1.3123</v>
          </cell>
          <cell r="C480">
            <v>9.6024657534246565</v>
          </cell>
        </row>
        <row r="481">
          <cell r="B481">
            <v>1.3150999999999999</v>
          </cell>
          <cell r="C481">
            <v>9.6030136986301358</v>
          </cell>
        </row>
        <row r="482">
          <cell r="B482">
            <v>1.3178000000000001</v>
          </cell>
          <cell r="C482">
            <v>9.6035616438356151</v>
          </cell>
        </row>
        <row r="483">
          <cell r="B483">
            <v>1.3205</v>
          </cell>
          <cell r="C483">
            <v>9.6041095890410961</v>
          </cell>
        </row>
        <row r="484">
          <cell r="B484">
            <v>1.3232999999999999</v>
          </cell>
          <cell r="C484">
            <v>9.6046575342465754</v>
          </cell>
        </row>
        <row r="485">
          <cell r="B485">
            <v>1.3260000000000001</v>
          </cell>
          <cell r="C485">
            <v>9.6052054794520547</v>
          </cell>
        </row>
        <row r="486">
          <cell r="B486">
            <v>1.3288</v>
          </cell>
          <cell r="C486">
            <v>9.605753424657534</v>
          </cell>
        </row>
        <row r="487">
          <cell r="B487">
            <v>1.3314999999999999</v>
          </cell>
          <cell r="C487">
            <v>9.6063013698630133</v>
          </cell>
        </row>
        <row r="488">
          <cell r="B488">
            <v>1.3342000000000001</v>
          </cell>
          <cell r="C488">
            <v>9.6068493150684926</v>
          </cell>
        </row>
        <row r="489">
          <cell r="B489">
            <v>1.337</v>
          </cell>
          <cell r="C489">
            <v>9.6073972602739719</v>
          </cell>
        </row>
        <row r="490">
          <cell r="B490">
            <v>1.3396999999999999</v>
          </cell>
          <cell r="C490">
            <v>9.6079452054794512</v>
          </cell>
        </row>
        <row r="491">
          <cell r="B491">
            <v>1.3425</v>
          </cell>
          <cell r="C491">
            <v>9.6084931506849305</v>
          </cell>
        </row>
        <row r="492">
          <cell r="B492">
            <v>1.3452</v>
          </cell>
          <cell r="C492">
            <v>9.6090410958904098</v>
          </cell>
        </row>
        <row r="493">
          <cell r="B493">
            <v>1.3479000000000001</v>
          </cell>
          <cell r="C493">
            <v>9.6095890410958891</v>
          </cell>
        </row>
        <row r="494">
          <cell r="B494">
            <v>1.3507</v>
          </cell>
          <cell r="C494">
            <v>9.6101369863013701</v>
          </cell>
        </row>
        <row r="495">
          <cell r="B495">
            <v>1.3533999999999999</v>
          </cell>
          <cell r="C495">
            <v>9.6106849315068494</v>
          </cell>
        </row>
        <row r="496">
          <cell r="B496">
            <v>1.3562000000000001</v>
          </cell>
          <cell r="C496">
            <v>9.6112328767123287</v>
          </cell>
        </row>
        <row r="497">
          <cell r="B497">
            <v>1.3589</v>
          </cell>
          <cell r="C497">
            <v>9.611780821917808</v>
          </cell>
        </row>
        <row r="498">
          <cell r="B498">
            <v>1.3615999999999999</v>
          </cell>
          <cell r="C498">
            <v>9.6123287671232873</v>
          </cell>
        </row>
        <row r="499">
          <cell r="B499">
            <v>1.3644000000000001</v>
          </cell>
          <cell r="C499">
            <v>9.6128767123287666</v>
          </cell>
        </row>
        <row r="500">
          <cell r="B500">
            <v>1.3671</v>
          </cell>
          <cell r="C500">
            <v>9.6134246575342459</v>
          </cell>
        </row>
        <row r="501">
          <cell r="B501">
            <v>1.3698999999999999</v>
          </cell>
          <cell r="C501">
            <v>9.6139726027397252</v>
          </cell>
        </row>
        <row r="502">
          <cell r="B502">
            <v>1.3726</v>
          </cell>
          <cell r="C502">
            <v>9.6145205479452045</v>
          </cell>
        </row>
        <row r="503">
          <cell r="B503">
            <v>1.3753</v>
          </cell>
          <cell r="C503">
            <v>9.6150684931506838</v>
          </cell>
        </row>
        <row r="504">
          <cell r="B504">
            <v>1.3781000000000001</v>
          </cell>
          <cell r="C504">
            <v>9.6156164383561631</v>
          </cell>
        </row>
        <row r="505">
          <cell r="B505">
            <v>1.3808</v>
          </cell>
          <cell r="C505">
            <v>9.6161643835616442</v>
          </cell>
        </row>
        <row r="506">
          <cell r="B506">
            <v>1.3835999999999999</v>
          </cell>
          <cell r="C506">
            <v>9.6167123287671235</v>
          </cell>
        </row>
        <row r="507">
          <cell r="B507">
            <v>1.3863000000000001</v>
          </cell>
          <cell r="C507">
            <v>9.6172602739726027</v>
          </cell>
        </row>
        <row r="508">
          <cell r="B508">
            <v>1.389</v>
          </cell>
          <cell r="C508">
            <v>9.617808219178082</v>
          </cell>
        </row>
        <row r="509">
          <cell r="B509">
            <v>1.3917999999999999</v>
          </cell>
          <cell r="C509">
            <v>9.6183561643835613</v>
          </cell>
        </row>
        <row r="510">
          <cell r="B510">
            <v>1.3945000000000001</v>
          </cell>
          <cell r="C510">
            <v>9.6189041095890406</v>
          </cell>
        </row>
        <row r="511">
          <cell r="B511">
            <v>1.3973</v>
          </cell>
          <cell r="C511">
            <v>9.6194520547945199</v>
          </cell>
        </row>
        <row r="512">
          <cell r="B512">
            <v>1.4</v>
          </cell>
          <cell r="C512">
            <v>9.6199999999999992</v>
          </cell>
        </row>
        <row r="513">
          <cell r="B513">
            <v>1.4027000000000001</v>
          </cell>
          <cell r="C513">
            <v>9.6205479452054785</v>
          </cell>
        </row>
        <row r="514">
          <cell r="B514">
            <v>1.4055</v>
          </cell>
          <cell r="C514">
            <v>9.6210958904109578</v>
          </cell>
        </row>
        <row r="515">
          <cell r="B515">
            <v>1.4081999999999999</v>
          </cell>
          <cell r="C515">
            <v>9.6216438356164371</v>
          </cell>
        </row>
        <row r="516">
          <cell r="B516">
            <v>1.411</v>
          </cell>
          <cell r="C516">
            <v>9.6221917808219182</v>
          </cell>
        </row>
        <row r="517">
          <cell r="B517">
            <v>1.4137</v>
          </cell>
          <cell r="C517">
            <v>9.6227397260273975</v>
          </cell>
        </row>
        <row r="518">
          <cell r="B518">
            <v>1.4164000000000001</v>
          </cell>
          <cell r="C518">
            <v>9.6232876712328768</v>
          </cell>
        </row>
        <row r="519">
          <cell r="B519">
            <v>1.4192</v>
          </cell>
          <cell r="C519">
            <v>9.6238356164383561</v>
          </cell>
        </row>
        <row r="520">
          <cell r="B520">
            <v>1.4218999999999999</v>
          </cell>
          <cell r="C520">
            <v>9.6243835616438353</v>
          </cell>
        </row>
        <row r="521">
          <cell r="B521">
            <v>1.4247000000000001</v>
          </cell>
          <cell r="C521">
            <v>9.6249315068493146</v>
          </cell>
        </row>
        <row r="522">
          <cell r="B522">
            <v>1.4274</v>
          </cell>
          <cell r="C522">
            <v>9.6254794520547939</v>
          </cell>
        </row>
        <row r="523">
          <cell r="B523">
            <v>1.4300999999999999</v>
          </cell>
          <cell r="C523">
            <v>9.6260273972602732</v>
          </cell>
        </row>
        <row r="524">
          <cell r="B524">
            <v>1.4329000000000001</v>
          </cell>
          <cell r="C524">
            <v>9.6265753424657525</v>
          </cell>
        </row>
        <row r="525">
          <cell r="B525">
            <v>1.4356</v>
          </cell>
          <cell r="C525">
            <v>9.6271232876712318</v>
          </cell>
        </row>
        <row r="526">
          <cell r="B526">
            <v>1.4383999999999999</v>
          </cell>
          <cell r="C526">
            <v>9.6276712328767111</v>
          </cell>
        </row>
        <row r="527">
          <cell r="B527">
            <v>1.4411</v>
          </cell>
          <cell r="C527">
            <v>9.6282191780821922</v>
          </cell>
        </row>
        <row r="528">
          <cell r="B528">
            <v>1.4438</v>
          </cell>
          <cell r="C528">
            <v>9.6287671232876715</v>
          </cell>
        </row>
        <row r="529">
          <cell r="B529">
            <v>1.4466000000000001</v>
          </cell>
          <cell r="C529">
            <v>9.6293150684931508</v>
          </cell>
        </row>
        <row r="530">
          <cell r="B530">
            <v>1.4493</v>
          </cell>
          <cell r="C530">
            <v>9.6298630136986301</v>
          </cell>
        </row>
        <row r="531">
          <cell r="B531">
            <v>1.4520999999999999</v>
          </cell>
          <cell r="C531">
            <v>9.6304109589041094</v>
          </cell>
        </row>
        <row r="532">
          <cell r="B532">
            <v>1.4548000000000001</v>
          </cell>
          <cell r="C532">
            <v>9.6309589041095887</v>
          </cell>
        </row>
        <row r="533">
          <cell r="B533">
            <v>1.4575</v>
          </cell>
          <cell r="C533">
            <v>9.631506849315068</v>
          </cell>
        </row>
        <row r="534">
          <cell r="B534">
            <v>1.4602999999999999</v>
          </cell>
          <cell r="C534">
            <v>9.6320547945205472</v>
          </cell>
        </row>
        <row r="535">
          <cell r="B535">
            <v>1.4630000000000001</v>
          </cell>
          <cell r="C535">
            <v>9.6326027397260265</v>
          </cell>
        </row>
        <row r="536">
          <cell r="B536">
            <v>1.4658</v>
          </cell>
          <cell r="C536">
            <v>9.6331506849315058</v>
          </cell>
        </row>
        <row r="537">
          <cell r="B537">
            <v>1.4684999999999999</v>
          </cell>
          <cell r="C537">
            <v>9.6336986301369851</v>
          </cell>
        </row>
        <row r="538">
          <cell r="B538">
            <v>1.4712000000000001</v>
          </cell>
          <cell r="C538">
            <v>9.6342465753424662</v>
          </cell>
        </row>
        <row r="539">
          <cell r="B539">
            <v>1.474</v>
          </cell>
          <cell r="C539">
            <v>9.6347945205479455</v>
          </cell>
        </row>
        <row r="540">
          <cell r="B540">
            <v>1.4766999999999999</v>
          </cell>
          <cell r="C540">
            <v>9.6353424657534248</v>
          </cell>
        </row>
        <row r="541">
          <cell r="B541">
            <v>1.4795</v>
          </cell>
          <cell r="C541">
            <v>9.6358904109589041</v>
          </cell>
        </row>
        <row r="542">
          <cell r="B542">
            <v>1.4822</v>
          </cell>
          <cell r="C542">
            <v>9.6364383561643834</v>
          </cell>
        </row>
        <row r="543">
          <cell r="B543">
            <v>1.4849000000000001</v>
          </cell>
          <cell r="C543">
            <v>9.6369863013698627</v>
          </cell>
        </row>
        <row r="544">
          <cell r="B544">
            <v>1.4877</v>
          </cell>
          <cell r="C544">
            <v>9.637534246575342</v>
          </cell>
        </row>
        <row r="545">
          <cell r="B545">
            <v>1.4903999999999999</v>
          </cell>
          <cell r="C545">
            <v>9.6380821917808213</v>
          </cell>
        </row>
        <row r="546">
          <cell r="B546">
            <v>1.4932000000000001</v>
          </cell>
          <cell r="C546">
            <v>9.6386301369863006</v>
          </cell>
        </row>
        <row r="547">
          <cell r="B547">
            <v>1.4959</v>
          </cell>
          <cell r="C547">
            <v>9.6391780821917799</v>
          </cell>
        </row>
        <row r="548">
          <cell r="B548">
            <v>1.4985999999999999</v>
          </cell>
          <cell r="C548">
            <v>9.6397260273972591</v>
          </cell>
        </row>
        <row r="549">
          <cell r="B549">
            <v>1.5014000000000001</v>
          </cell>
          <cell r="C549">
            <v>9.6402739726027402</v>
          </cell>
        </row>
        <row r="550">
          <cell r="B550">
            <v>1.5041</v>
          </cell>
          <cell r="C550">
            <v>9.6408219178082195</v>
          </cell>
        </row>
        <row r="551">
          <cell r="B551">
            <v>1.5067999999999999</v>
          </cell>
          <cell r="C551">
            <v>9.6413698630136988</v>
          </cell>
        </row>
        <row r="552">
          <cell r="B552">
            <v>1.5096000000000001</v>
          </cell>
          <cell r="C552">
            <v>9.6419178082191781</v>
          </cell>
        </row>
        <row r="553">
          <cell r="B553">
            <v>1.5123</v>
          </cell>
          <cell r="C553">
            <v>9.6424657534246574</v>
          </cell>
        </row>
        <row r="554">
          <cell r="B554">
            <v>1.5150999999999999</v>
          </cell>
          <cell r="C554">
            <v>9.6430136986301367</v>
          </cell>
        </row>
        <row r="555">
          <cell r="B555">
            <v>1.5178</v>
          </cell>
          <cell r="C555">
            <v>9.643561643835616</v>
          </cell>
        </row>
        <row r="556">
          <cell r="B556">
            <v>1.5205</v>
          </cell>
          <cell r="C556">
            <v>9.6441095890410953</v>
          </cell>
        </row>
        <row r="557">
          <cell r="B557">
            <v>1.5233000000000001</v>
          </cell>
          <cell r="C557">
            <v>9.6446575342465746</v>
          </cell>
        </row>
        <row r="558">
          <cell r="B558">
            <v>1.526</v>
          </cell>
          <cell r="C558">
            <v>9.6452054794520539</v>
          </cell>
        </row>
        <row r="559">
          <cell r="B559">
            <v>1.5287999999999999</v>
          </cell>
          <cell r="C559">
            <v>9.6457534246575332</v>
          </cell>
        </row>
        <row r="560">
          <cell r="B560">
            <v>1.5315000000000001</v>
          </cell>
          <cell r="C560">
            <v>9.6463013698630142</v>
          </cell>
        </row>
        <row r="561">
          <cell r="B561">
            <v>1.5342</v>
          </cell>
          <cell r="C561">
            <v>9.6468493150684935</v>
          </cell>
        </row>
        <row r="562">
          <cell r="B562">
            <v>1.5369999999999999</v>
          </cell>
          <cell r="C562">
            <v>9.6473972602739728</v>
          </cell>
        </row>
        <row r="563">
          <cell r="B563">
            <v>1.5397000000000001</v>
          </cell>
          <cell r="C563">
            <v>9.6479452054794521</v>
          </cell>
        </row>
        <row r="564">
          <cell r="B564">
            <v>1.5425</v>
          </cell>
          <cell r="C564">
            <v>9.6484931506849314</v>
          </cell>
        </row>
        <row r="565">
          <cell r="B565">
            <v>1.5451999999999999</v>
          </cell>
          <cell r="C565">
            <v>9.6490410958904107</v>
          </cell>
        </row>
        <row r="566">
          <cell r="B566">
            <v>1.5479000000000001</v>
          </cell>
          <cell r="C566">
            <v>9.64958904109589</v>
          </cell>
        </row>
        <row r="567">
          <cell r="B567">
            <v>1.5507</v>
          </cell>
          <cell r="C567">
            <v>9.6501369863013693</v>
          </cell>
        </row>
        <row r="568">
          <cell r="B568">
            <v>1.5533999999999999</v>
          </cell>
          <cell r="C568">
            <v>9.6506849315068486</v>
          </cell>
        </row>
        <row r="569">
          <cell r="B569">
            <v>1.5562</v>
          </cell>
          <cell r="C569">
            <v>9.6512328767123279</v>
          </cell>
        </row>
        <row r="570">
          <cell r="B570">
            <v>1.5589</v>
          </cell>
          <cell r="C570">
            <v>9.6517808219178072</v>
          </cell>
        </row>
        <row r="571">
          <cell r="B571">
            <v>1.5616000000000001</v>
          </cell>
          <cell r="C571">
            <v>9.6523287671232882</v>
          </cell>
        </row>
        <row r="572">
          <cell r="B572">
            <v>1.5644</v>
          </cell>
          <cell r="C572">
            <v>9.6528767123287675</v>
          </cell>
        </row>
        <row r="573">
          <cell r="B573">
            <v>1.5670999999999999</v>
          </cell>
          <cell r="C573">
            <v>9.6534246575342468</v>
          </cell>
        </row>
        <row r="574">
          <cell r="B574">
            <v>1.5699000000000001</v>
          </cell>
          <cell r="C574">
            <v>9.6539726027397261</v>
          </cell>
        </row>
        <row r="575">
          <cell r="B575">
            <v>1.5726</v>
          </cell>
          <cell r="C575">
            <v>9.6545205479452054</v>
          </cell>
        </row>
        <row r="576">
          <cell r="B576">
            <v>1.5752999999999999</v>
          </cell>
          <cell r="C576">
            <v>9.6550684931506847</v>
          </cell>
        </row>
        <row r="577">
          <cell r="B577">
            <v>1.5781000000000001</v>
          </cell>
          <cell r="C577">
            <v>9.655616438356164</v>
          </cell>
        </row>
        <row r="578">
          <cell r="B578">
            <v>1.5808</v>
          </cell>
          <cell r="C578">
            <v>9.6561643835616433</v>
          </cell>
        </row>
        <row r="579">
          <cell r="B579">
            <v>1.5835999999999999</v>
          </cell>
          <cell r="C579">
            <v>9.6567123287671226</v>
          </cell>
        </row>
        <row r="580">
          <cell r="B580">
            <v>1.5863</v>
          </cell>
          <cell r="C580">
            <v>9.6572602739726019</v>
          </cell>
        </row>
        <row r="581">
          <cell r="B581">
            <v>1.589</v>
          </cell>
          <cell r="C581">
            <v>9.6578082191780812</v>
          </cell>
        </row>
        <row r="582">
          <cell r="B582">
            <v>1.5918000000000001</v>
          </cell>
          <cell r="C582">
            <v>9.6583561643835623</v>
          </cell>
        </row>
        <row r="583">
          <cell r="B583">
            <v>1.5945</v>
          </cell>
          <cell r="C583">
            <v>9.6589041095890416</v>
          </cell>
        </row>
        <row r="584">
          <cell r="B584">
            <v>1.5972999999999999</v>
          </cell>
          <cell r="C584">
            <v>9.6594520547945208</v>
          </cell>
        </row>
        <row r="585">
          <cell r="B585">
            <v>1.6</v>
          </cell>
          <cell r="C585">
            <v>9.66</v>
          </cell>
        </row>
        <row r="586">
          <cell r="B586">
            <v>1.6027</v>
          </cell>
          <cell r="C586">
            <v>9.6605479452054794</v>
          </cell>
        </row>
        <row r="587">
          <cell r="B587">
            <v>1.6054999999999999</v>
          </cell>
          <cell r="C587">
            <v>9.6610958904109587</v>
          </cell>
        </row>
        <row r="588">
          <cell r="B588">
            <v>1.6082000000000001</v>
          </cell>
          <cell r="C588">
            <v>9.661643835616438</v>
          </cell>
        </row>
        <row r="589">
          <cell r="B589">
            <v>1.611</v>
          </cell>
          <cell r="C589">
            <v>9.6621917808219173</v>
          </cell>
        </row>
        <row r="590">
          <cell r="B590">
            <v>1.6136999999999999</v>
          </cell>
          <cell r="C590">
            <v>9.6627397260273966</v>
          </cell>
        </row>
        <row r="591">
          <cell r="B591">
            <v>1.6164000000000001</v>
          </cell>
          <cell r="C591">
            <v>9.6632876712328759</v>
          </cell>
        </row>
        <row r="592">
          <cell r="B592">
            <v>1.6192</v>
          </cell>
          <cell r="C592">
            <v>9.6638356164383552</v>
          </cell>
        </row>
        <row r="593">
          <cell r="B593">
            <v>1.6218999999999999</v>
          </cell>
          <cell r="C593">
            <v>9.6643835616438363</v>
          </cell>
        </row>
        <row r="594">
          <cell r="B594">
            <v>1.6247</v>
          </cell>
          <cell r="C594">
            <v>9.6649315068493156</v>
          </cell>
        </row>
        <row r="595">
          <cell r="B595">
            <v>1.6274</v>
          </cell>
          <cell r="C595">
            <v>9.6654794520547949</v>
          </cell>
        </row>
        <row r="596">
          <cell r="B596">
            <v>1.6301000000000001</v>
          </cell>
          <cell r="C596">
            <v>9.6660273972602742</v>
          </cell>
        </row>
        <row r="597">
          <cell r="B597">
            <v>1.6329</v>
          </cell>
          <cell r="C597">
            <v>9.6665753424657535</v>
          </cell>
        </row>
        <row r="598">
          <cell r="B598">
            <v>1.6355999999999999</v>
          </cell>
          <cell r="C598">
            <v>9.6671232876712327</v>
          </cell>
        </row>
        <row r="599">
          <cell r="B599">
            <v>1.6384000000000001</v>
          </cell>
          <cell r="C599">
            <v>9.667671232876712</v>
          </cell>
        </row>
        <row r="600">
          <cell r="B600">
            <v>1.6411</v>
          </cell>
          <cell r="C600">
            <v>9.6682191780821913</v>
          </cell>
        </row>
        <row r="601">
          <cell r="B601">
            <v>1.6437999999999999</v>
          </cell>
          <cell r="C601">
            <v>9.6687671232876706</v>
          </cell>
        </row>
        <row r="602">
          <cell r="B602">
            <v>1.6466000000000001</v>
          </cell>
          <cell r="C602">
            <v>9.6693150684931499</v>
          </cell>
        </row>
        <row r="603">
          <cell r="B603">
            <v>1.6493</v>
          </cell>
          <cell r="C603">
            <v>9.6698630136986292</v>
          </cell>
        </row>
        <row r="604">
          <cell r="B604">
            <v>1.6520999999999999</v>
          </cell>
          <cell r="C604">
            <v>9.6704109589041103</v>
          </cell>
        </row>
        <row r="605">
          <cell r="B605">
            <v>1.6548</v>
          </cell>
          <cell r="C605">
            <v>9.6709589041095896</v>
          </cell>
        </row>
        <row r="606">
          <cell r="B606">
            <v>1.6575</v>
          </cell>
          <cell r="C606">
            <v>9.6715068493150689</v>
          </cell>
        </row>
        <row r="607">
          <cell r="B607">
            <v>1.6603000000000001</v>
          </cell>
          <cell r="C607">
            <v>9.6720547945205482</v>
          </cell>
        </row>
        <row r="608">
          <cell r="B608">
            <v>1.663</v>
          </cell>
          <cell r="C608">
            <v>9.6726027397260275</v>
          </cell>
        </row>
        <row r="609">
          <cell r="B609">
            <v>1.6657999999999999</v>
          </cell>
          <cell r="C609">
            <v>9.6731506849315068</v>
          </cell>
        </row>
        <row r="610">
          <cell r="B610">
            <v>1.6685000000000001</v>
          </cell>
          <cell r="C610">
            <v>9.6736986301369861</v>
          </cell>
        </row>
        <row r="611">
          <cell r="B611">
            <v>1.6712</v>
          </cell>
          <cell r="C611">
            <v>9.6742465753424653</v>
          </cell>
        </row>
        <row r="612">
          <cell r="B612">
            <v>1.6739999999999999</v>
          </cell>
          <cell r="C612">
            <v>9.6747945205479446</v>
          </cell>
        </row>
        <row r="613">
          <cell r="B613">
            <v>1.6767000000000001</v>
          </cell>
          <cell r="C613">
            <v>9.6753424657534239</v>
          </cell>
        </row>
        <row r="614">
          <cell r="B614">
            <v>1.6795</v>
          </cell>
          <cell r="C614">
            <v>9.6758904109589032</v>
          </cell>
        </row>
        <row r="615">
          <cell r="B615">
            <v>1.6821999999999999</v>
          </cell>
          <cell r="C615">
            <v>9.6764383561643843</v>
          </cell>
        </row>
        <row r="616">
          <cell r="B616">
            <v>1.6849000000000001</v>
          </cell>
          <cell r="C616">
            <v>9.6769863013698636</v>
          </cell>
        </row>
        <row r="617">
          <cell r="B617">
            <v>1.6877</v>
          </cell>
          <cell r="C617">
            <v>9.6775342465753429</v>
          </cell>
        </row>
        <row r="618">
          <cell r="B618">
            <v>1.6903999999999999</v>
          </cell>
          <cell r="C618">
            <v>9.6780821917808222</v>
          </cell>
        </row>
        <row r="619">
          <cell r="B619">
            <v>1.6932</v>
          </cell>
          <cell r="C619">
            <v>9.6786301369863015</v>
          </cell>
        </row>
        <row r="620">
          <cell r="B620">
            <v>1.6959</v>
          </cell>
          <cell r="C620">
            <v>9.6791780821917808</v>
          </cell>
        </row>
        <row r="621">
          <cell r="B621">
            <v>1.6986000000000001</v>
          </cell>
          <cell r="C621">
            <v>9.6797260273972601</v>
          </cell>
        </row>
        <row r="622">
          <cell r="B622">
            <v>1.7014</v>
          </cell>
          <cell r="C622">
            <v>9.6802739726027394</v>
          </cell>
        </row>
        <row r="623">
          <cell r="B623">
            <v>1.7040999999999999</v>
          </cell>
          <cell r="C623">
            <v>9.6808219178082187</v>
          </cell>
        </row>
        <row r="624">
          <cell r="B624">
            <v>1.7068000000000001</v>
          </cell>
          <cell r="C624">
            <v>9.681369863013698</v>
          </cell>
        </row>
        <row r="625">
          <cell r="B625">
            <v>1.7096</v>
          </cell>
          <cell r="C625">
            <v>9.6819178082191772</v>
          </cell>
        </row>
        <row r="626">
          <cell r="B626">
            <v>1.7122999999999999</v>
          </cell>
          <cell r="C626">
            <v>9.6824657534246583</v>
          </cell>
        </row>
        <row r="627">
          <cell r="B627">
            <v>1.7151000000000001</v>
          </cell>
          <cell r="C627">
            <v>9.6830136986301376</v>
          </cell>
        </row>
        <row r="628">
          <cell r="B628">
            <v>1.7178</v>
          </cell>
          <cell r="C628">
            <v>9.6835616438356169</v>
          </cell>
        </row>
        <row r="629">
          <cell r="B629">
            <v>1.7204999999999999</v>
          </cell>
          <cell r="C629">
            <v>9.6841095890410962</v>
          </cell>
        </row>
        <row r="630">
          <cell r="B630">
            <v>1.7233000000000001</v>
          </cell>
          <cell r="C630">
            <v>9.6846575342465755</v>
          </cell>
        </row>
        <row r="631">
          <cell r="B631">
            <v>1.726</v>
          </cell>
          <cell r="C631">
            <v>9.6852054794520548</v>
          </cell>
        </row>
        <row r="632">
          <cell r="B632">
            <v>1.7287999999999999</v>
          </cell>
          <cell r="C632">
            <v>9.6857534246575341</v>
          </cell>
        </row>
        <row r="633">
          <cell r="B633">
            <v>1.7315</v>
          </cell>
          <cell r="C633">
            <v>9.6863013698630134</v>
          </cell>
        </row>
        <row r="634">
          <cell r="B634">
            <v>1.7342</v>
          </cell>
          <cell r="C634">
            <v>9.6868493150684927</v>
          </cell>
        </row>
        <row r="635">
          <cell r="B635">
            <v>1.7370000000000001</v>
          </cell>
          <cell r="C635">
            <v>9.687397260273972</v>
          </cell>
        </row>
        <row r="636">
          <cell r="B636">
            <v>1.7397</v>
          </cell>
          <cell r="C636">
            <v>9.6879452054794513</v>
          </cell>
        </row>
        <row r="637">
          <cell r="B637">
            <v>1.7424999999999999</v>
          </cell>
          <cell r="C637">
            <v>9.6884931506849306</v>
          </cell>
        </row>
        <row r="638">
          <cell r="B638">
            <v>1.7452000000000001</v>
          </cell>
          <cell r="C638">
            <v>9.6890410958904116</v>
          </cell>
        </row>
        <row r="639">
          <cell r="B639">
            <v>1.7479</v>
          </cell>
          <cell r="C639">
            <v>9.6895890410958909</v>
          </cell>
        </row>
        <row r="640">
          <cell r="B640">
            <v>1.7506999999999999</v>
          </cell>
          <cell r="C640">
            <v>9.6901369863013702</v>
          </cell>
        </row>
        <row r="641">
          <cell r="B641">
            <v>1.7534000000000001</v>
          </cell>
          <cell r="C641">
            <v>9.6906849315068495</v>
          </cell>
        </row>
        <row r="642">
          <cell r="B642">
            <v>1.7562</v>
          </cell>
          <cell r="C642">
            <v>9.6912328767123288</v>
          </cell>
        </row>
        <row r="643">
          <cell r="B643">
            <v>1.7588999999999999</v>
          </cell>
          <cell r="C643">
            <v>9.6917808219178081</v>
          </cell>
        </row>
        <row r="644">
          <cell r="B644">
            <v>1.7616000000000001</v>
          </cell>
          <cell r="C644">
            <v>9.6923287671232874</v>
          </cell>
        </row>
        <row r="645">
          <cell r="B645">
            <v>1.7644</v>
          </cell>
          <cell r="C645">
            <v>9.6928767123287667</v>
          </cell>
        </row>
        <row r="646">
          <cell r="B646">
            <v>1.7670999999999999</v>
          </cell>
          <cell r="C646">
            <v>9.693424657534246</v>
          </cell>
        </row>
        <row r="647">
          <cell r="B647">
            <v>1.7699</v>
          </cell>
          <cell r="C647">
            <v>9.6939726027397253</v>
          </cell>
        </row>
        <row r="648">
          <cell r="B648">
            <v>1.7726</v>
          </cell>
          <cell r="C648">
            <v>9.6945205479452046</v>
          </cell>
        </row>
        <row r="649">
          <cell r="B649">
            <v>1.7753000000000001</v>
          </cell>
          <cell r="C649">
            <v>9.6950684931506856</v>
          </cell>
        </row>
        <row r="650">
          <cell r="B650">
            <v>1.7781</v>
          </cell>
          <cell r="C650">
            <v>9.6956164383561649</v>
          </cell>
        </row>
        <row r="651">
          <cell r="B651">
            <v>1.7807999999999999</v>
          </cell>
          <cell r="C651">
            <v>9.6961643835616442</v>
          </cell>
        </row>
        <row r="652">
          <cell r="B652">
            <v>1.7836000000000001</v>
          </cell>
          <cell r="C652">
            <v>9.6967123287671235</v>
          </cell>
        </row>
        <row r="653">
          <cell r="B653">
            <v>1.7863</v>
          </cell>
          <cell r="C653">
            <v>9.6972602739726028</v>
          </cell>
        </row>
        <row r="654">
          <cell r="B654">
            <v>1.7889999999999999</v>
          </cell>
          <cell r="C654">
            <v>9.6978082191780821</v>
          </cell>
        </row>
        <row r="655">
          <cell r="B655">
            <v>1.7918000000000001</v>
          </cell>
          <cell r="C655">
            <v>9.6983561643835614</v>
          </cell>
        </row>
        <row r="656">
          <cell r="B656">
            <v>1.7945</v>
          </cell>
          <cell r="C656">
            <v>9.6989041095890407</v>
          </cell>
        </row>
        <row r="657">
          <cell r="B657">
            <v>1.7972999999999999</v>
          </cell>
          <cell r="C657">
            <v>9.69945205479452</v>
          </cell>
        </row>
        <row r="658">
          <cell r="B658">
            <v>1.8</v>
          </cell>
          <cell r="C658">
            <v>9.6999999999999993</v>
          </cell>
        </row>
        <row r="659">
          <cell r="B659">
            <v>1.8027</v>
          </cell>
          <cell r="C659">
            <v>9.7005479452054786</v>
          </cell>
        </row>
        <row r="660">
          <cell r="B660">
            <v>1.8055000000000001</v>
          </cell>
          <cell r="C660">
            <v>9.7010958904109597</v>
          </cell>
        </row>
        <row r="661">
          <cell r="B661">
            <v>1.8082</v>
          </cell>
          <cell r="C661">
            <v>9.7016438356164389</v>
          </cell>
        </row>
        <row r="662">
          <cell r="B662">
            <v>1.8109999999999999</v>
          </cell>
          <cell r="C662">
            <v>9.7021917808219182</v>
          </cell>
        </row>
        <row r="663">
          <cell r="B663">
            <v>1.8137000000000001</v>
          </cell>
          <cell r="C663">
            <v>9.7027397260273975</v>
          </cell>
        </row>
        <row r="664">
          <cell r="B664">
            <v>1.8164</v>
          </cell>
          <cell r="C664">
            <v>9.7032876712328768</v>
          </cell>
        </row>
        <row r="665">
          <cell r="B665">
            <v>1.8191999999999999</v>
          </cell>
          <cell r="C665">
            <v>9.7038356164383561</v>
          </cell>
        </row>
        <row r="666">
          <cell r="B666">
            <v>1.8219000000000001</v>
          </cell>
          <cell r="C666">
            <v>9.7043835616438354</v>
          </cell>
        </row>
        <row r="667">
          <cell r="B667">
            <v>1.8247</v>
          </cell>
          <cell r="C667">
            <v>9.7049315068493147</v>
          </cell>
        </row>
        <row r="668">
          <cell r="B668">
            <v>1.8273999999999999</v>
          </cell>
          <cell r="C668">
            <v>9.705479452054794</v>
          </cell>
        </row>
        <row r="669">
          <cell r="B669">
            <v>1.8301000000000001</v>
          </cell>
          <cell r="C669">
            <v>9.7060273972602733</v>
          </cell>
        </row>
        <row r="670">
          <cell r="B670">
            <v>1.8329</v>
          </cell>
          <cell r="C670">
            <v>9.7065753424657526</v>
          </cell>
        </row>
        <row r="671">
          <cell r="B671">
            <v>1.8355999999999999</v>
          </cell>
          <cell r="C671">
            <v>9.7071232876712337</v>
          </cell>
        </row>
        <row r="672">
          <cell r="B672">
            <v>1.8384</v>
          </cell>
          <cell r="C672">
            <v>9.707671232876713</v>
          </cell>
        </row>
        <row r="673">
          <cell r="B673">
            <v>1.8411</v>
          </cell>
          <cell r="C673">
            <v>9.7082191780821923</v>
          </cell>
        </row>
        <row r="674">
          <cell r="B674">
            <v>1.8438000000000001</v>
          </cell>
          <cell r="C674">
            <v>9.7087671232876716</v>
          </cell>
        </row>
        <row r="675">
          <cell r="B675">
            <v>1.8466</v>
          </cell>
          <cell r="C675">
            <v>9.7093150684931508</v>
          </cell>
        </row>
        <row r="676">
          <cell r="B676">
            <v>1.8492999999999999</v>
          </cell>
          <cell r="C676">
            <v>9.7098630136986301</v>
          </cell>
        </row>
        <row r="677">
          <cell r="B677">
            <v>1.8521000000000001</v>
          </cell>
          <cell r="C677">
            <v>9.7104109589041094</v>
          </cell>
        </row>
        <row r="678">
          <cell r="B678">
            <v>1.8548</v>
          </cell>
          <cell r="C678">
            <v>9.7109589041095887</v>
          </cell>
        </row>
        <row r="679">
          <cell r="B679">
            <v>1.8574999999999999</v>
          </cell>
          <cell r="C679">
            <v>9.711506849315068</v>
          </cell>
        </row>
        <row r="680">
          <cell r="B680">
            <v>1.8603000000000001</v>
          </cell>
          <cell r="C680">
            <v>9.7120547945205473</v>
          </cell>
        </row>
        <row r="681">
          <cell r="B681">
            <v>1.863</v>
          </cell>
          <cell r="C681">
            <v>9.7126027397260266</v>
          </cell>
        </row>
        <row r="682">
          <cell r="B682">
            <v>1.8657999999999999</v>
          </cell>
          <cell r="C682">
            <v>9.7131506849315077</v>
          </cell>
        </row>
        <row r="683">
          <cell r="B683">
            <v>1.8685</v>
          </cell>
          <cell r="C683">
            <v>9.713698630136987</v>
          </cell>
        </row>
        <row r="684">
          <cell r="B684">
            <v>1.8712</v>
          </cell>
          <cell r="C684">
            <v>9.7142465753424663</v>
          </cell>
        </row>
        <row r="685">
          <cell r="B685">
            <v>1.8740000000000001</v>
          </cell>
          <cell r="C685">
            <v>9.7147945205479456</v>
          </cell>
        </row>
        <row r="686">
          <cell r="B686">
            <v>1.8767</v>
          </cell>
          <cell r="C686">
            <v>9.7153424657534249</v>
          </cell>
        </row>
        <row r="687">
          <cell r="B687">
            <v>1.8794999999999999</v>
          </cell>
          <cell r="C687">
            <v>9.7158904109589042</v>
          </cell>
        </row>
        <row r="688">
          <cell r="B688">
            <v>1.8822000000000001</v>
          </cell>
          <cell r="C688">
            <v>9.7164383561643834</v>
          </cell>
        </row>
        <row r="689">
          <cell r="B689">
            <v>1.8849</v>
          </cell>
          <cell r="C689">
            <v>9.7169863013698627</v>
          </cell>
        </row>
        <row r="690">
          <cell r="B690">
            <v>1.8876999999999999</v>
          </cell>
          <cell r="C690">
            <v>9.717534246575342</v>
          </cell>
        </row>
        <row r="691">
          <cell r="B691">
            <v>1.8904000000000001</v>
          </cell>
          <cell r="C691">
            <v>9.7180821917808213</v>
          </cell>
        </row>
        <row r="692">
          <cell r="B692">
            <v>1.8932</v>
          </cell>
          <cell r="C692">
            <v>9.7186301369863006</v>
          </cell>
        </row>
        <row r="693">
          <cell r="B693">
            <v>1.8958999999999999</v>
          </cell>
          <cell r="C693">
            <v>9.7191780821917817</v>
          </cell>
        </row>
        <row r="694">
          <cell r="B694">
            <v>1.8986000000000001</v>
          </cell>
          <cell r="C694">
            <v>9.719726027397261</v>
          </cell>
        </row>
        <row r="695">
          <cell r="B695">
            <v>1.9014</v>
          </cell>
          <cell r="C695">
            <v>9.7202739726027403</v>
          </cell>
        </row>
        <row r="696">
          <cell r="B696">
            <v>1.9040999999999999</v>
          </cell>
          <cell r="C696">
            <v>9.7208219178082196</v>
          </cell>
        </row>
        <row r="697">
          <cell r="B697">
            <v>1.9068000000000001</v>
          </cell>
          <cell r="C697">
            <v>9.7213698630136989</v>
          </cell>
        </row>
        <row r="698">
          <cell r="B698">
            <v>1.9096</v>
          </cell>
          <cell r="C698">
            <v>9.7219178082191782</v>
          </cell>
        </row>
        <row r="699">
          <cell r="B699">
            <v>1.9123000000000001</v>
          </cell>
          <cell r="C699">
            <v>9.7224657534246575</v>
          </cell>
        </row>
        <row r="700">
          <cell r="B700">
            <v>1.9151</v>
          </cell>
          <cell r="C700">
            <v>9.7230136986301368</v>
          </cell>
        </row>
        <row r="701">
          <cell r="B701">
            <v>1.9177999999999999</v>
          </cell>
          <cell r="C701">
            <v>9.7235616438356161</v>
          </cell>
        </row>
        <row r="702">
          <cell r="B702">
            <v>1.9205000000000001</v>
          </cell>
          <cell r="C702">
            <v>9.7241095890410953</v>
          </cell>
        </row>
        <row r="703">
          <cell r="B703">
            <v>1.9233</v>
          </cell>
          <cell r="C703">
            <v>9.7246575342465746</v>
          </cell>
        </row>
        <row r="704">
          <cell r="B704">
            <v>1.9259999999999999</v>
          </cell>
          <cell r="C704">
            <v>9.7252054794520557</v>
          </cell>
        </row>
        <row r="705">
          <cell r="B705">
            <v>1.9288000000000001</v>
          </cell>
          <cell r="C705">
            <v>9.725753424657535</v>
          </cell>
        </row>
        <row r="706">
          <cell r="B706">
            <v>1.9315</v>
          </cell>
          <cell r="C706">
            <v>9.7263013698630143</v>
          </cell>
        </row>
        <row r="707">
          <cell r="B707">
            <v>1.9341999999999999</v>
          </cell>
          <cell r="C707">
            <v>9.7268493150684936</v>
          </cell>
        </row>
        <row r="708">
          <cell r="B708">
            <v>1.9370000000000001</v>
          </cell>
          <cell r="C708">
            <v>9.7273972602739729</v>
          </cell>
        </row>
        <row r="709">
          <cell r="B709">
            <v>1.9397</v>
          </cell>
          <cell r="C709">
            <v>9.7279452054794522</v>
          </cell>
        </row>
        <row r="710">
          <cell r="B710">
            <v>1.9424999999999999</v>
          </cell>
          <cell r="C710">
            <v>9.7284931506849315</v>
          </cell>
        </row>
        <row r="711">
          <cell r="B711">
            <v>1.9452</v>
          </cell>
          <cell r="C711">
            <v>9.7290410958904108</v>
          </cell>
        </row>
        <row r="712">
          <cell r="B712">
            <v>1.9479</v>
          </cell>
          <cell r="C712">
            <v>9.7295890410958901</v>
          </cell>
        </row>
        <row r="713">
          <cell r="B713">
            <v>1.9507000000000001</v>
          </cell>
          <cell r="C713">
            <v>9.7301369863013694</v>
          </cell>
        </row>
        <row r="714">
          <cell r="B714">
            <v>1.9534</v>
          </cell>
          <cell r="C714">
            <v>9.7306849315068487</v>
          </cell>
        </row>
        <row r="715">
          <cell r="B715">
            <v>1.9561999999999999</v>
          </cell>
          <cell r="C715">
            <v>9.7312328767123297</v>
          </cell>
        </row>
        <row r="716">
          <cell r="B716">
            <v>1.9589000000000001</v>
          </cell>
          <cell r="C716">
            <v>9.731780821917809</v>
          </cell>
        </row>
        <row r="717">
          <cell r="B717">
            <v>1.9616</v>
          </cell>
          <cell r="C717">
            <v>9.7323287671232883</v>
          </cell>
        </row>
        <row r="718">
          <cell r="B718">
            <v>1.9643999999999999</v>
          </cell>
          <cell r="C718">
            <v>9.7328767123287676</v>
          </cell>
        </row>
        <row r="719">
          <cell r="B719">
            <v>1.9671000000000001</v>
          </cell>
          <cell r="C719">
            <v>9.7334246575342469</v>
          </cell>
        </row>
        <row r="720">
          <cell r="B720">
            <v>1.9699</v>
          </cell>
          <cell r="C720">
            <v>9.7339726027397262</v>
          </cell>
        </row>
        <row r="721">
          <cell r="B721">
            <v>1.9725999999999999</v>
          </cell>
          <cell r="C721">
            <v>9.7345205479452055</v>
          </cell>
        </row>
        <row r="722">
          <cell r="B722">
            <v>1.9753000000000001</v>
          </cell>
          <cell r="C722">
            <v>9.7350684931506848</v>
          </cell>
        </row>
        <row r="723">
          <cell r="B723">
            <v>1.9781</v>
          </cell>
          <cell r="C723">
            <v>9.7356164383561641</v>
          </cell>
        </row>
        <row r="724">
          <cell r="B724">
            <v>1.9807999999999999</v>
          </cell>
          <cell r="C724">
            <v>9.7361643835616434</v>
          </cell>
        </row>
        <row r="725">
          <cell r="B725">
            <v>1.9836</v>
          </cell>
          <cell r="C725">
            <v>9.7367123287671227</v>
          </cell>
        </row>
        <row r="726">
          <cell r="B726">
            <v>1.9863</v>
          </cell>
          <cell r="C726">
            <v>9.7372602739726037</v>
          </cell>
        </row>
        <row r="727">
          <cell r="B727">
            <v>1.9890000000000001</v>
          </cell>
          <cell r="C727">
            <v>9.737808219178083</v>
          </cell>
        </row>
        <row r="728">
          <cell r="B728">
            <v>1.9918</v>
          </cell>
          <cell r="C728">
            <v>9.7383561643835623</v>
          </cell>
        </row>
        <row r="729">
          <cell r="B729">
            <v>1.9944999999999999</v>
          </cell>
          <cell r="C729">
            <v>9.7389041095890416</v>
          </cell>
        </row>
        <row r="730">
          <cell r="B730">
            <v>1.9973000000000001</v>
          </cell>
          <cell r="C730">
            <v>9.7394520547945209</v>
          </cell>
        </row>
        <row r="731">
          <cell r="B731">
            <v>2</v>
          </cell>
          <cell r="C731">
            <v>9.74</v>
          </cell>
        </row>
        <row r="732">
          <cell r="B732">
            <v>2.0026999999999999</v>
          </cell>
          <cell r="C732">
            <v>9.7404657534246581</v>
          </cell>
        </row>
        <row r="733">
          <cell r="B733">
            <v>2.0055000000000001</v>
          </cell>
          <cell r="C733">
            <v>9.7409315068493161</v>
          </cell>
        </row>
        <row r="734">
          <cell r="B734">
            <v>2.0082</v>
          </cell>
          <cell r="C734">
            <v>9.7413972602739722</v>
          </cell>
        </row>
        <row r="735">
          <cell r="B735">
            <v>2.0110000000000001</v>
          </cell>
          <cell r="C735">
            <v>9.7418630136986302</v>
          </cell>
        </row>
        <row r="736">
          <cell r="B736">
            <v>2.0137</v>
          </cell>
          <cell r="C736">
            <v>9.7423287671232881</v>
          </cell>
        </row>
        <row r="737">
          <cell r="B737">
            <v>2.0164</v>
          </cell>
          <cell r="C737">
            <v>9.742794520547946</v>
          </cell>
        </row>
        <row r="738">
          <cell r="B738">
            <v>2.0192000000000001</v>
          </cell>
          <cell r="C738">
            <v>9.7432602739726022</v>
          </cell>
        </row>
        <row r="739">
          <cell r="B739">
            <v>2.0219</v>
          </cell>
          <cell r="C739">
            <v>9.7437260273972601</v>
          </cell>
        </row>
        <row r="740">
          <cell r="B740">
            <v>2.0247000000000002</v>
          </cell>
          <cell r="C740">
            <v>9.7441917808219181</v>
          </cell>
        </row>
        <row r="741">
          <cell r="B741">
            <v>2.0274000000000001</v>
          </cell>
          <cell r="C741">
            <v>9.744657534246576</v>
          </cell>
        </row>
        <row r="742">
          <cell r="B742">
            <v>2.0301</v>
          </cell>
          <cell r="C742">
            <v>9.7451232876712339</v>
          </cell>
        </row>
        <row r="743">
          <cell r="B743">
            <v>2.0329000000000002</v>
          </cell>
          <cell r="C743">
            <v>9.7455890410958901</v>
          </cell>
        </row>
        <row r="744">
          <cell r="B744">
            <v>2.0356000000000001</v>
          </cell>
          <cell r="C744">
            <v>9.746054794520548</v>
          </cell>
        </row>
        <row r="745">
          <cell r="B745">
            <v>2.0384000000000002</v>
          </cell>
          <cell r="C745">
            <v>9.7465205479452059</v>
          </cell>
        </row>
        <row r="746">
          <cell r="B746">
            <v>2.0411000000000001</v>
          </cell>
          <cell r="C746">
            <v>9.7469863013698639</v>
          </cell>
        </row>
        <row r="747">
          <cell r="B747">
            <v>2.0438000000000001</v>
          </cell>
          <cell r="C747">
            <v>9.74745205479452</v>
          </cell>
        </row>
        <row r="748">
          <cell r="B748">
            <v>2.0466000000000002</v>
          </cell>
          <cell r="C748">
            <v>9.747917808219178</v>
          </cell>
        </row>
        <row r="749">
          <cell r="B749">
            <v>2.0493000000000001</v>
          </cell>
          <cell r="C749">
            <v>9.7483835616438359</v>
          </cell>
        </row>
        <row r="750">
          <cell r="B750">
            <v>2.0520999999999998</v>
          </cell>
          <cell r="C750">
            <v>9.7488493150684938</v>
          </cell>
        </row>
        <row r="751">
          <cell r="B751">
            <v>2.0548000000000002</v>
          </cell>
          <cell r="C751">
            <v>9.7493150684931518</v>
          </cell>
        </row>
        <row r="752">
          <cell r="B752">
            <v>2.0575000000000001</v>
          </cell>
          <cell r="C752">
            <v>9.7497808219178079</v>
          </cell>
        </row>
        <row r="753">
          <cell r="B753">
            <v>2.0602999999999998</v>
          </cell>
          <cell r="C753">
            <v>9.7502465753424659</v>
          </cell>
        </row>
        <row r="754">
          <cell r="B754">
            <v>2.0630000000000002</v>
          </cell>
          <cell r="C754">
            <v>9.7507123287671238</v>
          </cell>
        </row>
        <row r="755">
          <cell r="B755">
            <v>2.0657999999999999</v>
          </cell>
          <cell r="C755">
            <v>9.7511780821917817</v>
          </cell>
        </row>
        <row r="756">
          <cell r="B756">
            <v>2.0684999999999998</v>
          </cell>
          <cell r="C756">
            <v>9.7516438356164379</v>
          </cell>
        </row>
        <row r="757">
          <cell r="B757">
            <v>2.0712000000000002</v>
          </cell>
          <cell r="C757">
            <v>9.7521095890410958</v>
          </cell>
        </row>
        <row r="758">
          <cell r="B758">
            <v>2.0739999999999998</v>
          </cell>
          <cell r="C758">
            <v>9.7525753424657537</v>
          </cell>
        </row>
        <row r="759">
          <cell r="B759">
            <v>2.0767000000000002</v>
          </cell>
          <cell r="C759">
            <v>9.7530410958904117</v>
          </cell>
        </row>
        <row r="760">
          <cell r="B760">
            <v>2.0794999999999999</v>
          </cell>
          <cell r="C760">
            <v>9.7535068493150678</v>
          </cell>
        </row>
        <row r="761">
          <cell r="B761">
            <v>2.0821999999999998</v>
          </cell>
          <cell r="C761">
            <v>9.7539726027397258</v>
          </cell>
        </row>
        <row r="762">
          <cell r="B762">
            <v>2.0849000000000002</v>
          </cell>
          <cell r="C762">
            <v>9.7544383561643837</v>
          </cell>
        </row>
        <row r="763">
          <cell r="B763">
            <v>2.0876999999999999</v>
          </cell>
          <cell r="C763">
            <v>9.7549041095890416</v>
          </cell>
        </row>
        <row r="764">
          <cell r="B764">
            <v>2.0903999999999998</v>
          </cell>
          <cell r="C764">
            <v>9.7553698630136996</v>
          </cell>
        </row>
        <row r="765">
          <cell r="B765">
            <v>2.0931999999999999</v>
          </cell>
          <cell r="C765">
            <v>9.7558356164383557</v>
          </cell>
        </row>
        <row r="766">
          <cell r="B766">
            <v>2.0958999999999999</v>
          </cell>
          <cell r="C766">
            <v>9.7563013698630137</v>
          </cell>
        </row>
        <row r="767">
          <cell r="B767">
            <v>2.0985999999999998</v>
          </cell>
          <cell r="C767">
            <v>9.7567671232876716</v>
          </cell>
        </row>
        <row r="768">
          <cell r="B768">
            <v>2.1013999999999999</v>
          </cell>
          <cell r="C768">
            <v>9.7572328767123295</v>
          </cell>
        </row>
        <row r="769">
          <cell r="B769">
            <v>2.1040999999999999</v>
          </cell>
          <cell r="C769">
            <v>9.7576986301369857</v>
          </cell>
        </row>
        <row r="770">
          <cell r="B770">
            <v>2.1067999999999998</v>
          </cell>
          <cell r="C770">
            <v>9.7581643835616436</v>
          </cell>
        </row>
        <row r="771">
          <cell r="B771">
            <v>2.1095999999999999</v>
          </cell>
          <cell r="C771">
            <v>9.7586301369863016</v>
          </cell>
        </row>
        <row r="772">
          <cell r="B772">
            <v>2.1122999999999998</v>
          </cell>
          <cell r="C772">
            <v>9.7590958904109595</v>
          </cell>
        </row>
        <row r="773">
          <cell r="B773">
            <v>2.1151</v>
          </cell>
          <cell r="C773">
            <v>9.7595616438356174</v>
          </cell>
        </row>
        <row r="774">
          <cell r="B774">
            <v>2.1177999999999999</v>
          </cell>
          <cell r="C774">
            <v>9.7600273972602736</v>
          </cell>
        </row>
        <row r="775">
          <cell r="B775">
            <v>2.1204999999999998</v>
          </cell>
          <cell r="C775">
            <v>9.7604931506849315</v>
          </cell>
        </row>
        <row r="776">
          <cell r="B776">
            <v>2.1233</v>
          </cell>
          <cell r="C776">
            <v>9.7609589041095894</v>
          </cell>
        </row>
        <row r="777">
          <cell r="B777">
            <v>2.1259999999999999</v>
          </cell>
          <cell r="C777">
            <v>9.7614246575342474</v>
          </cell>
        </row>
        <row r="778">
          <cell r="B778">
            <v>2.1288</v>
          </cell>
          <cell r="C778">
            <v>9.7618904109589035</v>
          </cell>
        </row>
        <row r="779">
          <cell r="B779">
            <v>2.1315</v>
          </cell>
          <cell r="C779">
            <v>9.7623561643835615</v>
          </cell>
        </row>
        <row r="780">
          <cell r="B780">
            <v>2.1341999999999999</v>
          </cell>
          <cell r="C780">
            <v>9.7628219178082194</v>
          </cell>
        </row>
        <row r="781">
          <cell r="B781">
            <v>2.137</v>
          </cell>
          <cell r="C781">
            <v>9.7632876712328773</v>
          </cell>
        </row>
        <row r="782">
          <cell r="B782">
            <v>2.1396999999999999</v>
          </cell>
          <cell r="C782">
            <v>9.7637534246575353</v>
          </cell>
        </row>
        <row r="783">
          <cell r="B783">
            <v>2.1425000000000001</v>
          </cell>
          <cell r="C783">
            <v>9.7642191780821914</v>
          </cell>
        </row>
        <row r="784">
          <cell r="B784">
            <v>2.1452</v>
          </cell>
          <cell r="C784">
            <v>9.7646849315068494</v>
          </cell>
        </row>
        <row r="785">
          <cell r="B785">
            <v>2.1478999999999999</v>
          </cell>
          <cell r="C785">
            <v>9.7651506849315073</v>
          </cell>
        </row>
        <row r="786">
          <cell r="B786">
            <v>2.1507000000000001</v>
          </cell>
          <cell r="C786">
            <v>9.7656164383561652</v>
          </cell>
        </row>
        <row r="787">
          <cell r="B787">
            <v>2.1534</v>
          </cell>
          <cell r="C787">
            <v>9.7660821917808214</v>
          </cell>
        </row>
        <row r="788">
          <cell r="B788">
            <v>2.1562000000000001</v>
          </cell>
          <cell r="C788">
            <v>9.7665479452054793</v>
          </cell>
        </row>
        <row r="789">
          <cell r="B789">
            <v>2.1589</v>
          </cell>
          <cell r="C789">
            <v>9.7670136986301372</v>
          </cell>
        </row>
        <row r="790">
          <cell r="B790">
            <v>2.1616</v>
          </cell>
          <cell r="C790">
            <v>9.7674794520547952</v>
          </cell>
        </row>
        <row r="791">
          <cell r="B791">
            <v>2.1644000000000001</v>
          </cell>
          <cell r="C791">
            <v>9.7679452054794531</v>
          </cell>
        </row>
        <row r="792">
          <cell r="B792">
            <v>2.1671</v>
          </cell>
          <cell r="C792">
            <v>9.7684109589041093</v>
          </cell>
        </row>
        <row r="793">
          <cell r="B793">
            <v>2.1699000000000002</v>
          </cell>
          <cell r="C793">
            <v>9.7688767123287672</v>
          </cell>
        </row>
        <row r="794">
          <cell r="B794">
            <v>2.1726000000000001</v>
          </cell>
          <cell r="C794">
            <v>9.7693424657534251</v>
          </cell>
        </row>
        <row r="795">
          <cell r="B795">
            <v>2.1753</v>
          </cell>
          <cell r="C795">
            <v>9.7698082191780831</v>
          </cell>
        </row>
        <row r="796">
          <cell r="B796">
            <v>2.1781000000000001</v>
          </cell>
          <cell r="C796">
            <v>9.7702739726027392</v>
          </cell>
        </row>
        <row r="797">
          <cell r="B797">
            <v>2.1808000000000001</v>
          </cell>
          <cell r="C797">
            <v>9.7707397260273972</v>
          </cell>
        </row>
        <row r="798">
          <cell r="B798">
            <v>2.1836000000000002</v>
          </cell>
          <cell r="C798">
            <v>9.7712054794520551</v>
          </cell>
        </row>
        <row r="799">
          <cell r="B799">
            <v>2.1863000000000001</v>
          </cell>
          <cell r="C799">
            <v>9.771671232876713</v>
          </cell>
        </row>
        <row r="800">
          <cell r="B800">
            <v>2.1890000000000001</v>
          </cell>
          <cell r="C800">
            <v>9.7721369863013692</v>
          </cell>
        </row>
        <row r="801">
          <cell r="B801">
            <v>2.1918000000000002</v>
          </cell>
          <cell r="C801">
            <v>9.7726027397260271</v>
          </cell>
        </row>
        <row r="802">
          <cell r="B802">
            <v>2.1945000000000001</v>
          </cell>
          <cell r="C802">
            <v>9.773068493150685</v>
          </cell>
        </row>
        <row r="803">
          <cell r="B803">
            <v>2.1972999999999998</v>
          </cell>
          <cell r="C803">
            <v>9.773534246575343</v>
          </cell>
        </row>
        <row r="804">
          <cell r="B804">
            <v>2.2000000000000002</v>
          </cell>
          <cell r="C804">
            <v>9.7740000000000009</v>
          </cell>
        </row>
        <row r="805">
          <cell r="B805">
            <v>2.2027000000000001</v>
          </cell>
          <cell r="C805">
            <v>9.7744657534246571</v>
          </cell>
        </row>
        <row r="806">
          <cell r="B806">
            <v>2.2054999999999998</v>
          </cell>
          <cell r="C806">
            <v>9.774931506849315</v>
          </cell>
        </row>
        <row r="807">
          <cell r="B807">
            <v>2.2082000000000002</v>
          </cell>
          <cell r="C807">
            <v>9.7753972602739729</v>
          </cell>
        </row>
        <row r="808">
          <cell r="B808">
            <v>2.2109999999999999</v>
          </cell>
          <cell r="C808">
            <v>9.7758630136986309</v>
          </cell>
        </row>
        <row r="809">
          <cell r="B809">
            <v>2.2136999999999998</v>
          </cell>
          <cell r="C809">
            <v>9.776328767123287</v>
          </cell>
        </row>
        <row r="810">
          <cell r="B810">
            <v>2.2164000000000001</v>
          </cell>
          <cell r="C810">
            <v>9.776794520547945</v>
          </cell>
        </row>
        <row r="811">
          <cell r="B811">
            <v>2.2191999999999998</v>
          </cell>
          <cell r="C811">
            <v>9.7772602739726029</v>
          </cell>
        </row>
        <row r="812">
          <cell r="B812">
            <v>2.2219000000000002</v>
          </cell>
          <cell r="C812">
            <v>9.7777260273972608</v>
          </cell>
        </row>
        <row r="813">
          <cell r="B813">
            <v>2.2246999999999999</v>
          </cell>
          <cell r="C813">
            <v>9.7781917808219188</v>
          </cell>
        </row>
        <row r="814">
          <cell r="B814">
            <v>2.2273999999999998</v>
          </cell>
          <cell r="C814">
            <v>9.7786575342465749</v>
          </cell>
        </row>
        <row r="815">
          <cell r="B815">
            <v>2.2301000000000002</v>
          </cell>
          <cell r="C815">
            <v>9.7791232876712328</v>
          </cell>
        </row>
        <row r="816">
          <cell r="B816">
            <v>2.2328999999999999</v>
          </cell>
          <cell r="C816">
            <v>9.7795890410958908</v>
          </cell>
        </row>
        <row r="817">
          <cell r="B817">
            <v>2.2355999999999998</v>
          </cell>
          <cell r="C817">
            <v>9.7800547945205487</v>
          </cell>
        </row>
        <row r="818">
          <cell r="B818">
            <v>2.2383999999999999</v>
          </cell>
          <cell r="C818">
            <v>9.7805205479452049</v>
          </cell>
        </row>
        <row r="819">
          <cell r="B819">
            <v>2.2410999999999999</v>
          </cell>
          <cell r="C819">
            <v>9.7809863013698628</v>
          </cell>
        </row>
        <row r="820">
          <cell r="B820">
            <v>2.2437999999999998</v>
          </cell>
          <cell r="C820">
            <v>9.7814520547945207</v>
          </cell>
        </row>
        <row r="821">
          <cell r="B821">
            <v>2.2465999999999999</v>
          </cell>
          <cell r="C821">
            <v>9.7819178082191787</v>
          </cell>
        </row>
        <row r="822">
          <cell r="B822">
            <v>2.2492999999999999</v>
          </cell>
          <cell r="C822">
            <v>9.7823835616438366</v>
          </cell>
        </row>
        <row r="823">
          <cell r="B823">
            <v>2.2521</v>
          </cell>
          <cell r="C823">
            <v>9.7828493150684928</v>
          </cell>
        </row>
        <row r="824">
          <cell r="B824">
            <v>2.2547999999999999</v>
          </cell>
          <cell r="C824">
            <v>9.7833150684931507</v>
          </cell>
        </row>
        <row r="825">
          <cell r="B825">
            <v>2.2574999999999998</v>
          </cell>
          <cell r="C825">
            <v>9.7837808219178086</v>
          </cell>
        </row>
        <row r="826">
          <cell r="B826">
            <v>2.2603</v>
          </cell>
          <cell r="C826">
            <v>9.7842465753424666</v>
          </cell>
        </row>
        <row r="827">
          <cell r="B827">
            <v>2.2629999999999999</v>
          </cell>
          <cell r="C827">
            <v>9.7847123287671227</v>
          </cell>
        </row>
        <row r="828">
          <cell r="B828">
            <v>2.2658</v>
          </cell>
          <cell r="C828">
            <v>9.7851780821917806</v>
          </cell>
        </row>
        <row r="829">
          <cell r="B829">
            <v>2.2685</v>
          </cell>
          <cell r="C829">
            <v>9.7856438356164386</v>
          </cell>
        </row>
        <row r="830">
          <cell r="B830">
            <v>2.2711999999999999</v>
          </cell>
          <cell r="C830">
            <v>9.7861095890410965</v>
          </cell>
        </row>
        <row r="831">
          <cell r="B831">
            <v>2.274</v>
          </cell>
          <cell r="C831">
            <v>9.7865753424657544</v>
          </cell>
        </row>
        <row r="832">
          <cell r="B832">
            <v>2.2766999999999999</v>
          </cell>
          <cell r="C832">
            <v>9.7870410958904106</v>
          </cell>
        </row>
        <row r="833">
          <cell r="B833">
            <v>2.2795000000000001</v>
          </cell>
          <cell r="C833">
            <v>9.7875068493150685</v>
          </cell>
        </row>
        <row r="834">
          <cell r="B834">
            <v>2.2822</v>
          </cell>
          <cell r="C834">
            <v>9.7879726027397265</v>
          </cell>
        </row>
        <row r="835">
          <cell r="B835">
            <v>2.2848999999999999</v>
          </cell>
          <cell r="C835">
            <v>9.7884383561643844</v>
          </cell>
        </row>
        <row r="836">
          <cell r="B836">
            <v>2.2877000000000001</v>
          </cell>
          <cell r="C836">
            <v>9.7889041095890406</v>
          </cell>
        </row>
        <row r="837">
          <cell r="B837">
            <v>2.2904</v>
          </cell>
          <cell r="C837">
            <v>9.7893698630136985</v>
          </cell>
        </row>
        <row r="838">
          <cell r="B838">
            <v>2.2932000000000001</v>
          </cell>
          <cell r="C838">
            <v>9.7898356164383564</v>
          </cell>
        </row>
        <row r="839">
          <cell r="B839">
            <v>2.2959000000000001</v>
          </cell>
          <cell r="C839">
            <v>9.7903013698630144</v>
          </cell>
        </row>
        <row r="840">
          <cell r="B840">
            <v>2.2986</v>
          </cell>
          <cell r="C840">
            <v>9.7907671232876723</v>
          </cell>
        </row>
        <row r="841">
          <cell r="B841">
            <v>2.3014000000000001</v>
          </cell>
          <cell r="C841">
            <v>9.7912328767123284</v>
          </cell>
        </row>
        <row r="842">
          <cell r="B842">
            <v>2.3041</v>
          </cell>
          <cell r="C842">
            <v>9.7916986301369864</v>
          </cell>
        </row>
        <row r="843">
          <cell r="B843">
            <v>2.3068</v>
          </cell>
          <cell r="C843">
            <v>9.7921643835616443</v>
          </cell>
        </row>
        <row r="844">
          <cell r="B844">
            <v>2.3096000000000001</v>
          </cell>
          <cell r="C844">
            <v>9.7926301369863022</v>
          </cell>
        </row>
        <row r="845">
          <cell r="B845">
            <v>2.3123</v>
          </cell>
          <cell r="C845">
            <v>9.7930958904109584</v>
          </cell>
        </row>
        <row r="846">
          <cell r="B846">
            <v>2.3151000000000002</v>
          </cell>
          <cell r="C846">
            <v>9.7935616438356163</v>
          </cell>
        </row>
        <row r="847">
          <cell r="B847">
            <v>2.3178000000000001</v>
          </cell>
          <cell r="C847">
            <v>9.7940273972602743</v>
          </cell>
        </row>
        <row r="848">
          <cell r="B848">
            <v>2.3205</v>
          </cell>
          <cell r="C848">
            <v>9.7944931506849322</v>
          </cell>
        </row>
        <row r="849">
          <cell r="B849">
            <v>2.3233000000000001</v>
          </cell>
          <cell r="C849">
            <v>9.7949589041095884</v>
          </cell>
        </row>
        <row r="850">
          <cell r="B850">
            <v>2.3260000000000001</v>
          </cell>
          <cell r="C850">
            <v>9.7954246575342463</v>
          </cell>
        </row>
        <row r="851">
          <cell r="B851">
            <v>2.3288000000000002</v>
          </cell>
          <cell r="C851">
            <v>9.7958904109589042</v>
          </cell>
        </row>
        <row r="852">
          <cell r="B852">
            <v>2.3315000000000001</v>
          </cell>
          <cell r="C852">
            <v>9.7963561643835622</v>
          </cell>
        </row>
        <row r="853">
          <cell r="B853">
            <v>2.3342000000000001</v>
          </cell>
          <cell r="C853">
            <v>9.7968219178082201</v>
          </cell>
        </row>
        <row r="854">
          <cell r="B854">
            <v>2.3370000000000002</v>
          </cell>
          <cell r="C854">
            <v>9.7972876712328762</v>
          </cell>
        </row>
        <row r="855">
          <cell r="B855">
            <v>2.3397000000000001</v>
          </cell>
          <cell r="C855">
            <v>9.7977534246575342</v>
          </cell>
        </row>
        <row r="856">
          <cell r="B856">
            <v>2.3424999999999998</v>
          </cell>
          <cell r="C856">
            <v>9.7982191780821921</v>
          </cell>
        </row>
        <row r="857">
          <cell r="B857">
            <v>2.3452000000000002</v>
          </cell>
          <cell r="C857">
            <v>9.79868493150685</v>
          </cell>
        </row>
        <row r="858">
          <cell r="B858">
            <v>2.3479000000000001</v>
          </cell>
          <cell r="C858">
            <v>9.7991506849315062</v>
          </cell>
        </row>
        <row r="859">
          <cell r="B859">
            <v>2.3506999999999998</v>
          </cell>
          <cell r="C859">
            <v>9.7996164383561641</v>
          </cell>
        </row>
        <row r="860">
          <cell r="B860">
            <v>2.3534000000000002</v>
          </cell>
          <cell r="C860">
            <v>9.8000821917808221</v>
          </cell>
        </row>
        <row r="861">
          <cell r="B861">
            <v>2.3561999999999999</v>
          </cell>
          <cell r="C861">
            <v>9.80054794520548</v>
          </cell>
        </row>
        <row r="862">
          <cell r="B862">
            <v>2.3589000000000002</v>
          </cell>
          <cell r="C862">
            <v>9.8010136986301379</v>
          </cell>
        </row>
        <row r="863">
          <cell r="B863">
            <v>2.3616000000000001</v>
          </cell>
          <cell r="C863">
            <v>9.8014794520547941</v>
          </cell>
        </row>
        <row r="864">
          <cell r="B864">
            <v>2.3643999999999998</v>
          </cell>
          <cell r="C864">
            <v>9.801945205479452</v>
          </cell>
        </row>
        <row r="865">
          <cell r="B865">
            <v>2.3671000000000002</v>
          </cell>
          <cell r="C865">
            <v>9.80241095890411</v>
          </cell>
        </row>
        <row r="866">
          <cell r="B866">
            <v>2.3698999999999999</v>
          </cell>
          <cell r="C866">
            <v>9.8028767123287679</v>
          </cell>
        </row>
        <row r="867">
          <cell r="B867">
            <v>2.3725999999999998</v>
          </cell>
          <cell r="C867">
            <v>9.8033424657534241</v>
          </cell>
        </row>
        <row r="868">
          <cell r="B868">
            <v>2.3753000000000002</v>
          </cell>
          <cell r="C868">
            <v>9.803808219178082</v>
          </cell>
        </row>
        <row r="869">
          <cell r="B869">
            <v>2.3780999999999999</v>
          </cell>
          <cell r="C869">
            <v>9.8042739726027399</v>
          </cell>
        </row>
        <row r="870">
          <cell r="B870">
            <v>2.3807999999999998</v>
          </cell>
          <cell r="C870">
            <v>9.8047397260273979</v>
          </cell>
        </row>
        <row r="871">
          <cell r="B871">
            <v>2.3835999999999999</v>
          </cell>
          <cell r="C871">
            <v>9.8052054794520558</v>
          </cell>
        </row>
        <row r="872">
          <cell r="B872">
            <v>2.3862999999999999</v>
          </cell>
          <cell r="C872">
            <v>9.8056712328767119</v>
          </cell>
        </row>
        <row r="873">
          <cell r="B873">
            <v>2.3889999999999998</v>
          </cell>
          <cell r="C873">
            <v>9.8061369863013699</v>
          </cell>
        </row>
        <row r="874">
          <cell r="B874">
            <v>2.3917999999999999</v>
          </cell>
          <cell r="C874">
            <v>9.8066027397260278</v>
          </cell>
        </row>
        <row r="875">
          <cell r="B875">
            <v>2.3944999999999999</v>
          </cell>
          <cell r="C875">
            <v>9.8070684931506857</v>
          </cell>
        </row>
        <row r="876">
          <cell r="B876">
            <v>2.3973</v>
          </cell>
          <cell r="C876">
            <v>9.8075342465753419</v>
          </cell>
        </row>
        <row r="877">
          <cell r="B877">
            <v>2.4</v>
          </cell>
          <cell r="C877">
            <v>9.8079999999999998</v>
          </cell>
        </row>
        <row r="878">
          <cell r="B878">
            <v>2.4026999999999998</v>
          </cell>
          <cell r="C878">
            <v>9.8084657534246578</v>
          </cell>
        </row>
        <row r="879">
          <cell r="B879">
            <v>2.4055</v>
          </cell>
          <cell r="C879">
            <v>9.8089315068493157</v>
          </cell>
        </row>
        <row r="880">
          <cell r="B880">
            <v>2.4081999999999999</v>
          </cell>
          <cell r="C880">
            <v>9.8093972602739736</v>
          </cell>
        </row>
        <row r="881">
          <cell r="B881">
            <v>2.411</v>
          </cell>
          <cell r="C881">
            <v>9.8098630136986298</v>
          </cell>
        </row>
        <row r="882">
          <cell r="B882">
            <v>2.4137</v>
          </cell>
          <cell r="C882">
            <v>9.8103287671232877</v>
          </cell>
        </row>
        <row r="883">
          <cell r="B883">
            <v>2.4163999999999999</v>
          </cell>
          <cell r="C883">
            <v>9.8107945205479457</v>
          </cell>
        </row>
        <row r="884">
          <cell r="B884">
            <v>2.4192</v>
          </cell>
          <cell r="C884">
            <v>9.8112602739726036</v>
          </cell>
        </row>
        <row r="885">
          <cell r="B885">
            <v>2.4218999999999999</v>
          </cell>
          <cell r="C885">
            <v>9.8117260273972597</v>
          </cell>
        </row>
        <row r="886">
          <cell r="B886">
            <v>2.4247000000000001</v>
          </cell>
          <cell r="C886">
            <v>9.8121917808219177</v>
          </cell>
        </row>
        <row r="887">
          <cell r="B887">
            <v>2.4274</v>
          </cell>
          <cell r="C887">
            <v>9.8126575342465756</v>
          </cell>
        </row>
        <row r="888">
          <cell r="B888">
            <v>2.4300999999999999</v>
          </cell>
          <cell r="C888">
            <v>9.8131232876712335</v>
          </cell>
        </row>
        <row r="889">
          <cell r="B889">
            <v>2.4329000000000001</v>
          </cell>
          <cell r="C889">
            <v>9.8135890410958915</v>
          </cell>
        </row>
        <row r="890">
          <cell r="B890">
            <v>2.4356</v>
          </cell>
          <cell r="C890">
            <v>9.8140547945205476</v>
          </cell>
        </row>
        <row r="891">
          <cell r="B891">
            <v>2.4384000000000001</v>
          </cell>
          <cell r="C891">
            <v>9.8145205479452056</v>
          </cell>
        </row>
        <row r="892">
          <cell r="B892">
            <v>2.4411</v>
          </cell>
          <cell r="C892">
            <v>9.8149863013698635</v>
          </cell>
        </row>
        <row r="893">
          <cell r="B893">
            <v>2.4438</v>
          </cell>
          <cell r="C893">
            <v>9.8154520547945214</v>
          </cell>
        </row>
        <row r="894">
          <cell r="B894">
            <v>2.4466000000000001</v>
          </cell>
          <cell r="C894">
            <v>9.8159178082191776</v>
          </cell>
        </row>
        <row r="895">
          <cell r="B895">
            <v>2.4493</v>
          </cell>
          <cell r="C895">
            <v>9.8163835616438355</v>
          </cell>
        </row>
        <row r="896">
          <cell r="B896">
            <v>2.4521000000000002</v>
          </cell>
          <cell r="C896">
            <v>9.8168493150684935</v>
          </cell>
        </row>
        <row r="897">
          <cell r="B897">
            <v>2.4548000000000001</v>
          </cell>
          <cell r="C897">
            <v>9.8173150684931514</v>
          </cell>
        </row>
        <row r="898">
          <cell r="B898">
            <v>2.4575</v>
          </cell>
          <cell r="C898">
            <v>9.8177808219178075</v>
          </cell>
        </row>
        <row r="899">
          <cell r="B899">
            <v>2.4603000000000002</v>
          </cell>
          <cell r="C899">
            <v>9.8182465753424655</v>
          </cell>
        </row>
        <row r="900">
          <cell r="B900">
            <v>2.4630000000000001</v>
          </cell>
          <cell r="C900">
            <v>9.8187123287671234</v>
          </cell>
        </row>
        <row r="901">
          <cell r="B901">
            <v>2.4658000000000002</v>
          </cell>
          <cell r="C901">
            <v>9.8191780821917813</v>
          </cell>
        </row>
        <row r="902">
          <cell r="B902">
            <v>2.4685000000000001</v>
          </cell>
          <cell r="C902">
            <v>9.8196438356164393</v>
          </cell>
        </row>
        <row r="903">
          <cell r="B903">
            <v>2.4712000000000001</v>
          </cell>
          <cell r="C903">
            <v>9.8201095890410954</v>
          </cell>
        </row>
        <row r="904">
          <cell r="B904">
            <v>2.4740000000000002</v>
          </cell>
          <cell r="C904">
            <v>9.8205753424657534</v>
          </cell>
        </row>
        <row r="905">
          <cell r="B905">
            <v>2.4767000000000001</v>
          </cell>
          <cell r="C905">
            <v>9.8210410958904113</v>
          </cell>
        </row>
        <row r="906">
          <cell r="B906">
            <v>2.4794999999999998</v>
          </cell>
          <cell r="C906">
            <v>9.8215068493150692</v>
          </cell>
        </row>
        <row r="907">
          <cell r="B907">
            <v>2.4822000000000002</v>
          </cell>
          <cell r="C907">
            <v>9.8219726027397254</v>
          </cell>
        </row>
        <row r="908">
          <cell r="B908">
            <v>2.4849000000000001</v>
          </cell>
          <cell r="C908">
            <v>9.8224383561643833</v>
          </cell>
        </row>
        <row r="909">
          <cell r="B909">
            <v>2.4876999999999998</v>
          </cell>
          <cell r="C909">
            <v>9.8229041095890413</v>
          </cell>
        </row>
        <row r="910">
          <cell r="B910">
            <v>2.4904000000000002</v>
          </cell>
          <cell r="C910">
            <v>9.8233698630136992</v>
          </cell>
        </row>
        <row r="911">
          <cell r="B911">
            <v>2.4931999999999999</v>
          </cell>
          <cell r="C911">
            <v>9.8238356164383571</v>
          </cell>
        </row>
        <row r="912">
          <cell r="B912">
            <v>2.4958999999999998</v>
          </cell>
          <cell r="C912">
            <v>9.8243013698630133</v>
          </cell>
        </row>
        <row r="913">
          <cell r="B913">
            <v>2.4986000000000002</v>
          </cell>
          <cell r="C913">
            <v>9.8247671232876712</v>
          </cell>
        </row>
        <row r="914">
          <cell r="B914">
            <v>2.5013999999999998</v>
          </cell>
          <cell r="C914">
            <v>9.8252328767123291</v>
          </cell>
        </row>
        <row r="915">
          <cell r="B915">
            <v>2.5041000000000002</v>
          </cell>
          <cell r="C915">
            <v>9.8256986301369871</v>
          </cell>
        </row>
        <row r="916">
          <cell r="B916">
            <v>2.5068000000000001</v>
          </cell>
          <cell r="C916">
            <v>9.8261643835616432</v>
          </cell>
        </row>
        <row r="917">
          <cell r="B917">
            <v>2.5095999999999998</v>
          </cell>
          <cell r="C917">
            <v>9.8266301369863012</v>
          </cell>
        </row>
        <row r="918">
          <cell r="B918">
            <v>2.5123000000000002</v>
          </cell>
          <cell r="C918">
            <v>9.8270958904109591</v>
          </cell>
        </row>
        <row r="919">
          <cell r="B919">
            <v>2.5150999999999999</v>
          </cell>
          <cell r="C919">
            <v>9.827561643835617</v>
          </cell>
        </row>
        <row r="920">
          <cell r="B920">
            <v>2.5177999999999998</v>
          </cell>
          <cell r="C920">
            <v>9.828027397260275</v>
          </cell>
        </row>
        <row r="921">
          <cell r="B921">
            <v>2.5205000000000002</v>
          </cell>
          <cell r="C921">
            <v>9.8284931506849311</v>
          </cell>
        </row>
        <row r="922">
          <cell r="B922">
            <v>2.5232999999999999</v>
          </cell>
          <cell r="C922">
            <v>9.8289589041095891</v>
          </cell>
        </row>
        <row r="923">
          <cell r="B923">
            <v>2.5259999999999998</v>
          </cell>
          <cell r="C923">
            <v>9.829424657534247</v>
          </cell>
        </row>
        <row r="924">
          <cell r="B924">
            <v>2.5287999999999999</v>
          </cell>
          <cell r="C924">
            <v>9.8298904109589049</v>
          </cell>
        </row>
        <row r="925">
          <cell r="B925">
            <v>2.5314999999999999</v>
          </cell>
          <cell r="C925">
            <v>9.8303561643835611</v>
          </cell>
        </row>
        <row r="926">
          <cell r="B926">
            <v>2.5341999999999998</v>
          </cell>
          <cell r="C926">
            <v>9.830821917808219</v>
          </cell>
        </row>
        <row r="927">
          <cell r="B927">
            <v>2.5369999999999999</v>
          </cell>
          <cell r="C927">
            <v>9.8312876712328769</v>
          </cell>
        </row>
        <row r="928">
          <cell r="B928">
            <v>2.5396999999999998</v>
          </cell>
          <cell r="C928">
            <v>9.8317534246575349</v>
          </cell>
        </row>
        <row r="929">
          <cell r="B929">
            <v>2.5425</v>
          </cell>
          <cell r="C929">
            <v>9.8322191780821928</v>
          </cell>
        </row>
        <row r="930">
          <cell r="B930">
            <v>2.5451999999999999</v>
          </cell>
          <cell r="C930">
            <v>9.832684931506849</v>
          </cell>
        </row>
        <row r="931">
          <cell r="B931">
            <v>2.5478999999999998</v>
          </cell>
          <cell r="C931">
            <v>9.8331506849315069</v>
          </cell>
        </row>
        <row r="932">
          <cell r="B932">
            <v>2.5507</v>
          </cell>
          <cell r="C932">
            <v>9.8336164383561648</v>
          </cell>
        </row>
        <row r="933">
          <cell r="B933">
            <v>2.5533999999999999</v>
          </cell>
          <cell r="C933">
            <v>9.8340821917808228</v>
          </cell>
        </row>
        <row r="934">
          <cell r="B934">
            <v>2.5562</v>
          </cell>
          <cell r="C934">
            <v>9.8345479452054789</v>
          </cell>
        </row>
        <row r="935">
          <cell r="B935">
            <v>2.5589</v>
          </cell>
          <cell r="C935">
            <v>9.8350136986301369</v>
          </cell>
        </row>
        <row r="936">
          <cell r="B936">
            <v>2.5615999999999999</v>
          </cell>
          <cell r="C936">
            <v>9.8354794520547948</v>
          </cell>
        </row>
        <row r="937">
          <cell r="B937">
            <v>2.5644</v>
          </cell>
          <cell r="C937">
            <v>9.8359452054794527</v>
          </cell>
        </row>
        <row r="938">
          <cell r="B938">
            <v>2.5670999999999999</v>
          </cell>
          <cell r="C938">
            <v>9.8364109589041089</v>
          </cell>
        </row>
        <row r="939">
          <cell r="B939">
            <v>2.5699000000000001</v>
          </cell>
          <cell r="C939">
            <v>9.8368767123287668</v>
          </cell>
        </row>
        <row r="940">
          <cell r="B940">
            <v>2.5726</v>
          </cell>
          <cell r="C940">
            <v>9.8373424657534247</v>
          </cell>
        </row>
        <row r="941">
          <cell r="B941">
            <v>2.5752999999999999</v>
          </cell>
          <cell r="C941">
            <v>9.8378082191780827</v>
          </cell>
        </row>
        <row r="942">
          <cell r="B942">
            <v>2.5781000000000001</v>
          </cell>
          <cell r="C942">
            <v>9.8382739726027406</v>
          </cell>
        </row>
        <row r="943">
          <cell r="B943">
            <v>2.5808</v>
          </cell>
          <cell r="C943">
            <v>9.8387397260273968</v>
          </cell>
        </row>
        <row r="944">
          <cell r="B944">
            <v>2.5836000000000001</v>
          </cell>
          <cell r="C944">
            <v>9.8392054794520547</v>
          </cell>
        </row>
        <row r="945">
          <cell r="B945">
            <v>2.5863</v>
          </cell>
          <cell r="C945">
            <v>9.8396712328767126</v>
          </cell>
        </row>
        <row r="946">
          <cell r="B946">
            <v>2.589</v>
          </cell>
          <cell r="C946">
            <v>9.8401369863013706</v>
          </cell>
        </row>
        <row r="947">
          <cell r="B947">
            <v>2.5918000000000001</v>
          </cell>
          <cell r="C947">
            <v>9.8406027397260267</v>
          </cell>
        </row>
        <row r="948">
          <cell r="B948">
            <v>2.5945</v>
          </cell>
          <cell r="C948">
            <v>9.8410684931506847</v>
          </cell>
        </row>
        <row r="949">
          <cell r="B949">
            <v>2.5973000000000002</v>
          </cell>
          <cell r="C949">
            <v>9.8415342465753426</v>
          </cell>
        </row>
        <row r="950">
          <cell r="B950">
            <v>2.6</v>
          </cell>
          <cell r="C950">
            <v>9.8420000000000005</v>
          </cell>
        </row>
        <row r="951">
          <cell r="B951">
            <v>2.6027</v>
          </cell>
          <cell r="C951">
            <v>9.8424657534246585</v>
          </cell>
        </row>
        <row r="952">
          <cell r="B952">
            <v>2.6055000000000001</v>
          </cell>
          <cell r="C952">
            <v>9.8429315068493146</v>
          </cell>
        </row>
        <row r="953">
          <cell r="B953">
            <v>2.6082000000000001</v>
          </cell>
          <cell r="C953">
            <v>9.8433972602739725</v>
          </cell>
        </row>
        <row r="954">
          <cell r="B954">
            <v>2.6110000000000002</v>
          </cell>
          <cell r="C954">
            <v>9.8438630136986305</v>
          </cell>
        </row>
        <row r="955">
          <cell r="B955">
            <v>2.6137000000000001</v>
          </cell>
          <cell r="C955">
            <v>9.8443287671232884</v>
          </cell>
        </row>
        <row r="956">
          <cell r="B956">
            <v>2.6164000000000001</v>
          </cell>
          <cell r="C956">
            <v>9.8447945205479446</v>
          </cell>
        </row>
        <row r="957">
          <cell r="B957">
            <v>2.6192000000000002</v>
          </cell>
          <cell r="C957">
            <v>9.8452602739726025</v>
          </cell>
        </row>
        <row r="958">
          <cell r="B958">
            <v>2.6219000000000001</v>
          </cell>
          <cell r="C958">
            <v>9.8457260273972604</v>
          </cell>
        </row>
        <row r="959">
          <cell r="B959">
            <v>2.6246999999999998</v>
          </cell>
          <cell r="C959">
            <v>9.8461917808219184</v>
          </cell>
        </row>
        <row r="960">
          <cell r="B960">
            <v>2.6274000000000002</v>
          </cell>
          <cell r="C960">
            <v>9.8466575342465763</v>
          </cell>
        </row>
        <row r="961">
          <cell r="B961">
            <v>2.6301000000000001</v>
          </cell>
          <cell r="C961">
            <v>9.8471232876712325</v>
          </cell>
        </row>
        <row r="962">
          <cell r="B962">
            <v>2.6328999999999998</v>
          </cell>
          <cell r="C962">
            <v>9.8475890410958904</v>
          </cell>
        </row>
        <row r="963">
          <cell r="B963">
            <v>2.6356000000000002</v>
          </cell>
          <cell r="C963">
            <v>9.8480547945205483</v>
          </cell>
        </row>
        <row r="964">
          <cell r="B964">
            <v>2.6383999999999999</v>
          </cell>
          <cell r="C964">
            <v>9.8485205479452063</v>
          </cell>
        </row>
        <row r="965">
          <cell r="B965">
            <v>2.6410999999999998</v>
          </cell>
          <cell r="C965">
            <v>9.8489863013698624</v>
          </cell>
        </row>
        <row r="966">
          <cell r="B966">
            <v>2.6438000000000001</v>
          </cell>
          <cell r="C966">
            <v>9.8494520547945204</v>
          </cell>
        </row>
        <row r="967">
          <cell r="B967">
            <v>2.6465999999999998</v>
          </cell>
          <cell r="C967">
            <v>9.8499178082191783</v>
          </cell>
        </row>
        <row r="968">
          <cell r="B968">
            <v>2.6493000000000002</v>
          </cell>
          <cell r="C968">
            <v>9.8503835616438362</v>
          </cell>
        </row>
        <row r="969">
          <cell r="B969">
            <v>2.6520999999999999</v>
          </cell>
          <cell r="C969">
            <v>9.8508493150684941</v>
          </cell>
        </row>
        <row r="970">
          <cell r="B970">
            <v>2.6547999999999998</v>
          </cell>
          <cell r="C970">
            <v>9.8513150684931503</v>
          </cell>
        </row>
        <row r="971">
          <cell r="B971">
            <v>2.6575000000000002</v>
          </cell>
          <cell r="C971">
            <v>9.8517808219178082</v>
          </cell>
        </row>
        <row r="972">
          <cell r="B972">
            <v>2.6602999999999999</v>
          </cell>
          <cell r="C972">
            <v>9.8522465753424662</v>
          </cell>
        </row>
        <row r="973">
          <cell r="B973">
            <v>2.6629999999999998</v>
          </cell>
          <cell r="C973">
            <v>9.8527123287671241</v>
          </cell>
        </row>
        <row r="974">
          <cell r="B974">
            <v>2.6657999999999999</v>
          </cell>
          <cell r="C974">
            <v>9.8531780821917803</v>
          </cell>
        </row>
        <row r="975">
          <cell r="B975">
            <v>2.6684999999999999</v>
          </cell>
          <cell r="C975">
            <v>9.8536438356164382</v>
          </cell>
        </row>
        <row r="976">
          <cell r="B976">
            <v>2.6711999999999998</v>
          </cell>
          <cell r="C976">
            <v>9.8541095890410961</v>
          </cell>
        </row>
        <row r="977">
          <cell r="B977">
            <v>2.6739999999999999</v>
          </cell>
          <cell r="C977">
            <v>9.8545753424657541</v>
          </cell>
        </row>
        <row r="978">
          <cell r="B978">
            <v>2.6766999999999999</v>
          </cell>
          <cell r="C978">
            <v>9.855041095890412</v>
          </cell>
        </row>
        <row r="979">
          <cell r="B979">
            <v>2.6795</v>
          </cell>
          <cell r="C979">
            <v>9.8555068493150682</v>
          </cell>
        </row>
        <row r="980">
          <cell r="B980">
            <v>2.6821999999999999</v>
          </cell>
          <cell r="C980">
            <v>9.8559726027397261</v>
          </cell>
        </row>
        <row r="981">
          <cell r="B981">
            <v>2.6848999999999998</v>
          </cell>
          <cell r="C981">
            <v>9.856438356164384</v>
          </cell>
        </row>
        <row r="982">
          <cell r="B982">
            <v>2.6877</v>
          </cell>
          <cell r="C982">
            <v>9.856904109589042</v>
          </cell>
        </row>
        <row r="983">
          <cell r="B983">
            <v>2.6903999999999999</v>
          </cell>
          <cell r="C983">
            <v>9.8573698630136981</v>
          </cell>
        </row>
        <row r="984">
          <cell r="B984">
            <v>2.6932</v>
          </cell>
          <cell r="C984">
            <v>9.857835616438356</v>
          </cell>
        </row>
        <row r="985">
          <cell r="B985">
            <v>2.6959</v>
          </cell>
          <cell r="C985">
            <v>9.858301369863014</v>
          </cell>
        </row>
        <row r="986">
          <cell r="B986">
            <v>2.6985999999999999</v>
          </cell>
          <cell r="C986">
            <v>9.8587671232876719</v>
          </cell>
        </row>
        <row r="987">
          <cell r="B987">
            <v>2.7014</v>
          </cell>
          <cell r="C987">
            <v>9.8592328767123281</v>
          </cell>
        </row>
        <row r="988">
          <cell r="B988">
            <v>2.7040999999999999</v>
          </cell>
          <cell r="C988">
            <v>9.859698630136986</v>
          </cell>
        </row>
        <row r="989">
          <cell r="B989">
            <v>2.7067999999999999</v>
          </cell>
          <cell r="C989">
            <v>9.8601643835616439</v>
          </cell>
        </row>
        <row r="990">
          <cell r="B990">
            <v>2.7096</v>
          </cell>
          <cell r="C990">
            <v>9.8606301369863019</v>
          </cell>
        </row>
        <row r="991">
          <cell r="B991">
            <v>2.7122999999999999</v>
          </cell>
          <cell r="C991">
            <v>9.8610958904109598</v>
          </cell>
        </row>
        <row r="992">
          <cell r="B992">
            <v>2.7151000000000001</v>
          </cell>
          <cell r="C992">
            <v>9.861561643835616</v>
          </cell>
        </row>
        <row r="993">
          <cell r="B993">
            <v>2.7178</v>
          </cell>
          <cell r="C993">
            <v>9.8620273972602739</v>
          </cell>
        </row>
        <row r="994">
          <cell r="B994">
            <v>2.7204999999999999</v>
          </cell>
          <cell r="C994">
            <v>9.8624931506849318</v>
          </cell>
        </row>
        <row r="995">
          <cell r="B995">
            <v>2.7233000000000001</v>
          </cell>
          <cell r="C995">
            <v>9.8629589041095898</v>
          </cell>
        </row>
        <row r="996">
          <cell r="B996">
            <v>2.726</v>
          </cell>
          <cell r="C996">
            <v>9.8634246575342459</v>
          </cell>
        </row>
        <row r="997">
          <cell r="B997">
            <v>2.7288000000000001</v>
          </cell>
          <cell r="C997">
            <v>9.8638904109589038</v>
          </cell>
        </row>
        <row r="998">
          <cell r="B998">
            <v>2.7315</v>
          </cell>
          <cell r="C998">
            <v>9.8643561643835618</v>
          </cell>
        </row>
        <row r="999">
          <cell r="B999">
            <v>2.7342</v>
          </cell>
          <cell r="C999">
            <v>9.8648219178082197</v>
          </cell>
        </row>
        <row r="1000">
          <cell r="B1000">
            <v>2.7370000000000001</v>
          </cell>
          <cell r="C1000">
            <v>9.8652876712328776</v>
          </cell>
        </row>
        <row r="1001">
          <cell r="B1001">
            <v>2.7397</v>
          </cell>
          <cell r="C1001">
            <v>9.8657534246575338</v>
          </cell>
        </row>
        <row r="1002">
          <cell r="B1002">
            <v>2.7425000000000002</v>
          </cell>
          <cell r="C1002">
            <v>9.8662191780821917</v>
          </cell>
        </row>
        <row r="1003">
          <cell r="B1003">
            <v>2.7452000000000001</v>
          </cell>
          <cell r="C1003">
            <v>9.8666849315068497</v>
          </cell>
        </row>
        <row r="1004">
          <cell r="B1004">
            <v>2.7479</v>
          </cell>
          <cell r="C1004">
            <v>9.8671506849315076</v>
          </cell>
        </row>
        <row r="1005">
          <cell r="B1005">
            <v>2.7507000000000001</v>
          </cell>
          <cell r="C1005">
            <v>9.8676164383561638</v>
          </cell>
        </row>
        <row r="1006">
          <cell r="B1006">
            <v>2.7534000000000001</v>
          </cell>
          <cell r="C1006">
            <v>9.8680821917808217</v>
          </cell>
        </row>
        <row r="1007">
          <cell r="B1007">
            <v>2.7562000000000002</v>
          </cell>
          <cell r="C1007">
            <v>9.8685479452054796</v>
          </cell>
        </row>
        <row r="1008">
          <cell r="B1008">
            <v>2.7589000000000001</v>
          </cell>
          <cell r="C1008">
            <v>9.8690136986301376</v>
          </cell>
        </row>
        <row r="1009">
          <cell r="B1009">
            <v>2.7616000000000001</v>
          </cell>
          <cell r="C1009">
            <v>9.8694794520547955</v>
          </cell>
        </row>
        <row r="1010">
          <cell r="B1010">
            <v>2.7644000000000002</v>
          </cell>
          <cell r="C1010">
            <v>9.8699452054794516</v>
          </cell>
        </row>
        <row r="1011">
          <cell r="B1011">
            <v>2.7671000000000001</v>
          </cell>
          <cell r="C1011">
            <v>9.8704109589041096</v>
          </cell>
        </row>
        <row r="1012">
          <cell r="B1012">
            <v>2.7698999999999998</v>
          </cell>
          <cell r="C1012">
            <v>9.8708767123287675</v>
          </cell>
        </row>
        <row r="1013">
          <cell r="B1013">
            <v>2.7726000000000002</v>
          </cell>
          <cell r="C1013">
            <v>9.8713424657534254</v>
          </cell>
        </row>
        <row r="1014">
          <cell r="B1014">
            <v>2.7753000000000001</v>
          </cell>
          <cell r="C1014">
            <v>9.8718082191780816</v>
          </cell>
        </row>
        <row r="1015">
          <cell r="B1015">
            <v>2.7780999999999998</v>
          </cell>
          <cell r="C1015">
            <v>9.8722739726027395</v>
          </cell>
        </row>
        <row r="1016">
          <cell r="B1016">
            <v>2.7808000000000002</v>
          </cell>
          <cell r="C1016">
            <v>9.8727397260273975</v>
          </cell>
        </row>
        <row r="1017">
          <cell r="B1017">
            <v>2.7835999999999999</v>
          </cell>
          <cell r="C1017">
            <v>9.8732054794520554</v>
          </cell>
        </row>
        <row r="1018">
          <cell r="B1018">
            <v>2.7863000000000002</v>
          </cell>
          <cell r="C1018">
            <v>9.8736712328767133</v>
          </cell>
        </row>
        <row r="1019">
          <cell r="B1019">
            <v>2.7890000000000001</v>
          </cell>
          <cell r="C1019">
            <v>9.8741369863013695</v>
          </cell>
        </row>
        <row r="1020">
          <cell r="B1020">
            <v>2.7917999999999998</v>
          </cell>
          <cell r="C1020">
            <v>9.8746027397260274</v>
          </cell>
        </row>
        <row r="1021">
          <cell r="B1021">
            <v>2.7945000000000002</v>
          </cell>
          <cell r="C1021">
            <v>9.8750684931506854</v>
          </cell>
        </row>
        <row r="1022">
          <cell r="B1022">
            <v>2.7972999999999999</v>
          </cell>
          <cell r="C1022">
            <v>9.8755342465753433</v>
          </cell>
        </row>
        <row r="1023">
          <cell r="B1023">
            <v>2.8</v>
          </cell>
          <cell r="C1023">
            <v>9.8759999999999994</v>
          </cell>
        </row>
        <row r="1024">
          <cell r="B1024">
            <v>2.8027000000000002</v>
          </cell>
          <cell r="C1024">
            <v>9.8764657534246574</v>
          </cell>
        </row>
        <row r="1025">
          <cell r="B1025">
            <v>2.8054999999999999</v>
          </cell>
          <cell r="C1025">
            <v>9.8769315068493153</v>
          </cell>
        </row>
        <row r="1026">
          <cell r="B1026">
            <v>2.8081999999999998</v>
          </cell>
          <cell r="C1026">
            <v>9.8773972602739732</v>
          </cell>
        </row>
        <row r="1027">
          <cell r="B1027">
            <v>2.8109999999999999</v>
          </cell>
          <cell r="C1027">
            <v>9.8778630136986294</v>
          </cell>
        </row>
        <row r="1028">
          <cell r="B1028">
            <v>2.8136999999999999</v>
          </cell>
          <cell r="C1028">
            <v>9.8783287671232873</v>
          </cell>
        </row>
        <row r="1029">
          <cell r="B1029">
            <v>2.8163999999999998</v>
          </cell>
          <cell r="C1029">
            <v>9.8787945205479453</v>
          </cell>
        </row>
        <row r="1030">
          <cell r="B1030">
            <v>2.8191999999999999</v>
          </cell>
          <cell r="C1030">
            <v>9.8792602739726032</v>
          </cell>
        </row>
        <row r="1031">
          <cell r="B1031">
            <v>2.8218999999999999</v>
          </cell>
          <cell r="C1031">
            <v>9.8797260273972611</v>
          </cell>
        </row>
        <row r="1032">
          <cell r="B1032">
            <v>2.8247</v>
          </cell>
          <cell r="C1032">
            <v>9.8801917808219173</v>
          </cell>
        </row>
        <row r="1033">
          <cell r="B1033">
            <v>2.8273999999999999</v>
          </cell>
          <cell r="C1033">
            <v>9.8806575342465752</v>
          </cell>
        </row>
        <row r="1034">
          <cell r="B1034">
            <v>2.8300999999999998</v>
          </cell>
          <cell r="C1034">
            <v>9.8811232876712332</v>
          </cell>
        </row>
        <row r="1035">
          <cell r="B1035">
            <v>2.8329</v>
          </cell>
          <cell r="C1035">
            <v>9.8815890410958911</v>
          </cell>
        </row>
        <row r="1036">
          <cell r="B1036">
            <v>2.8355999999999999</v>
          </cell>
          <cell r="C1036">
            <v>9.8820547945205472</v>
          </cell>
        </row>
        <row r="1037">
          <cell r="B1037">
            <v>2.8384</v>
          </cell>
          <cell r="C1037">
            <v>9.8825205479452052</v>
          </cell>
        </row>
        <row r="1038">
          <cell r="B1038">
            <v>2.8411</v>
          </cell>
          <cell r="C1038">
            <v>9.8829863013698631</v>
          </cell>
        </row>
        <row r="1039">
          <cell r="B1039">
            <v>2.8437999999999999</v>
          </cell>
          <cell r="C1039">
            <v>9.883452054794521</v>
          </cell>
        </row>
        <row r="1040">
          <cell r="B1040">
            <v>2.8466</v>
          </cell>
          <cell r="C1040">
            <v>9.883917808219179</v>
          </cell>
        </row>
        <row r="1041">
          <cell r="B1041">
            <v>2.8492999999999999</v>
          </cell>
          <cell r="C1041">
            <v>9.8843835616438351</v>
          </cell>
        </row>
        <row r="1042">
          <cell r="B1042">
            <v>2.8521000000000001</v>
          </cell>
          <cell r="C1042">
            <v>9.8848493150684931</v>
          </cell>
        </row>
        <row r="1043">
          <cell r="B1043">
            <v>2.8548</v>
          </cell>
          <cell r="C1043">
            <v>9.885315068493151</v>
          </cell>
        </row>
        <row r="1044">
          <cell r="B1044">
            <v>2.8574999999999999</v>
          </cell>
          <cell r="C1044">
            <v>9.8857808219178089</v>
          </cell>
        </row>
        <row r="1045">
          <cell r="B1045">
            <v>2.8603000000000001</v>
          </cell>
          <cell r="C1045">
            <v>9.8862465753424651</v>
          </cell>
        </row>
        <row r="1046">
          <cell r="B1046">
            <v>2.863</v>
          </cell>
          <cell r="C1046">
            <v>9.886712328767123</v>
          </cell>
        </row>
        <row r="1047">
          <cell r="B1047">
            <v>2.8658000000000001</v>
          </cell>
          <cell r="C1047">
            <v>9.887178082191781</v>
          </cell>
        </row>
        <row r="1048">
          <cell r="B1048">
            <v>2.8685</v>
          </cell>
          <cell r="C1048">
            <v>9.8876438356164389</v>
          </cell>
        </row>
        <row r="1049">
          <cell r="B1049">
            <v>2.8712</v>
          </cell>
          <cell r="C1049">
            <v>9.8881095890410968</v>
          </cell>
        </row>
        <row r="1050">
          <cell r="B1050">
            <v>2.8740000000000001</v>
          </cell>
          <cell r="C1050">
            <v>9.888575342465753</v>
          </cell>
        </row>
        <row r="1051">
          <cell r="B1051">
            <v>2.8767</v>
          </cell>
          <cell r="C1051">
            <v>9.8890410958904109</v>
          </cell>
        </row>
        <row r="1052">
          <cell r="B1052">
            <v>2.8795000000000002</v>
          </cell>
          <cell r="C1052">
            <v>9.8895068493150688</v>
          </cell>
        </row>
        <row r="1053">
          <cell r="B1053">
            <v>2.8822000000000001</v>
          </cell>
          <cell r="C1053">
            <v>9.8899726027397268</v>
          </cell>
        </row>
        <row r="1054">
          <cell r="B1054">
            <v>2.8849</v>
          </cell>
          <cell r="C1054">
            <v>9.8904383561643829</v>
          </cell>
        </row>
        <row r="1055">
          <cell r="B1055">
            <v>2.8877000000000002</v>
          </cell>
          <cell r="C1055">
            <v>9.8909041095890409</v>
          </cell>
        </row>
        <row r="1056">
          <cell r="B1056">
            <v>2.8904000000000001</v>
          </cell>
          <cell r="C1056">
            <v>9.8913698630136988</v>
          </cell>
        </row>
        <row r="1057">
          <cell r="B1057">
            <v>2.8932000000000002</v>
          </cell>
          <cell r="C1057">
            <v>9.8918356164383567</v>
          </cell>
        </row>
        <row r="1058">
          <cell r="B1058">
            <v>2.8959000000000001</v>
          </cell>
          <cell r="C1058">
            <v>9.8923013698630147</v>
          </cell>
        </row>
        <row r="1059">
          <cell r="B1059">
            <v>2.8986000000000001</v>
          </cell>
          <cell r="C1059">
            <v>9.8927671232876708</v>
          </cell>
        </row>
        <row r="1060">
          <cell r="B1060">
            <v>2.9014000000000002</v>
          </cell>
          <cell r="C1060">
            <v>9.8932328767123288</v>
          </cell>
        </row>
        <row r="1061">
          <cell r="B1061">
            <v>2.9041000000000001</v>
          </cell>
          <cell r="C1061">
            <v>9.8936986301369867</v>
          </cell>
        </row>
        <row r="1062">
          <cell r="B1062">
            <v>2.9068000000000001</v>
          </cell>
          <cell r="C1062">
            <v>9.8941643835616446</v>
          </cell>
        </row>
        <row r="1063">
          <cell r="B1063">
            <v>2.9096000000000002</v>
          </cell>
          <cell r="C1063">
            <v>9.8946301369863008</v>
          </cell>
        </row>
        <row r="1064">
          <cell r="B1064">
            <v>2.9123000000000001</v>
          </cell>
          <cell r="C1064">
            <v>9.8950958904109587</v>
          </cell>
        </row>
        <row r="1065">
          <cell r="B1065">
            <v>2.9150999999999998</v>
          </cell>
          <cell r="C1065">
            <v>9.8955616438356166</v>
          </cell>
        </row>
        <row r="1066">
          <cell r="B1066">
            <v>2.9178000000000002</v>
          </cell>
          <cell r="C1066">
            <v>9.8960273972602746</v>
          </cell>
        </row>
        <row r="1067">
          <cell r="B1067">
            <v>2.9205000000000001</v>
          </cell>
          <cell r="C1067">
            <v>9.8964931506849325</v>
          </cell>
        </row>
        <row r="1068">
          <cell r="B1068">
            <v>2.9232999999999998</v>
          </cell>
          <cell r="C1068">
            <v>9.8969589041095887</v>
          </cell>
        </row>
        <row r="1069">
          <cell r="B1069">
            <v>2.9260000000000002</v>
          </cell>
          <cell r="C1069">
            <v>9.8974246575342466</v>
          </cell>
        </row>
        <row r="1070">
          <cell r="B1070">
            <v>2.9287999999999998</v>
          </cell>
          <cell r="C1070">
            <v>9.8978904109589045</v>
          </cell>
        </row>
        <row r="1071">
          <cell r="B1071">
            <v>2.9315000000000002</v>
          </cell>
          <cell r="C1071">
            <v>9.8983561643835625</v>
          </cell>
        </row>
        <row r="1072">
          <cell r="B1072">
            <v>2.9342000000000001</v>
          </cell>
          <cell r="C1072">
            <v>9.8988219178082186</v>
          </cell>
        </row>
        <row r="1073">
          <cell r="B1073">
            <v>2.9369999999999998</v>
          </cell>
          <cell r="C1073">
            <v>9.8992876712328766</v>
          </cell>
        </row>
        <row r="1074">
          <cell r="B1074">
            <v>2.9397000000000002</v>
          </cell>
          <cell r="C1074">
            <v>9.8997534246575345</v>
          </cell>
        </row>
        <row r="1075">
          <cell r="B1075">
            <v>2.9424999999999999</v>
          </cell>
          <cell r="C1075">
            <v>9.9002191780821924</v>
          </cell>
        </row>
        <row r="1076">
          <cell r="B1076">
            <v>2.9451999999999998</v>
          </cell>
          <cell r="C1076">
            <v>9.9006849315068486</v>
          </cell>
        </row>
        <row r="1077">
          <cell r="B1077">
            <v>2.9479000000000002</v>
          </cell>
          <cell r="C1077">
            <v>9.9011506849315065</v>
          </cell>
        </row>
        <row r="1078">
          <cell r="B1078">
            <v>2.9506999999999999</v>
          </cell>
          <cell r="C1078">
            <v>9.9016164383561645</v>
          </cell>
        </row>
        <row r="1079">
          <cell r="B1079">
            <v>2.9533999999999998</v>
          </cell>
          <cell r="C1079">
            <v>9.9020821917808224</v>
          </cell>
        </row>
        <row r="1080">
          <cell r="B1080">
            <v>2.9561999999999999</v>
          </cell>
          <cell r="C1080">
            <v>9.9025479452054803</v>
          </cell>
        </row>
        <row r="1081">
          <cell r="B1081">
            <v>2.9588999999999999</v>
          </cell>
          <cell r="C1081">
            <v>9.9030136986301365</v>
          </cell>
        </row>
        <row r="1082">
          <cell r="B1082">
            <v>2.9615999999999998</v>
          </cell>
          <cell r="C1082">
            <v>9.9034794520547944</v>
          </cell>
        </row>
        <row r="1083">
          <cell r="B1083">
            <v>2.9643999999999999</v>
          </cell>
          <cell r="C1083">
            <v>9.9039452054794523</v>
          </cell>
        </row>
        <row r="1084">
          <cell r="B1084">
            <v>2.9670999999999998</v>
          </cell>
          <cell r="C1084">
            <v>9.9044109589041103</v>
          </cell>
        </row>
        <row r="1085">
          <cell r="B1085">
            <v>2.9699</v>
          </cell>
          <cell r="C1085">
            <v>9.9048767123287664</v>
          </cell>
        </row>
        <row r="1086">
          <cell r="B1086">
            <v>2.9725999999999999</v>
          </cell>
          <cell r="C1086">
            <v>9.9053424657534244</v>
          </cell>
        </row>
        <row r="1087">
          <cell r="B1087">
            <v>2.9752999999999998</v>
          </cell>
          <cell r="C1087">
            <v>9.9058082191780823</v>
          </cell>
        </row>
        <row r="1088">
          <cell r="B1088">
            <v>2.9781</v>
          </cell>
          <cell r="C1088">
            <v>9.9062739726027402</v>
          </cell>
        </row>
        <row r="1089">
          <cell r="B1089">
            <v>2.9807999999999999</v>
          </cell>
          <cell r="C1089">
            <v>9.9067397260273982</v>
          </cell>
        </row>
        <row r="1090">
          <cell r="B1090">
            <v>2.9836</v>
          </cell>
          <cell r="C1090">
            <v>9.9072054794520543</v>
          </cell>
        </row>
        <row r="1091">
          <cell r="B1091">
            <v>2.9863</v>
          </cell>
          <cell r="C1091">
            <v>9.9076712328767123</v>
          </cell>
        </row>
        <row r="1092">
          <cell r="B1092">
            <v>2.9889999999999999</v>
          </cell>
          <cell r="C1092">
            <v>9.9081369863013702</v>
          </cell>
        </row>
        <row r="1093">
          <cell r="B1093">
            <v>2.9918</v>
          </cell>
          <cell r="C1093">
            <v>9.9086027397260281</v>
          </cell>
        </row>
        <row r="1094">
          <cell r="B1094">
            <v>2.9944999999999999</v>
          </cell>
          <cell r="C1094">
            <v>9.9090684931506843</v>
          </cell>
        </row>
        <row r="1095">
          <cell r="B1095">
            <v>2.9973000000000001</v>
          </cell>
          <cell r="C1095">
            <v>9.9095342465753422</v>
          </cell>
        </row>
        <row r="1096">
          <cell r="B1096">
            <v>3</v>
          </cell>
          <cell r="C1096">
            <v>9.91</v>
          </cell>
        </row>
        <row r="1097">
          <cell r="B1097">
            <v>3.0026999999999999</v>
          </cell>
          <cell r="C1097">
            <v>9.9102191780821922</v>
          </cell>
        </row>
        <row r="1098">
          <cell r="B1098">
            <v>3.0055000000000001</v>
          </cell>
          <cell r="C1098">
            <v>9.9104383561643843</v>
          </cell>
        </row>
        <row r="1099">
          <cell r="B1099">
            <v>3.0082</v>
          </cell>
          <cell r="C1099">
            <v>9.9106575342465764</v>
          </cell>
        </row>
        <row r="1100">
          <cell r="B1100">
            <v>3.0110000000000001</v>
          </cell>
          <cell r="C1100">
            <v>9.9108767123287667</v>
          </cell>
        </row>
        <row r="1101">
          <cell r="B1101">
            <v>3.0137</v>
          </cell>
          <cell r="C1101">
            <v>9.9110958904109587</v>
          </cell>
        </row>
        <row r="1102">
          <cell r="B1102">
            <v>3.0164</v>
          </cell>
          <cell r="C1102">
            <v>9.9113150684931508</v>
          </cell>
        </row>
        <row r="1103">
          <cell r="B1103">
            <v>3.0192000000000001</v>
          </cell>
          <cell r="C1103">
            <v>9.9115342465753429</v>
          </cell>
        </row>
        <row r="1104">
          <cell r="B1104">
            <v>3.0219</v>
          </cell>
          <cell r="C1104">
            <v>9.9117534246575349</v>
          </cell>
        </row>
        <row r="1105">
          <cell r="B1105">
            <v>3.0247000000000002</v>
          </cell>
          <cell r="C1105">
            <v>9.911972602739727</v>
          </cell>
        </row>
        <row r="1106">
          <cell r="B1106">
            <v>3.0274000000000001</v>
          </cell>
          <cell r="C1106">
            <v>9.9121917808219173</v>
          </cell>
        </row>
        <row r="1107">
          <cell r="B1107">
            <v>3.0301</v>
          </cell>
          <cell r="C1107">
            <v>9.9124109589041094</v>
          </cell>
        </row>
        <row r="1108">
          <cell r="B1108">
            <v>3.0329000000000002</v>
          </cell>
          <cell r="C1108">
            <v>9.9126301369863015</v>
          </cell>
        </row>
        <row r="1109">
          <cell r="B1109">
            <v>3.0356000000000001</v>
          </cell>
          <cell r="C1109">
            <v>9.9128493150684935</v>
          </cell>
        </row>
        <row r="1110">
          <cell r="B1110">
            <v>3.0384000000000002</v>
          </cell>
          <cell r="C1110">
            <v>9.9130684931506856</v>
          </cell>
        </row>
        <row r="1111">
          <cell r="B1111">
            <v>3.0411000000000001</v>
          </cell>
          <cell r="C1111">
            <v>9.9132876712328777</v>
          </cell>
        </row>
        <row r="1112">
          <cell r="B1112">
            <v>3.0438000000000001</v>
          </cell>
          <cell r="C1112">
            <v>9.913506849315068</v>
          </cell>
        </row>
        <row r="1113">
          <cell r="B1113">
            <v>3.0466000000000002</v>
          </cell>
          <cell r="C1113">
            <v>9.9137260273972601</v>
          </cell>
        </row>
        <row r="1114">
          <cell r="B1114">
            <v>3.0493000000000001</v>
          </cell>
          <cell r="C1114">
            <v>9.9139452054794521</v>
          </cell>
        </row>
        <row r="1115">
          <cell r="B1115">
            <v>3.0520999999999998</v>
          </cell>
          <cell r="C1115">
            <v>9.9141643835616442</v>
          </cell>
        </row>
        <row r="1116">
          <cell r="B1116">
            <v>3.0548000000000002</v>
          </cell>
          <cell r="C1116">
            <v>9.9143835616438363</v>
          </cell>
        </row>
        <row r="1117">
          <cell r="B1117">
            <v>3.0575000000000001</v>
          </cell>
          <cell r="C1117">
            <v>9.9146027397260283</v>
          </cell>
        </row>
        <row r="1118">
          <cell r="B1118">
            <v>3.0602999999999998</v>
          </cell>
          <cell r="C1118">
            <v>9.9148219178082186</v>
          </cell>
        </row>
        <row r="1119">
          <cell r="B1119">
            <v>3.0630000000000002</v>
          </cell>
          <cell r="C1119">
            <v>9.9150410958904107</v>
          </cell>
        </row>
        <row r="1120">
          <cell r="B1120">
            <v>3.0657999999999999</v>
          </cell>
          <cell r="C1120">
            <v>9.9152602739726028</v>
          </cell>
        </row>
        <row r="1121">
          <cell r="B1121">
            <v>3.0684999999999998</v>
          </cell>
          <cell r="C1121">
            <v>9.9154794520547949</v>
          </cell>
        </row>
        <row r="1122">
          <cell r="B1122">
            <v>3.0712000000000002</v>
          </cell>
          <cell r="C1122">
            <v>9.9156986301369869</v>
          </cell>
        </row>
        <row r="1123">
          <cell r="B1123">
            <v>3.0739999999999998</v>
          </cell>
          <cell r="C1123">
            <v>9.915917808219179</v>
          </cell>
        </row>
        <row r="1124">
          <cell r="B1124">
            <v>3.0767000000000002</v>
          </cell>
          <cell r="C1124">
            <v>9.9161369863013693</v>
          </cell>
        </row>
        <row r="1125">
          <cell r="B1125">
            <v>3.0794999999999999</v>
          </cell>
          <cell r="C1125">
            <v>9.9163561643835614</v>
          </cell>
        </row>
        <row r="1126">
          <cell r="B1126">
            <v>3.0821999999999998</v>
          </cell>
          <cell r="C1126">
            <v>9.9165753424657535</v>
          </cell>
        </row>
        <row r="1127">
          <cell r="B1127">
            <v>3.0849000000000002</v>
          </cell>
          <cell r="C1127">
            <v>9.9167945205479455</v>
          </cell>
        </row>
        <row r="1128">
          <cell r="B1128">
            <v>3.0876999999999999</v>
          </cell>
          <cell r="C1128">
            <v>9.9170136986301376</v>
          </cell>
        </row>
        <row r="1129">
          <cell r="B1129">
            <v>3.0903999999999998</v>
          </cell>
          <cell r="C1129">
            <v>9.9172328767123297</v>
          </cell>
        </row>
        <row r="1130">
          <cell r="B1130">
            <v>3.0931999999999999</v>
          </cell>
          <cell r="C1130">
            <v>9.91745205479452</v>
          </cell>
        </row>
        <row r="1131">
          <cell r="B1131">
            <v>3.0958999999999999</v>
          </cell>
          <cell r="C1131">
            <v>9.917671232876712</v>
          </cell>
        </row>
        <row r="1132">
          <cell r="B1132">
            <v>3.0985999999999998</v>
          </cell>
          <cell r="C1132">
            <v>9.9178904109589041</v>
          </cell>
        </row>
        <row r="1133">
          <cell r="B1133">
            <v>3.1013999999999999</v>
          </cell>
          <cell r="C1133">
            <v>9.9181095890410962</v>
          </cell>
        </row>
        <row r="1134">
          <cell r="B1134">
            <v>3.1040999999999999</v>
          </cell>
          <cell r="C1134">
            <v>9.9183287671232883</v>
          </cell>
        </row>
        <row r="1135">
          <cell r="B1135">
            <v>3.1067999999999998</v>
          </cell>
          <cell r="C1135">
            <v>9.9185479452054803</v>
          </cell>
        </row>
        <row r="1136">
          <cell r="B1136">
            <v>3.1095999999999999</v>
          </cell>
          <cell r="C1136">
            <v>9.9187671232876706</v>
          </cell>
        </row>
        <row r="1137">
          <cell r="B1137">
            <v>3.1122999999999998</v>
          </cell>
          <cell r="C1137">
            <v>9.9189863013698627</v>
          </cell>
        </row>
        <row r="1138">
          <cell r="B1138">
            <v>3.1151</v>
          </cell>
          <cell r="C1138">
            <v>9.9192054794520548</v>
          </cell>
        </row>
        <row r="1139">
          <cell r="B1139">
            <v>3.1177999999999999</v>
          </cell>
          <cell r="C1139">
            <v>9.9194246575342468</v>
          </cell>
        </row>
        <row r="1140">
          <cell r="B1140">
            <v>3.1204999999999998</v>
          </cell>
          <cell r="C1140">
            <v>9.9196438356164389</v>
          </cell>
        </row>
        <row r="1141">
          <cell r="B1141">
            <v>3.1233</v>
          </cell>
          <cell r="C1141">
            <v>9.919863013698631</v>
          </cell>
        </row>
        <row r="1142">
          <cell r="B1142">
            <v>3.1259999999999999</v>
          </cell>
          <cell r="C1142">
            <v>9.9200821917808213</v>
          </cell>
        </row>
        <row r="1143">
          <cell r="B1143">
            <v>3.1288</v>
          </cell>
          <cell r="C1143">
            <v>9.9203013698630134</v>
          </cell>
        </row>
        <row r="1144">
          <cell r="B1144">
            <v>3.1315</v>
          </cell>
          <cell r="C1144">
            <v>9.9205205479452054</v>
          </cell>
        </row>
        <row r="1145">
          <cell r="B1145">
            <v>3.1341999999999999</v>
          </cell>
          <cell r="C1145">
            <v>9.9207397260273975</v>
          </cell>
        </row>
        <row r="1146">
          <cell r="B1146">
            <v>3.137</v>
          </cell>
          <cell r="C1146">
            <v>9.9209589041095896</v>
          </cell>
        </row>
        <row r="1147">
          <cell r="B1147">
            <v>3.1396999999999999</v>
          </cell>
          <cell r="C1147">
            <v>9.9211780821917817</v>
          </cell>
        </row>
        <row r="1148">
          <cell r="B1148">
            <v>3.1425000000000001</v>
          </cell>
          <cell r="C1148">
            <v>9.921397260273972</v>
          </cell>
        </row>
        <row r="1149">
          <cell r="B1149">
            <v>3.1452</v>
          </cell>
          <cell r="C1149">
            <v>9.921616438356164</v>
          </cell>
        </row>
        <row r="1150">
          <cell r="B1150">
            <v>3.1478999999999999</v>
          </cell>
          <cell r="C1150">
            <v>9.9218356164383561</v>
          </cell>
        </row>
        <row r="1151">
          <cell r="B1151">
            <v>3.1507000000000001</v>
          </cell>
          <cell r="C1151">
            <v>9.9220547945205482</v>
          </cell>
        </row>
        <row r="1152">
          <cell r="B1152">
            <v>3.1534</v>
          </cell>
          <cell r="C1152">
            <v>9.9222739726027402</v>
          </cell>
        </row>
        <row r="1153">
          <cell r="B1153">
            <v>3.1562000000000001</v>
          </cell>
          <cell r="C1153">
            <v>9.9224931506849323</v>
          </cell>
        </row>
        <row r="1154">
          <cell r="B1154">
            <v>3.1589</v>
          </cell>
          <cell r="C1154">
            <v>9.9227123287671226</v>
          </cell>
        </row>
        <row r="1155">
          <cell r="B1155">
            <v>3.1616</v>
          </cell>
          <cell r="C1155">
            <v>9.9229315068493147</v>
          </cell>
        </row>
        <row r="1156">
          <cell r="B1156">
            <v>3.1644000000000001</v>
          </cell>
          <cell r="C1156">
            <v>9.9231506849315068</v>
          </cell>
        </row>
        <row r="1157">
          <cell r="B1157">
            <v>3.1671</v>
          </cell>
          <cell r="C1157">
            <v>9.9233698630136988</v>
          </cell>
        </row>
        <row r="1158">
          <cell r="B1158">
            <v>3.1699000000000002</v>
          </cell>
          <cell r="C1158">
            <v>9.9235890410958909</v>
          </cell>
        </row>
        <row r="1159">
          <cell r="B1159">
            <v>3.1726000000000001</v>
          </cell>
          <cell r="C1159">
            <v>9.923808219178083</v>
          </cell>
        </row>
        <row r="1160">
          <cell r="B1160">
            <v>3.1753</v>
          </cell>
          <cell r="C1160">
            <v>9.9240273972602733</v>
          </cell>
        </row>
        <row r="1161">
          <cell r="B1161">
            <v>3.1781000000000001</v>
          </cell>
          <cell r="C1161">
            <v>9.9242465753424653</v>
          </cell>
        </row>
        <row r="1162">
          <cell r="B1162">
            <v>3.1808000000000001</v>
          </cell>
          <cell r="C1162">
            <v>9.9244657534246574</v>
          </cell>
        </row>
        <row r="1163">
          <cell r="B1163">
            <v>3.1836000000000002</v>
          </cell>
          <cell r="C1163">
            <v>9.9246849315068495</v>
          </cell>
        </row>
        <row r="1164">
          <cell r="B1164">
            <v>3.1863000000000001</v>
          </cell>
          <cell r="C1164">
            <v>9.9249041095890416</v>
          </cell>
        </row>
        <row r="1165">
          <cell r="B1165">
            <v>3.1890000000000001</v>
          </cell>
          <cell r="C1165">
            <v>9.9251232876712336</v>
          </cell>
        </row>
        <row r="1166">
          <cell r="B1166">
            <v>3.1918000000000002</v>
          </cell>
          <cell r="C1166">
            <v>9.9253424657534239</v>
          </cell>
        </row>
        <row r="1167">
          <cell r="B1167">
            <v>3.1945000000000001</v>
          </cell>
          <cell r="C1167">
            <v>9.925561643835616</v>
          </cell>
        </row>
        <row r="1168">
          <cell r="B1168">
            <v>3.1972999999999998</v>
          </cell>
          <cell r="C1168">
            <v>9.9257808219178081</v>
          </cell>
        </row>
        <row r="1169">
          <cell r="B1169">
            <v>3.2</v>
          </cell>
          <cell r="C1169">
            <v>9.9260000000000002</v>
          </cell>
        </row>
        <row r="1170">
          <cell r="B1170">
            <v>3.2027000000000001</v>
          </cell>
          <cell r="C1170">
            <v>9.9262191780821922</v>
          </cell>
        </row>
        <row r="1171">
          <cell r="B1171">
            <v>3.2054999999999998</v>
          </cell>
          <cell r="C1171">
            <v>9.9264383561643843</v>
          </cell>
        </row>
        <row r="1172">
          <cell r="B1172">
            <v>3.2082000000000002</v>
          </cell>
          <cell r="C1172">
            <v>9.9266575342465764</v>
          </cell>
        </row>
        <row r="1173">
          <cell r="B1173">
            <v>3.2109999999999999</v>
          </cell>
          <cell r="C1173">
            <v>9.9268767123287667</v>
          </cell>
        </row>
        <row r="1174">
          <cell r="B1174">
            <v>3.2136999999999998</v>
          </cell>
          <cell r="C1174">
            <v>9.9270958904109587</v>
          </cell>
        </row>
        <row r="1175">
          <cell r="B1175">
            <v>3.2164000000000001</v>
          </cell>
          <cell r="C1175">
            <v>9.9273150684931508</v>
          </cell>
        </row>
        <row r="1176">
          <cell r="B1176">
            <v>3.2191999999999998</v>
          </cell>
          <cell r="C1176">
            <v>9.9275342465753429</v>
          </cell>
        </row>
        <row r="1177">
          <cell r="B1177">
            <v>3.2219000000000002</v>
          </cell>
          <cell r="C1177">
            <v>9.927753424657535</v>
          </cell>
        </row>
        <row r="1178">
          <cell r="B1178">
            <v>3.2246999999999999</v>
          </cell>
          <cell r="C1178">
            <v>9.927972602739727</v>
          </cell>
        </row>
        <row r="1179">
          <cell r="B1179">
            <v>3.2273999999999998</v>
          </cell>
          <cell r="C1179">
            <v>9.9281917808219173</v>
          </cell>
        </row>
        <row r="1180">
          <cell r="B1180">
            <v>3.2301000000000002</v>
          </cell>
          <cell r="C1180">
            <v>9.9284109589041094</v>
          </cell>
        </row>
        <row r="1181">
          <cell r="B1181">
            <v>3.2328999999999999</v>
          </cell>
          <cell r="C1181">
            <v>9.9286301369863015</v>
          </cell>
        </row>
        <row r="1182">
          <cell r="B1182">
            <v>3.2355999999999998</v>
          </cell>
          <cell r="C1182">
            <v>9.9288493150684936</v>
          </cell>
        </row>
        <row r="1183">
          <cell r="B1183">
            <v>3.2383999999999999</v>
          </cell>
          <cell r="C1183">
            <v>9.9290684931506856</v>
          </cell>
        </row>
        <row r="1184">
          <cell r="B1184">
            <v>3.2410999999999999</v>
          </cell>
          <cell r="C1184">
            <v>9.9292876712328777</v>
          </cell>
        </row>
        <row r="1185">
          <cell r="B1185">
            <v>3.2437999999999998</v>
          </cell>
          <cell r="C1185">
            <v>9.929506849315068</v>
          </cell>
        </row>
        <row r="1186">
          <cell r="B1186">
            <v>3.2465999999999999</v>
          </cell>
          <cell r="C1186">
            <v>9.9297260273972601</v>
          </cell>
        </row>
        <row r="1187">
          <cell r="B1187">
            <v>3.2492999999999999</v>
          </cell>
          <cell r="C1187">
            <v>9.9299452054794521</v>
          </cell>
        </row>
        <row r="1188">
          <cell r="B1188">
            <v>3.2521</v>
          </cell>
          <cell r="C1188">
            <v>9.9301643835616442</v>
          </cell>
        </row>
        <row r="1189">
          <cell r="B1189">
            <v>3.2547999999999999</v>
          </cell>
          <cell r="C1189">
            <v>9.9303835616438363</v>
          </cell>
        </row>
        <row r="1190">
          <cell r="B1190">
            <v>3.2574999999999998</v>
          </cell>
          <cell r="C1190">
            <v>9.9306027397260284</v>
          </cell>
        </row>
        <row r="1191">
          <cell r="B1191">
            <v>3.2603</v>
          </cell>
          <cell r="C1191">
            <v>9.9308219178082187</v>
          </cell>
        </row>
        <row r="1192">
          <cell r="B1192">
            <v>3.2629999999999999</v>
          </cell>
          <cell r="C1192">
            <v>9.9310410958904107</v>
          </cell>
        </row>
        <row r="1193">
          <cell r="B1193">
            <v>3.2658</v>
          </cell>
          <cell r="C1193">
            <v>9.9312602739726028</v>
          </cell>
        </row>
        <row r="1194">
          <cell r="B1194">
            <v>3.2685</v>
          </cell>
          <cell r="C1194">
            <v>9.9314794520547949</v>
          </cell>
        </row>
        <row r="1195">
          <cell r="B1195">
            <v>3.2711999999999999</v>
          </cell>
          <cell r="C1195">
            <v>9.9316986301369869</v>
          </cell>
        </row>
        <row r="1196">
          <cell r="B1196">
            <v>3.274</v>
          </cell>
          <cell r="C1196">
            <v>9.931917808219179</v>
          </cell>
        </row>
        <row r="1197">
          <cell r="B1197">
            <v>3.2766999999999999</v>
          </cell>
          <cell r="C1197">
            <v>9.9321369863013693</v>
          </cell>
        </row>
        <row r="1198">
          <cell r="B1198">
            <v>3.2795000000000001</v>
          </cell>
          <cell r="C1198">
            <v>9.9323561643835614</v>
          </cell>
        </row>
        <row r="1199">
          <cell r="B1199">
            <v>3.2822</v>
          </cell>
          <cell r="C1199">
            <v>9.9325753424657535</v>
          </cell>
        </row>
        <row r="1200">
          <cell r="B1200">
            <v>3.2848999999999999</v>
          </cell>
          <cell r="C1200">
            <v>9.9327945205479455</v>
          </cell>
        </row>
        <row r="1201">
          <cell r="B1201">
            <v>3.2877000000000001</v>
          </cell>
          <cell r="C1201">
            <v>9.9330136986301376</v>
          </cell>
        </row>
        <row r="1202">
          <cell r="B1202">
            <v>3.2904</v>
          </cell>
          <cell r="C1202">
            <v>9.9332328767123297</v>
          </cell>
        </row>
        <row r="1203">
          <cell r="B1203">
            <v>3.2932000000000001</v>
          </cell>
          <cell r="C1203">
            <v>9.93345205479452</v>
          </cell>
        </row>
        <row r="1204">
          <cell r="B1204">
            <v>3.2959000000000001</v>
          </cell>
          <cell r="C1204">
            <v>9.9336712328767121</v>
          </cell>
        </row>
        <row r="1205">
          <cell r="B1205">
            <v>3.2986</v>
          </cell>
          <cell r="C1205">
            <v>9.9338904109589041</v>
          </cell>
        </row>
        <row r="1206">
          <cell r="B1206">
            <v>3.3014000000000001</v>
          </cell>
          <cell r="C1206">
            <v>9.9341095890410962</v>
          </cell>
        </row>
        <row r="1207">
          <cell r="B1207">
            <v>3.3041</v>
          </cell>
          <cell r="C1207">
            <v>9.9343287671232883</v>
          </cell>
        </row>
        <row r="1208">
          <cell r="B1208">
            <v>3.3068</v>
          </cell>
          <cell r="C1208">
            <v>9.9345479452054803</v>
          </cell>
        </row>
        <row r="1209">
          <cell r="B1209">
            <v>3.3096000000000001</v>
          </cell>
          <cell r="C1209">
            <v>9.9347671232876706</v>
          </cell>
        </row>
        <row r="1210">
          <cell r="B1210">
            <v>3.3123</v>
          </cell>
          <cell r="C1210">
            <v>9.9349863013698627</v>
          </cell>
        </row>
        <row r="1211">
          <cell r="B1211">
            <v>3.3151000000000002</v>
          </cell>
          <cell r="C1211">
            <v>9.9352054794520548</v>
          </cell>
        </row>
        <row r="1212">
          <cell r="B1212">
            <v>3.3178000000000001</v>
          </cell>
          <cell r="C1212">
            <v>9.9354246575342469</v>
          </cell>
        </row>
        <row r="1213">
          <cell r="B1213">
            <v>3.3205</v>
          </cell>
          <cell r="C1213">
            <v>9.9356438356164389</v>
          </cell>
        </row>
        <row r="1214">
          <cell r="B1214">
            <v>3.3233000000000001</v>
          </cell>
          <cell r="C1214">
            <v>9.935863013698631</v>
          </cell>
        </row>
        <row r="1215">
          <cell r="B1215">
            <v>3.3260000000000001</v>
          </cell>
          <cell r="C1215">
            <v>9.9360821917808213</v>
          </cell>
        </row>
        <row r="1216">
          <cell r="B1216">
            <v>3.3288000000000002</v>
          </cell>
          <cell r="C1216">
            <v>9.9363013698630134</v>
          </cell>
        </row>
        <row r="1217">
          <cell r="B1217">
            <v>3.3315000000000001</v>
          </cell>
          <cell r="C1217">
            <v>9.9365205479452055</v>
          </cell>
        </row>
        <row r="1218">
          <cell r="B1218">
            <v>3.3342000000000001</v>
          </cell>
          <cell r="C1218">
            <v>9.9367397260273975</v>
          </cell>
        </row>
        <row r="1219">
          <cell r="B1219">
            <v>3.3370000000000002</v>
          </cell>
          <cell r="C1219">
            <v>9.9369589041095896</v>
          </cell>
        </row>
        <row r="1220">
          <cell r="B1220">
            <v>3.3397000000000001</v>
          </cell>
          <cell r="C1220">
            <v>9.9371780821917817</v>
          </cell>
        </row>
        <row r="1221">
          <cell r="B1221">
            <v>3.3424999999999998</v>
          </cell>
          <cell r="C1221">
            <v>9.937397260273972</v>
          </cell>
        </row>
        <row r="1222">
          <cell r="B1222">
            <v>3.3452000000000002</v>
          </cell>
          <cell r="C1222">
            <v>9.937616438356164</v>
          </cell>
        </row>
        <row r="1223">
          <cell r="B1223">
            <v>3.3479000000000001</v>
          </cell>
          <cell r="C1223">
            <v>9.9378356164383561</v>
          </cell>
        </row>
        <row r="1224">
          <cell r="B1224">
            <v>3.3506999999999998</v>
          </cell>
          <cell r="C1224">
            <v>9.9380547945205482</v>
          </cell>
        </row>
        <row r="1225">
          <cell r="B1225">
            <v>3.3534000000000002</v>
          </cell>
          <cell r="C1225">
            <v>9.9382739726027403</v>
          </cell>
        </row>
        <row r="1226">
          <cell r="B1226">
            <v>3.3561999999999999</v>
          </cell>
          <cell r="C1226">
            <v>9.9384931506849323</v>
          </cell>
        </row>
        <row r="1227">
          <cell r="B1227">
            <v>3.3589000000000002</v>
          </cell>
          <cell r="C1227">
            <v>9.9387123287671226</v>
          </cell>
        </row>
        <row r="1228">
          <cell r="B1228">
            <v>3.3616000000000001</v>
          </cell>
          <cell r="C1228">
            <v>9.9389315068493147</v>
          </cell>
        </row>
        <row r="1229">
          <cell r="B1229">
            <v>3.3643999999999998</v>
          </cell>
          <cell r="C1229">
            <v>9.9391506849315068</v>
          </cell>
        </row>
        <row r="1230">
          <cell r="B1230">
            <v>3.3671000000000002</v>
          </cell>
          <cell r="C1230">
            <v>9.9393698630136988</v>
          </cell>
        </row>
        <row r="1231">
          <cell r="B1231">
            <v>3.3698999999999999</v>
          </cell>
          <cell r="C1231">
            <v>9.9395890410958909</v>
          </cell>
        </row>
        <row r="1232">
          <cell r="B1232">
            <v>3.3725999999999998</v>
          </cell>
          <cell r="C1232">
            <v>9.939808219178083</v>
          </cell>
        </row>
        <row r="1233">
          <cell r="B1233">
            <v>3.3753000000000002</v>
          </cell>
          <cell r="C1233">
            <v>9.9400273972602733</v>
          </cell>
        </row>
        <row r="1234">
          <cell r="B1234">
            <v>3.3780999999999999</v>
          </cell>
          <cell r="C1234">
            <v>9.9402465753424654</v>
          </cell>
        </row>
        <row r="1235">
          <cell r="B1235">
            <v>3.3807999999999998</v>
          </cell>
          <cell r="C1235">
            <v>9.9404657534246574</v>
          </cell>
        </row>
        <row r="1236">
          <cell r="B1236">
            <v>3.3835999999999999</v>
          </cell>
          <cell r="C1236">
            <v>9.9406849315068495</v>
          </cell>
        </row>
        <row r="1237">
          <cell r="B1237">
            <v>3.3862999999999999</v>
          </cell>
          <cell r="C1237">
            <v>9.9409041095890416</v>
          </cell>
        </row>
        <row r="1238">
          <cell r="B1238">
            <v>3.3889999999999998</v>
          </cell>
          <cell r="C1238">
            <v>9.9411232876712337</v>
          </cell>
        </row>
        <row r="1239">
          <cell r="B1239">
            <v>3.3917999999999999</v>
          </cell>
          <cell r="C1239">
            <v>9.941342465753424</v>
          </cell>
        </row>
        <row r="1240">
          <cell r="B1240">
            <v>3.3944999999999999</v>
          </cell>
          <cell r="C1240">
            <v>9.941561643835616</v>
          </cell>
        </row>
        <row r="1241">
          <cell r="B1241">
            <v>3.3973</v>
          </cell>
          <cell r="C1241">
            <v>9.9417808219178081</v>
          </cell>
        </row>
        <row r="1242">
          <cell r="B1242">
            <v>3.4</v>
          </cell>
          <cell r="C1242">
            <v>9.9420000000000002</v>
          </cell>
        </row>
        <row r="1243">
          <cell r="B1243">
            <v>3.4026999999999998</v>
          </cell>
          <cell r="C1243">
            <v>9.9422191780821922</v>
          </cell>
        </row>
        <row r="1244">
          <cell r="B1244">
            <v>3.4055</v>
          </cell>
          <cell r="C1244">
            <v>9.9424383561643843</v>
          </cell>
        </row>
        <row r="1245">
          <cell r="B1245">
            <v>3.4081999999999999</v>
          </cell>
          <cell r="C1245">
            <v>9.9426575342465764</v>
          </cell>
        </row>
        <row r="1246">
          <cell r="B1246">
            <v>3.411</v>
          </cell>
          <cell r="C1246">
            <v>9.9428767123287667</v>
          </cell>
        </row>
        <row r="1247">
          <cell r="B1247">
            <v>3.4137</v>
          </cell>
          <cell r="C1247">
            <v>9.9430958904109588</v>
          </cell>
        </row>
        <row r="1248">
          <cell r="B1248">
            <v>3.4163999999999999</v>
          </cell>
          <cell r="C1248">
            <v>9.9433150684931508</v>
          </cell>
        </row>
        <row r="1249">
          <cell r="B1249">
            <v>3.4192</v>
          </cell>
          <cell r="C1249">
            <v>9.9435342465753429</v>
          </cell>
        </row>
        <row r="1250">
          <cell r="B1250">
            <v>3.4218999999999999</v>
          </cell>
          <cell r="C1250">
            <v>9.943753424657535</v>
          </cell>
        </row>
        <row r="1251">
          <cell r="B1251">
            <v>3.4247000000000001</v>
          </cell>
          <cell r="C1251">
            <v>9.9439726027397271</v>
          </cell>
        </row>
        <row r="1252">
          <cell r="B1252">
            <v>3.4274</v>
          </cell>
          <cell r="C1252">
            <v>9.9441917808219173</v>
          </cell>
        </row>
        <row r="1253">
          <cell r="B1253">
            <v>3.4300999999999999</v>
          </cell>
          <cell r="C1253">
            <v>9.9444109589041094</v>
          </cell>
        </row>
        <row r="1254">
          <cell r="B1254">
            <v>3.4329000000000001</v>
          </cell>
          <cell r="C1254">
            <v>9.9446301369863015</v>
          </cell>
        </row>
        <row r="1255">
          <cell r="B1255">
            <v>3.4356</v>
          </cell>
          <cell r="C1255">
            <v>9.9448493150684936</v>
          </cell>
        </row>
        <row r="1256">
          <cell r="B1256">
            <v>3.4384000000000001</v>
          </cell>
          <cell r="C1256">
            <v>9.9450684931506856</v>
          </cell>
        </row>
        <row r="1257">
          <cell r="B1257">
            <v>3.4411</v>
          </cell>
          <cell r="C1257">
            <v>9.9452876712328777</v>
          </cell>
        </row>
        <row r="1258">
          <cell r="B1258">
            <v>3.4438</v>
          </cell>
          <cell r="C1258">
            <v>9.945506849315068</v>
          </cell>
        </row>
        <row r="1259">
          <cell r="B1259">
            <v>3.4466000000000001</v>
          </cell>
          <cell r="C1259">
            <v>9.9457260273972601</v>
          </cell>
        </row>
        <row r="1260">
          <cell r="B1260">
            <v>3.4493</v>
          </cell>
          <cell r="C1260">
            <v>9.9459452054794522</v>
          </cell>
        </row>
        <row r="1261">
          <cell r="B1261">
            <v>3.4521000000000002</v>
          </cell>
          <cell r="C1261">
            <v>9.9461643835616442</v>
          </cell>
        </row>
        <row r="1262">
          <cell r="B1262">
            <v>3.4548000000000001</v>
          </cell>
          <cell r="C1262">
            <v>9.9463835616438363</v>
          </cell>
        </row>
        <row r="1263">
          <cell r="B1263">
            <v>3.4575</v>
          </cell>
          <cell r="C1263">
            <v>9.9466027397260284</v>
          </cell>
        </row>
        <row r="1264">
          <cell r="B1264">
            <v>3.4603000000000002</v>
          </cell>
          <cell r="C1264">
            <v>9.9468219178082187</v>
          </cell>
        </row>
        <row r="1265">
          <cell r="B1265">
            <v>3.4630000000000001</v>
          </cell>
          <cell r="C1265">
            <v>9.9470410958904107</v>
          </cell>
        </row>
        <row r="1266">
          <cell r="B1266">
            <v>3.4658000000000002</v>
          </cell>
          <cell r="C1266">
            <v>9.9472602739726028</v>
          </cell>
        </row>
        <row r="1267">
          <cell r="B1267">
            <v>3.4685000000000001</v>
          </cell>
          <cell r="C1267">
            <v>9.9474794520547949</v>
          </cell>
        </row>
        <row r="1268">
          <cell r="B1268">
            <v>3.4712000000000001</v>
          </cell>
          <cell r="C1268">
            <v>9.947698630136987</v>
          </cell>
        </row>
        <row r="1269">
          <cell r="B1269">
            <v>3.4740000000000002</v>
          </cell>
          <cell r="C1269">
            <v>9.947917808219179</v>
          </cell>
        </row>
        <row r="1270">
          <cell r="B1270">
            <v>3.4767000000000001</v>
          </cell>
          <cell r="C1270">
            <v>9.9481369863013693</v>
          </cell>
        </row>
        <row r="1271">
          <cell r="B1271">
            <v>3.4794999999999998</v>
          </cell>
          <cell r="C1271">
            <v>9.9483561643835614</v>
          </cell>
        </row>
        <row r="1272">
          <cell r="B1272">
            <v>3.4822000000000002</v>
          </cell>
          <cell r="C1272">
            <v>9.9485753424657535</v>
          </cell>
        </row>
        <row r="1273">
          <cell r="B1273">
            <v>3.4849000000000001</v>
          </cell>
          <cell r="C1273">
            <v>9.9487945205479456</v>
          </cell>
        </row>
        <row r="1274">
          <cell r="B1274">
            <v>3.4876999999999998</v>
          </cell>
          <cell r="C1274">
            <v>9.9490136986301376</v>
          </cell>
        </row>
        <row r="1275">
          <cell r="B1275">
            <v>3.4904000000000002</v>
          </cell>
          <cell r="C1275">
            <v>9.9492328767123297</v>
          </cell>
        </row>
        <row r="1276">
          <cell r="B1276">
            <v>3.4931999999999999</v>
          </cell>
          <cell r="C1276">
            <v>9.94945205479452</v>
          </cell>
        </row>
        <row r="1277">
          <cell r="B1277">
            <v>3.4958999999999998</v>
          </cell>
          <cell r="C1277">
            <v>9.9496712328767121</v>
          </cell>
        </row>
        <row r="1278">
          <cell r="B1278">
            <v>3.4986000000000002</v>
          </cell>
          <cell r="C1278">
            <v>9.9498904109589041</v>
          </cell>
        </row>
        <row r="1279">
          <cell r="B1279">
            <v>3.5013999999999998</v>
          </cell>
          <cell r="C1279">
            <v>9.9501095890410962</v>
          </cell>
        </row>
        <row r="1280">
          <cell r="B1280">
            <v>3.5041000000000002</v>
          </cell>
          <cell r="C1280">
            <v>9.9503287671232883</v>
          </cell>
        </row>
        <row r="1281">
          <cell r="B1281">
            <v>3.5068000000000001</v>
          </cell>
          <cell r="C1281">
            <v>9.9505479452054804</v>
          </cell>
        </row>
        <row r="1282">
          <cell r="B1282">
            <v>3.5095999999999998</v>
          </cell>
          <cell r="C1282">
            <v>9.9507671232876707</v>
          </cell>
        </row>
        <row r="1283">
          <cell r="B1283">
            <v>3.5123000000000002</v>
          </cell>
          <cell r="C1283">
            <v>9.9509863013698627</v>
          </cell>
        </row>
        <row r="1284">
          <cell r="B1284">
            <v>3.5150999999999999</v>
          </cell>
          <cell r="C1284">
            <v>9.9512054794520548</v>
          </cell>
        </row>
        <row r="1285">
          <cell r="B1285">
            <v>3.5177999999999998</v>
          </cell>
          <cell r="C1285">
            <v>9.9514246575342469</v>
          </cell>
        </row>
        <row r="1286">
          <cell r="B1286">
            <v>3.5205000000000002</v>
          </cell>
          <cell r="C1286">
            <v>9.9516438356164389</v>
          </cell>
        </row>
        <row r="1287">
          <cell r="B1287">
            <v>3.5232999999999999</v>
          </cell>
          <cell r="C1287">
            <v>9.951863013698631</v>
          </cell>
        </row>
        <row r="1288">
          <cell r="B1288">
            <v>3.5259999999999998</v>
          </cell>
          <cell r="C1288">
            <v>9.9520821917808213</v>
          </cell>
        </row>
        <row r="1289">
          <cell r="B1289">
            <v>3.5287999999999999</v>
          </cell>
          <cell r="C1289">
            <v>9.9523013698630134</v>
          </cell>
        </row>
        <row r="1290">
          <cell r="B1290">
            <v>3.5314999999999999</v>
          </cell>
          <cell r="C1290">
            <v>9.9525205479452055</v>
          </cell>
        </row>
        <row r="1291">
          <cell r="B1291">
            <v>3.5341999999999998</v>
          </cell>
          <cell r="C1291">
            <v>9.9527397260273975</v>
          </cell>
        </row>
        <row r="1292">
          <cell r="B1292">
            <v>3.5369999999999999</v>
          </cell>
          <cell r="C1292">
            <v>9.9529589041095896</v>
          </cell>
        </row>
        <row r="1293">
          <cell r="B1293">
            <v>3.5396999999999998</v>
          </cell>
          <cell r="C1293">
            <v>9.9531780821917817</v>
          </cell>
        </row>
        <row r="1294">
          <cell r="B1294">
            <v>3.5425</v>
          </cell>
          <cell r="C1294">
            <v>9.953397260273972</v>
          </cell>
        </row>
        <row r="1295">
          <cell r="B1295">
            <v>3.5451999999999999</v>
          </cell>
          <cell r="C1295">
            <v>9.9536164383561641</v>
          </cell>
        </row>
        <row r="1296">
          <cell r="B1296">
            <v>3.5478999999999998</v>
          </cell>
          <cell r="C1296">
            <v>9.9538356164383561</v>
          </cell>
        </row>
        <row r="1297">
          <cell r="B1297">
            <v>3.5507</v>
          </cell>
          <cell r="C1297">
            <v>9.9540547945205482</v>
          </cell>
        </row>
        <row r="1298">
          <cell r="B1298">
            <v>3.5533999999999999</v>
          </cell>
          <cell r="C1298">
            <v>9.9542739726027403</v>
          </cell>
        </row>
        <row r="1299">
          <cell r="B1299">
            <v>3.5562</v>
          </cell>
          <cell r="C1299">
            <v>9.9544931506849323</v>
          </cell>
        </row>
        <row r="1300">
          <cell r="B1300">
            <v>3.5589</v>
          </cell>
          <cell r="C1300">
            <v>9.9547123287671226</v>
          </cell>
        </row>
        <row r="1301">
          <cell r="B1301">
            <v>3.5615999999999999</v>
          </cell>
          <cell r="C1301">
            <v>9.9549315068493147</v>
          </cell>
        </row>
        <row r="1302">
          <cell r="B1302">
            <v>3.5644</v>
          </cell>
          <cell r="C1302">
            <v>9.9551506849315068</v>
          </cell>
        </row>
        <row r="1303">
          <cell r="B1303">
            <v>3.5670999999999999</v>
          </cell>
          <cell r="C1303">
            <v>9.9553698630136989</v>
          </cell>
        </row>
        <row r="1304">
          <cell r="B1304">
            <v>3.5699000000000001</v>
          </cell>
          <cell r="C1304">
            <v>9.9555890410958909</v>
          </cell>
        </row>
        <row r="1305">
          <cell r="B1305">
            <v>3.5726</v>
          </cell>
          <cell r="C1305">
            <v>9.955808219178083</v>
          </cell>
        </row>
        <row r="1306">
          <cell r="B1306">
            <v>3.5752999999999999</v>
          </cell>
          <cell r="C1306">
            <v>9.9560273972602733</v>
          </cell>
        </row>
        <row r="1307">
          <cell r="B1307">
            <v>3.5781000000000001</v>
          </cell>
          <cell r="C1307">
            <v>9.9562465753424654</v>
          </cell>
        </row>
        <row r="1308">
          <cell r="B1308">
            <v>3.5808</v>
          </cell>
          <cell r="C1308">
            <v>9.9564657534246574</v>
          </cell>
        </row>
        <row r="1309">
          <cell r="B1309">
            <v>3.5836000000000001</v>
          </cell>
          <cell r="C1309">
            <v>9.9566849315068495</v>
          </cell>
        </row>
        <row r="1310">
          <cell r="B1310">
            <v>3.5863</v>
          </cell>
          <cell r="C1310">
            <v>9.9569041095890416</v>
          </cell>
        </row>
        <row r="1311">
          <cell r="B1311">
            <v>3.589</v>
          </cell>
          <cell r="C1311">
            <v>9.9571232876712337</v>
          </cell>
        </row>
        <row r="1312">
          <cell r="B1312">
            <v>3.5918000000000001</v>
          </cell>
          <cell r="C1312">
            <v>9.957342465753424</v>
          </cell>
        </row>
        <row r="1313">
          <cell r="B1313">
            <v>3.5945</v>
          </cell>
          <cell r="C1313">
            <v>9.957561643835616</v>
          </cell>
        </row>
        <row r="1314">
          <cell r="B1314">
            <v>3.5973000000000002</v>
          </cell>
          <cell r="C1314">
            <v>9.9577808219178081</v>
          </cell>
        </row>
        <row r="1315">
          <cell r="B1315">
            <v>3.6</v>
          </cell>
          <cell r="C1315">
            <v>9.9580000000000002</v>
          </cell>
        </row>
        <row r="1316">
          <cell r="B1316">
            <v>3.6027</v>
          </cell>
          <cell r="C1316">
            <v>9.9582191780821923</v>
          </cell>
        </row>
        <row r="1317">
          <cell r="B1317">
            <v>3.6055000000000001</v>
          </cell>
          <cell r="C1317">
            <v>9.9584383561643843</v>
          </cell>
        </row>
        <row r="1318">
          <cell r="B1318">
            <v>3.6082000000000001</v>
          </cell>
          <cell r="C1318">
            <v>9.9586575342465764</v>
          </cell>
        </row>
        <row r="1319">
          <cell r="B1319">
            <v>3.6110000000000002</v>
          </cell>
          <cell r="C1319">
            <v>9.9588767123287667</v>
          </cell>
        </row>
        <row r="1320">
          <cell r="B1320">
            <v>3.6137000000000001</v>
          </cell>
          <cell r="C1320">
            <v>9.9590958904109588</v>
          </cell>
        </row>
        <row r="1321">
          <cell r="B1321">
            <v>3.6164000000000001</v>
          </cell>
          <cell r="C1321">
            <v>9.9593150684931508</v>
          </cell>
        </row>
        <row r="1322">
          <cell r="B1322">
            <v>3.6192000000000002</v>
          </cell>
          <cell r="C1322">
            <v>9.9595342465753429</v>
          </cell>
        </row>
        <row r="1323">
          <cell r="B1323">
            <v>3.6219000000000001</v>
          </cell>
          <cell r="C1323">
            <v>9.959753424657535</v>
          </cell>
        </row>
        <row r="1324">
          <cell r="B1324">
            <v>3.6246999999999998</v>
          </cell>
          <cell r="C1324">
            <v>9.9599726027397271</v>
          </cell>
        </row>
        <row r="1325">
          <cell r="B1325">
            <v>3.6274000000000002</v>
          </cell>
          <cell r="C1325">
            <v>9.9601917808219174</v>
          </cell>
        </row>
        <row r="1326">
          <cell r="B1326">
            <v>3.6301000000000001</v>
          </cell>
          <cell r="C1326">
            <v>9.9604109589041094</v>
          </cell>
        </row>
        <row r="1327">
          <cell r="B1327">
            <v>3.6328999999999998</v>
          </cell>
          <cell r="C1327">
            <v>9.9606301369863015</v>
          </cell>
        </row>
        <row r="1328">
          <cell r="B1328">
            <v>3.6356000000000002</v>
          </cell>
          <cell r="C1328">
            <v>9.9608493150684936</v>
          </cell>
        </row>
        <row r="1329">
          <cell r="B1329">
            <v>3.6383999999999999</v>
          </cell>
          <cell r="C1329">
            <v>9.9610684931506857</v>
          </cell>
        </row>
        <row r="1330">
          <cell r="B1330">
            <v>3.6410999999999998</v>
          </cell>
          <cell r="C1330">
            <v>9.9612876712328777</v>
          </cell>
        </row>
        <row r="1331">
          <cell r="B1331">
            <v>3.6438000000000001</v>
          </cell>
          <cell r="C1331">
            <v>9.961506849315068</v>
          </cell>
        </row>
        <row r="1332">
          <cell r="B1332">
            <v>3.6465999999999998</v>
          </cell>
          <cell r="C1332">
            <v>9.9617260273972601</v>
          </cell>
        </row>
        <row r="1333">
          <cell r="B1333">
            <v>3.6493000000000002</v>
          </cell>
          <cell r="C1333">
            <v>9.9619452054794522</v>
          </cell>
        </row>
        <row r="1334">
          <cell r="B1334">
            <v>3.6520999999999999</v>
          </cell>
          <cell r="C1334">
            <v>9.9621643835616442</v>
          </cell>
        </row>
        <row r="1335">
          <cell r="B1335">
            <v>3.6547999999999998</v>
          </cell>
          <cell r="C1335">
            <v>9.9623835616438363</v>
          </cell>
        </row>
        <row r="1336">
          <cell r="B1336">
            <v>3.6575000000000002</v>
          </cell>
          <cell r="C1336">
            <v>9.9626027397260284</v>
          </cell>
        </row>
        <row r="1337">
          <cell r="B1337">
            <v>3.6602999999999999</v>
          </cell>
          <cell r="C1337">
            <v>9.9628219178082187</v>
          </cell>
        </row>
        <row r="1338">
          <cell r="B1338">
            <v>3.6629999999999998</v>
          </cell>
          <cell r="C1338">
            <v>9.9630410958904108</v>
          </cell>
        </row>
        <row r="1339">
          <cell r="B1339">
            <v>3.6657999999999999</v>
          </cell>
          <cell r="C1339">
            <v>9.9632602739726028</v>
          </cell>
        </row>
        <row r="1340">
          <cell r="B1340">
            <v>3.6684999999999999</v>
          </cell>
          <cell r="C1340">
            <v>9.9634794520547949</v>
          </cell>
        </row>
        <row r="1341">
          <cell r="B1341">
            <v>3.6711999999999998</v>
          </cell>
          <cell r="C1341">
            <v>9.963698630136987</v>
          </cell>
        </row>
        <row r="1342">
          <cell r="B1342">
            <v>3.6739999999999999</v>
          </cell>
          <cell r="C1342">
            <v>9.9639178082191791</v>
          </cell>
        </row>
        <row r="1343">
          <cell r="B1343">
            <v>3.6766999999999999</v>
          </cell>
          <cell r="C1343">
            <v>9.9641369863013693</v>
          </cell>
        </row>
        <row r="1344">
          <cell r="B1344">
            <v>3.6795</v>
          </cell>
          <cell r="C1344">
            <v>9.9643561643835614</v>
          </cell>
        </row>
        <row r="1345">
          <cell r="B1345">
            <v>3.6821999999999999</v>
          </cell>
          <cell r="C1345">
            <v>9.9645753424657535</v>
          </cell>
        </row>
        <row r="1346">
          <cell r="B1346">
            <v>3.6848999999999998</v>
          </cell>
          <cell r="C1346">
            <v>9.9647945205479456</v>
          </cell>
        </row>
        <row r="1347">
          <cell r="B1347">
            <v>3.6877</v>
          </cell>
          <cell r="C1347">
            <v>9.9650136986301376</v>
          </cell>
        </row>
        <row r="1348">
          <cell r="B1348">
            <v>3.6903999999999999</v>
          </cell>
          <cell r="C1348">
            <v>9.9652328767123297</v>
          </cell>
        </row>
        <row r="1349">
          <cell r="B1349">
            <v>3.6932</v>
          </cell>
          <cell r="C1349">
            <v>9.96545205479452</v>
          </cell>
        </row>
        <row r="1350">
          <cell r="B1350">
            <v>3.6959</v>
          </cell>
          <cell r="C1350">
            <v>9.9656712328767121</v>
          </cell>
        </row>
        <row r="1351">
          <cell r="B1351">
            <v>3.6985999999999999</v>
          </cell>
          <cell r="C1351">
            <v>9.9658904109589042</v>
          </cell>
        </row>
        <row r="1352">
          <cell r="B1352">
            <v>3.7014</v>
          </cell>
          <cell r="C1352">
            <v>9.9661095890410962</v>
          </cell>
        </row>
        <row r="1353">
          <cell r="B1353">
            <v>3.7040999999999999</v>
          </cell>
          <cell r="C1353">
            <v>9.9663287671232883</v>
          </cell>
        </row>
        <row r="1354">
          <cell r="B1354">
            <v>3.7067999999999999</v>
          </cell>
          <cell r="C1354">
            <v>9.9665479452054804</v>
          </cell>
        </row>
        <row r="1355">
          <cell r="B1355">
            <v>3.7096</v>
          </cell>
          <cell r="C1355">
            <v>9.9667671232876707</v>
          </cell>
        </row>
        <row r="1356">
          <cell r="B1356">
            <v>3.7122999999999999</v>
          </cell>
          <cell r="C1356">
            <v>9.9669863013698627</v>
          </cell>
        </row>
        <row r="1357">
          <cell r="B1357">
            <v>3.7151000000000001</v>
          </cell>
          <cell r="C1357">
            <v>9.9672054794520548</v>
          </cell>
        </row>
        <row r="1358">
          <cell r="B1358">
            <v>3.7178</v>
          </cell>
          <cell r="C1358">
            <v>9.9674246575342469</v>
          </cell>
        </row>
        <row r="1359">
          <cell r="B1359">
            <v>3.7204999999999999</v>
          </cell>
          <cell r="C1359">
            <v>9.967643835616439</v>
          </cell>
        </row>
        <row r="1360">
          <cell r="B1360">
            <v>3.7233000000000001</v>
          </cell>
          <cell r="C1360">
            <v>9.967863013698631</v>
          </cell>
        </row>
        <row r="1361">
          <cell r="B1361">
            <v>3.726</v>
          </cell>
          <cell r="C1361">
            <v>9.9680821917808213</v>
          </cell>
        </row>
        <row r="1362">
          <cell r="B1362">
            <v>3.7288000000000001</v>
          </cell>
          <cell r="C1362">
            <v>9.9683013698630134</v>
          </cell>
        </row>
        <row r="1363">
          <cell r="B1363">
            <v>3.7315</v>
          </cell>
          <cell r="C1363">
            <v>9.9685205479452055</v>
          </cell>
        </row>
        <row r="1364">
          <cell r="B1364">
            <v>3.7342</v>
          </cell>
          <cell r="C1364">
            <v>9.9687397260273976</v>
          </cell>
        </row>
        <row r="1365">
          <cell r="B1365">
            <v>3.7370000000000001</v>
          </cell>
          <cell r="C1365">
            <v>9.9689589041095896</v>
          </cell>
        </row>
        <row r="1366">
          <cell r="B1366">
            <v>3.7397</v>
          </cell>
          <cell r="C1366">
            <v>9.9691780821917817</v>
          </cell>
        </row>
        <row r="1367">
          <cell r="B1367">
            <v>3.7425000000000002</v>
          </cell>
          <cell r="C1367">
            <v>9.969397260273972</v>
          </cell>
        </row>
        <row r="1368">
          <cell r="B1368">
            <v>3.7452000000000001</v>
          </cell>
          <cell r="C1368">
            <v>9.9696164383561641</v>
          </cell>
        </row>
        <row r="1369">
          <cell r="B1369">
            <v>3.7479</v>
          </cell>
          <cell r="C1369">
            <v>9.9698356164383561</v>
          </cell>
        </row>
        <row r="1370">
          <cell r="B1370">
            <v>3.7507000000000001</v>
          </cell>
          <cell r="C1370">
            <v>9.9700547945205482</v>
          </cell>
        </row>
        <row r="1371">
          <cell r="B1371">
            <v>3.7534000000000001</v>
          </cell>
          <cell r="C1371">
            <v>9.9702739726027403</v>
          </cell>
        </row>
        <row r="1372">
          <cell r="B1372">
            <v>3.7562000000000002</v>
          </cell>
          <cell r="C1372">
            <v>9.9704931506849324</v>
          </cell>
        </row>
        <row r="1373">
          <cell r="B1373">
            <v>3.7589000000000001</v>
          </cell>
          <cell r="C1373">
            <v>9.9707123287671227</v>
          </cell>
        </row>
        <row r="1374">
          <cell r="B1374">
            <v>3.7616000000000001</v>
          </cell>
          <cell r="C1374">
            <v>9.9709315068493147</v>
          </cell>
        </row>
        <row r="1375">
          <cell r="B1375">
            <v>3.7644000000000002</v>
          </cell>
          <cell r="C1375">
            <v>9.9711506849315068</v>
          </cell>
        </row>
        <row r="1376">
          <cell r="B1376">
            <v>3.7671000000000001</v>
          </cell>
          <cell r="C1376">
            <v>9.9713698630136989</v>
          </cell>
        </row>
        <row r="1377">
          <cell r="B1377">
            <v>3.7698999999999998</v>
          </cell>
          <cell r="C1377">
            <v>9.9715890410958909</v>
          </cell>
        </row>
        <row r="1378">
          <cell r="B1378">
            <v>3.7726000000000002</v>
          </cell>
          <cell r="C1378">
            <v>9.971808219178083</v>
          </cell>
        </row>
        <row r="1379">
          <cell r="B1379">
            <v>3.7753000000000001</v>
          </cell>
          <cell r="C1379">
            <v>9.9720273972602733</v>
          </cell>
        </row>
        <row r="1380">
          <cell r="B1380">
            <v>3.7780999999999998</v>
          </cell>
          <cell r="C1380">
            <v>9.9722465753424654</v>
          </cell>
        </row>
        <row r="1381">
          <cell r="B1381">
            <v>3.7808000000000002</v>
          </cell>
          <cell r="C1381">
            <v>9.9724657534246575</v>
          </cell>
        </row>
        <row r="1382">
          <cell r="B1382">
            <v>3.7835999999999999</v>
          </cell>
          <cell r="C1382">
            <v>9.9726849315068495</v>
          </cell>
        </row>
        <row r="1383">
          <cell r="B1383">
            <v>3.7863000000000002</v>
          </cell>
          <cell r="C1383">
            <v>9.9729041095890416</v>
          </cell>
        </row>
        <row r="1384">
          <cell r="B1384">
            <v>3.7890000000000001</v>
          </cell>
          <cell r="C1384">
            <v>9.9731232876712337</v>
          </cell>
        </row>
        <row r="1385">
          <cell r="B1385">
            <v>3.7917999999999998</v>
          </cell>
          <cell r="C1385">
            <v>9.973342465753424</v>
          </cell>
        </row>
        <row r="1386">
          <cell r="B1386">
            <v>3.7945000000000002</v>
          </cell>
          <cell r="C1386">
            <v>9.9735616438356161</v>
          </cell>
        </row>
        <row r="1387">
          <cell r="B1387">
            <v>3.7972999999999999</v>
          </cell>
          <cell r="C1387">
            <v>9.9737808219178081</v>
          </cell>
        </row>
        <row r="1388">
          <cell r="B1388">
            <v>3.8</v>
          </cell>
          <cell r="C1388">
            <v>9.9740000000000002</v>
          </cell>
        </row>
        <row r="1389">
          <cell r="B1389">
            <v>3.8027000000000002</v>
          </cell>
          <cell r="C1389">
            <v>9.9742191780821923</v>
          </cell>
        </row>
        <row r="1390">
          <cell r="B1390">
            <v>3.8054999999999999</v>
          </cell>
          <cell r="C1390">
            <v>9.9744383561643843</v>
          </cell>
        </row>
        <row r="1391">
          <cell r="B1391">
            <v>3.8081999999999998</v>
          </cell>
          <cell r="C1391">
            <v>9.9746575342465764</v>
          </cell>
        </row>
        <row r="1392">
          <cell r="B1392">
            <v>3.8109999999999999</v>
          </cell>
          <cell r="C1392">
            <v>9.9748767123287667</v>
          </cell>
        </row>
        <row r="1393">
          <cell r="B1393">
            <v>3.8136999999999999</v>
          </cell>
          <cell r="C1393">
            <v>9.9750958904109588</v>
          </cell>
        </row>
        <row r="1394">
          <cell r="B1394">
            <v>3.8163999999999998</v>
          </cell>
          <cell r="C1394">
            <v>9.9753150684931509</v>
          </cell>
        </row>
        <row r="1395">
          <cell r="B1395">
            <v>3.8191999999999999</v>
          </cell>
          <cell r="C1395">
            <v>9.9755342465753429</v>
          </cell>
        </row>
        <row r="1396">
          <cell r="B1396">
            <v>3.8218999999999999</v>
          </cell>
          <cell r="C1396">
            <v>9.975753424657535</v>
          </cell>
        </row>
        <row r="1397">
          <cell r="B1397">
            <v>3.8247</v>
          </cell>
          <cell r="C1397">
            <v>9.9759726027397271</v>
          </cell>
        </row>
        <row r="1398">
          <cell r="B1398">
            <v>3.8273999999999999</v>
          </cell>
          <cell r="C1398">
            <v>9.9761917808219174</v>
          </cell>
        </row>
        <row r="1399">
          <cell r="B1399">
            <v>3.8300999999999998</v>
          </cell>
          <cell r="C1399">
            <v>9.9764109589041094</v>
          </cell>
        </row>
        <row r="1400">
          <cell r="B1400">
            <v>3.8329</v>
          </cell>
          <cell r="C1400">
            <v>9.9766301369863015</v>
          </cell>
        </row>
        <row r="1401">
          <cell r="B1401">
            <v>3.8355999999999999</v>
          </cell>
          <cell r="C1401">
            <v>9.9768493150684936</v>
          </cell>
        </row>
        <row r="1402">
          <cell r="B1402">
            <v>3.8384</v>
          </cell>
          <cell r="C1402">
            <v>9.9770684931506857</v>
          </cell>
        </row>
        <row r="1403">
          <cell r="B1403">
            <v>3.8411</v>
          </cell>
          <cell r="C1403">
            <v>9.9772876712328777</v>
          </cell>
        </row>
        <row r="1404">
          <cell r="B1404">
            <v>3.8437999999999999</v>
          </cell>
          <cell r="C1404">
            <v>9.977506849315068</v>
          </cell>
        </row>
        <row r="1405">
          <cell r="B1405">
            <v>3.8466</v>
          </cell>
          <cell r="C1405">
            <v>9.9777260273972601</v>
          </cell>
        </row>
        <row r="1406">
          <cell r="B1406">
            <v>3.8492999999999999</v>
          </cell>
          <cell r="C1406">
            <v>9.9779452054794522</v>
          </cell>
        </row>
        <row r="1407">
          <cell r="B1407">
            <v>3.8521000000000001</v>
          </cell>
          <cell r="C1407">
            <v>9.9781643835616443</v>
          </cell>
        </row>
        <row r="1408">
          <cell r="B1408">
            <v>3.8548</v>
          </cell>
          <cell r="C1408">
            <v>9.9783835616438363</v>
          </cell>
        </row>
        <row r="1409">
          <cell r="B1409">
            <v>3.8574999999999999</v>
          </cell>
          <cell r="C1409">
            <v>9.9786027397260284</v>
          </cell>
        </row>
        <row r="1410">
          <cell r="B1410">
            <v>3.8603000000000001</v>
          </cell>
          <cell r="C1410">
            <v>9.9788219178082187</v>
          </cell>
        </row>
        <row r="1411">
          <cell r="B1411">
            <v>3.863</v>
          </cell>
          <cell r="C1411">
            <v>9.9790410958904108</v>
          </cell>
        </row>
        <row r="1412">
          <cell r="B1412">
            <v>3.8658000000000001</v>
          </cell>
          <cell r="C1412">
            <v>9.9792602739726028</v>
          </cell>
        </row>
        <row r="1413">
          <cell r="B1413">
            <v>3.8685</v>
          </cell>
          <cell r="C1413">
            <v>9.9794794520547949</v>
          </cell>
        </row>
        <row r="1414">
          <cell r="B1414">
            <v>3.8712</v>
          </cell>
          <cell r="C1414">
            <v>9.979698630136987</v>
          </cell>
        </row>
        <row r="1415">
          <cell r="B1415">
            <v>3.8740000000000001</v>
          </cell>
          <cell r="C1415">
            <v>9.9799178082191791</v>
          </cell>
        </row>
        <row r="1416">
          <cell r="B1416">
            <v>3.8767</v>
          </cell>
          <cell r="C1416">
            <v>9.9801369863013694</v>
          </cell>
        </row>
        <row r="1417">
          <cell r="B1417">
            <v>3.8795000000000002</v>
          </cell>
          <cell r="C1417">
            <v>9.9803561643835614</v>
          </cell>
        </row>
        <row r="1418">
          <cell r="B1418">
            <v>3.8822000000000001</v>
          </cell>
          <cell r="C1418">
            <v>9.9805753424657535</v>
          </cell>
        </row>
        <row r="1419">
          <cell r="B1419">
            <v>3.8849</v>
          </cell>
          <cell r="C1419">
            <v>9.9807945205479456</v>
          </cell>
        </row>
        <row r="1420">
          <cell r="B1420">
            <v>3.8877000000000002</v>
          </cell>
          <cell r="C1420">
            <v>9.9810136986301377</v>
          </cell>
        </row>
        <row r="1421">
          <cell r="B1421">
            <v>3.8904000000000001</v>
          </cell>
          <cell r="C1421">
            <v>9.9812328767123297</v>
          </cell>
        </row>
        <row r="1422">
          <cell r="B1422">
            <v>3.8932000000000002</v>
          </cell>
          <cell r="C1422">
            <v>9.98145205479452</v>
          </cell>
        </row>
        <row r="1423">
          <cell r="B1423">
            <v>3.8959000000000001</v>
          </cell>
          <cell r="C1423">
            <v>9.9816712328767121</v>
          </cell>
        </row>
        <row r="1424">
          <cell r="B1424">
            <v>3.8986000000000001</v>
          </cell>
          <cell r="C1424">
            <v>9.9818904109589042</v>
          </cell>
        </row>
        <row r="1425">
          <cell r="B1425">
            <v>3.9014000000000002</v>
          </cell>
          <cell r="C1425">
            <v>9.9821095890410962</v>
          </cell>
        </row>
        <row r="1426">
          <cell r="B1426">
            <v>3.9041000000000001</v>
          </cell>
          <cell r="C1426">
            <v>9.9823287671232883</v>
          </cell>
        </row>
        <row r="1427">
          <cell r="B1427">
            <v>3.9068000000000001</v>
          </cell>
          <cell r="C1427">
            <v>9.9825479452054804</v>
          </cell>
        </row>
        <row r="1428">
          <cell r="B1428">
            <v>3.9096000000000002</v>
          </cell>
          <cell r="C1428">
            <v>9.9827671232876707</v>
          </cell>
        </row>
        <row r="1429">
          <cell r="B1429">
            <v>3.9123000000000001</v>
          </cell>
          <cell r="C1429">
            <v>9.9829863013698628</v>
          </cell>
        </row>
        <row r="1430">
          <cell r="B1430">
            <v>3.9150999999999998</v>
          </cell>
          <cell r="C1430">
            <v>9.9832054794520548</v>
          </cell>
        </row>
        <row r="1431">
          <cell r="B1431">
            <v>3.9178000000000002</v>
          </cell>
          <cell r="C1431">
            <v>9.9834246575342469</v>
          </cell>
        </row>
        <row r="1432">
          <cell r="B1432">
            <v>3.9205000000000001</v>
          </cell>
          <cell r="C1432">
            <v>9.983643835616439</v>
          </cell>
        </row>
        <row r="1433">
          <cell r="B1433">
            <v>3.9232999999999998</v>
          </cell>
          <cell r="C1433">
            <v>9.9838630136986311</v>
          </cell>
        </row>
        <row r="1434">
          <cell r="B1434">
            <v>3.9260000000000002</v>
          </cell>
          <cell r="C1434">
            <v>9.9840821917808213</v>
          </cell>
        </row>
        <row r="1435">
          <cell r="B1435">
            <v>3.9287999999999998</v>
          </cell>
          <cell r="C1435">
            <v>9.9843013698630134</v>
          </cell>
        </row>
        <row r="1436">
          <cell r="B1436">
            <v>3.9315000000000002</v>
          </cell>
          <cell r="C1436">
            <v>9.9845205479452055</v>
          </cell>
        </row>
        <row r="1437">
          <cell r="B1437">
            <v>3.9342000000000001</v>
          </cell>
          <cell r="C1437">
            <v>9.9847397260273976</v>
          </cell>
        </row>
        <row r="1438">
          <cell r="B1438">
            <v>3.9369999999999998</v>
          </cell>
          <cell r="C1438">
            <v>9.9849589041095896</v>
          </cell>
        </row>
        <row r="1439">
          <cell r="B1439">
            <v>3.9397000000000002</v>
          </cell>
          <cell r="C1439">
            <v>9.9851780821917817</v>
          </cell>
        </row>
        <row r="1440">
          <cell r="B1440">
            <v>3.9424999999999999</v>
          </cell>
          <cell r="C1440">
            <v>9.985397260273972</v>
          </cell>
        </row>
        <row r="1441">
          <cell r="B1441">
            <v>3.9451999999999998</v>
          </cell>
          <cell r="C1441">
            <v>9.9856164383561641</v>
          </cell>
        </row>
        <row r="1442">
          <cell r="B1442">
            <v>3.9479000000000002</v>
          </cell>
          <cell r="C1442">
            <v>9.9858356164383562</v>
          </cell>
        </row>
        <row r="1443">
          <cell r="B1443">
            <v>3.9506999999999999</v>
          </cell>
          <cell r="C1443">
            <v>9.9860547945205482</v>
          </cell>
        </row>
        <row r="1444">
          <cell r="B1444">
            <v>3.9533999999999998</v>
          </cell>
          <cell r="C1444">
            <v>9.9862739726027403</v>
          </cell>
        </row>
        <row r="1445">
          <cell r="B1445">
            <v>3.9561999999999999</v>
          </cell>
          <cell r="C1445">
            <v>9.9864931506849324</v>
          </cell>
        </row>
        <row r="1446">
          <cell r="B1446">
            <v>3.9588999999999999</v>
          </cell>
          <cell r="C1446">
            <v>9.9867123287671227</v>
          </cell>
        </row>
        <row r="1447">
          <cell r="B1447">
            <v>3.9615999999999998</v>
          </cell>
          <cell r="C1447">
            <v>9.9869315068493147</v>
          </cell>
        </row>
        <row r="1448">
          <cell r="B1448">
            <v>3.9643999999999999</v>
          </cell>
          <cell r="C1448">
            <v>9.9871506849315068</v>
          </cell>
        </row>
        <row r="1449">
          <cell r="B1449">
            <v>3.9670999999999998</v>
          </cell>
          <cell r="C1449">
            <v>9.9873698630136989</v>
          </cell>
        </row>
        <row r="1450">
          <cell r="B1450">
            <v>3.9699</v>
          </cell>
          <cell r="C1450">
            <v>9.987589041095891</v>
          </cell>
        </row>
        <row r="1451">
          <cell r="B1451">
            <v>3.9725999999999999</v>
          </cell>
          <cell r="C1451">
            <v>9.987808219178083</v>
          </cell>
        </row>
        <row r="1452">
          <cell r="B1452">
            <v>3.9752999999999998</v>
          </cell>
          <cell r="C1452">
            <v>9.9880273972602733</v>
          </cell>
        </row>
        <row r="1453">
          <cell r="B1453">
            <v>3.9781</v>
          </cell>
          <cell r="C1453">
            <v>9.9882465753424654</v>
          </cell>
        </row>
        <row r="1454">
          <cell r="B1454">
            <v>3.9807999999999999</v>
          </cell>
          <cell r="C1454">
            <v>9.9884657534246575</v>
          </cell>
        </row>
        <row r="1455">
          <cell r="B1455">
            <v>3.9836</v>
          </cell>
          <cell r="C1455">
            <v>9.9886849315068496</v>
          </cell>
        </row>
        <row r="1456">
          <cell r="B1456">
            <v>3.9863</v>
          </cell>
          <cell r="C1456">
            <v>9.9889041095890416</v>
          </cell>
        </row>
        <row r="1457">
          <cell r="B1457">
            <v>3.9889999999999999</v>
          </cell>
          <cell r="C1457">
            <v>9.9891232876712337</v>
          </cell>
        </row>
        <row r="1458">
          <cell r="B1458">
            <v>3.9918</v>
          </cell>
          <cell r="C1458">
            <v>9.989342465753424</v>
          </cell>
        </row>
        <row r="1459">
          <cell r="B1459">
            <v>3.9944999999999999</v>
          </cell>
          <cell r="C1459">
            <v>9.9895616438356161</v>
          </cell>
        </row>
        <row r="1460">
          <cell r="B1460">
            <v>3.9973000000000001</v>
          </cell>
          <cell r="C1460">
            <v>9.9897808219178081</v>
          </cell>
        </row>
        <row r="1461">
          <cell r="B1461">
            <v>4</v>
          </cell>
          <cell r="C1461">
            <v>9.99</v>
          </cell>
        </row>
        <row r="1462">
          <cell r="B1462">
            <v>4.0026999999999999</v>
          </cell>
          <cell r="C1462">
            <v>9.9901643835616447</v>
          </cell>
        </row>
        <row r="1463">
          <cell r="B1463">
            <v>4.0054999999999996</v>
          </cell>
          <cell r="C1463">
            <v>9.9903287671232874</v>
          </cell>
        </row>
        <row r="1464">
          <cell r="B1464">
            <v>4.0082000000000004</v>
          </cell>
          <cell r="C1464">
            <v>9.9904931506849319</v>
          </cell>
        </row>
        <row r="1465">
          <cell r="B1465">
            <v>4.0110000000000001</v>
          </cell>
          <cell r="C1465">
            <v>9.9906575342465764</v>
          </cell>
        </row>
        <row r="1466">
          <cell r="B1466">
            <v>4.0137</v>
          </cell>
          <cell r="C1466">
            <v>9.9908219178082192</v>
          </cell>
        </row>
        <row r="1467">
          <cell r="B1467">
            <v>4.0164</v>
          </cell>
          <cell r="C1467">
            <v>9.9909863013698637</v>
          </cell>
        </row>
        <row r="1468">
          <cell r="B1468">
            <v>4.0191999999999997</v>
          </cell>
          <cell r="C1468">
            <v>9.9911506849315064</v>
          </cell>
        </row>
        <row r="1469">
          <cell r="B1469">
            <v>4.0218999999999996</v>
          </cell>
          <cell r="C1469">
            <v>9.9913150684931509</v>
          </cell>
        </row>
        <row r="1470">
          <cell r="B1470">
            <v>4.0247000000000002</v>
          </cell>
          <cell r="C1470">
            <v>9.9914794520547954</v>
          </cell>
        </row>
        <row r="1471">
          <cell r="B1471">
            <v>4.0274000000000001</v>
          </cell>
          <cell r="C1471">
            <v>9.9916438356164381</v>
          </cell>
        </row>
        <row r="1472">
          <cell r="B1472">
            <v>4.0301</v>
          </cell>
          <cell r="C1472">
            <v>9.9918082191780826</v>
          </cell>
        </row>
        <row r="1473">
          <cell r="B1473">
            <v>4.0328999999999997</v>
          </cell>
          <cell r="C1473">
            <v>9.9919726027397271</v>
          </cell>
        </row>
        <row r="1474">
          <cell r="B1474">
            <v>4.0355999999999996</v>
          </cell>
          <cell r="C1474">
            <v>9.9921369863013698</v>
          </cell>
        </row>
        <row r="1475">
          <cell r="B1475">
            <v>4.0384000000000002</v>
          </cell>
          <cell r="C1475">
            <v>9.9923013698630143</v>
          </cell>
        </row>
        <row r="1476">
          <cell r="B1476">
            <v>4.0411000000000001</v>
          </cell>
          <cell r="C1476">
            <v>9.992465753424657</v>
          </cell>
        </row>
        <row r="1477">
          <cell r="B1477">
            <v>4.0438000000000001</v>
          </cell>
          <cell r="C1477">
            <v>9.9926301369863015</v>
          </cell>
        </row>
        <row r="1478">
          <cell r="B1478">
            <v>4.0465999999999998</v>
          </cell>
          <cell r="C1478">
            <v>9.992794520547946</v>
          </cell>
        </row>
        <row r="1479">
          <cell r="B1479">
            <v>4.0492999999999997</v>
          </cell>
          <cell r="C1479">
            <v>9.9929589041095888</v>
          </cell>
        </row>
        <row r="1480">
          <cell r="B1480">
            <v>4.0521000000000003</v>
          </cell>
          <cell r="C1480">
            <v>9.9931232876712333</v>
          </cell>
        </row>
        <row r="1481">
          <cell r="B1481">
            <v>4.0548000000000002</v>
          </cell>
          <cell r="C1481">
            <v>9.9932876712328778</v>
          </cell>
        </row>
        <row r="1482">
          <cell r="B1482">
            <v>4.0575000000000001</v>
          </cell>
          <cell r="C1482">
            <v>9.9934520547945205</v>
          </cell>
        </row>
        <row r="1483">
          <cell r="B1483">
            <v>4.0602999999999998</v>
          </cell>
          <cell r="C1483">
            <v>9.993616438356165</v>
          </cell>
        </row>
        <row r="1484">
          <cell r="B1484">
            <v>4.0629999999999997</v>
          </cell>
          <cell r="C1484">
            <v>9.9937808219178077</v>
          </cell>
        </row>
        <row r="1485">
          <cell r="B1485">
            <v>4.0658000000000003</v>
          </cell>
          <cell r="C1485">
            <v>9.9939452054794522</v>
          </cell>
        </row>
        <row r="1486">
          <cell r="B1486">
            <v>4.0685000000000002</v>
          </cell>
          <cell r="C1486">
            <v>9.9941095890410967</v>
          </cell>
        </row>
        <row r="1487">
          <cell r="B1487">
            <v>4.0712000000000002</v>
          </cell>
          <cell r="C1487">
            <v>9.9942739726027394</v>
          </cell>
        </row>
        <row r="1488">
          <cell r="B1488">
            <v>4.0739999999999998</v>
          </cell>
          <cell r="C1488">
            <v>9.9944383561643839</v>
          </cell>
        </row>
        <row r="1489">
          <cell r="B1489">
            <v>4.0766999999999998</v>
          </cell>
          <cell r="C1489">
            <v>9.9946027397260284</v>
          </cell>
        </row>
        <row r="1490">
          <cell r="B1490">
            <v>4.0795000000000003</v>
          </cell>
          <cell r="C1490">
            <v>9.9947671232876711</v>
          </cell>
        </row>
        <row r="1491">
          <cell r="B1491">
            <v>4.0822000000000003</v>
          </cell>
          <cell r="C1491">
            <v>9.9949315068493156</v>
          </cell>
        </row>
        <row r="1492">
          <cell r="B1492">
            <v>4.0849000000000002</v>
          </cell>
          <cell r="C1492">
            <v>9.9950958904109584</v>
          </cell>
        </row>
        <row r="1493">
          <cell r="B1493">
            <v>4.0876999999999999</v>
          </cell>
          <cell r="C1493">
            <v>9.9952602739726029</v>
          </cell>
        </row>
        <row r="1494">
          <cell r="B1494">
            <v>4.0903999999999998</v>
          </cell>
          <cell r="C1494">
            <v>9.9954246575342474</v>
          </cell>
        </row>
        <row r="1495">
          <cell r="B1495">
            <v>4.0932000000000004</v>
          </cell>
          <cell r="C1495">
            <v>9.9955890410958901</v>
          </cell>
        </row>
        <row r="1496">
          <cell r="B1496">
            <v>4.0959000000000003</v>
          </cell>
          <cell r="C1496">
            <v>9.9957534246575346</v>
          </cell>
        </row>
        <row r="1497">
          <cell r="B1497">
            <v>4.0986000000000002</v>
          </cell>
          <cell r="C1497">
            <v>9.9959178082191791</v>
          </cell>
        </row>
        <row r="1498">
          <cell r="B1498">
            <v>4.1013999999999999</v>
          </cell>
          <cell r="C1498">
            <v>9.9960821917808218</v>
          </cell>
        </row>
        <row r="1499">
          <cell r="B1499">
            <v>4.1040999999999999</v>
          </cell>
          <cell r="C1499">
            <v>9.9962465753424663</v>
          </cell>
        </row>
        <row r="1500">
          <cell r="B1500">
            <v>4.1067999999999998</v>
          </cell>
          <cell r="C1500">
            <v>9.996410958904109</v>
          </cell>
        </row>
        <row r="1501">
          <cell r="B1501">
            <v>4.1096000000000004</v>
          </cell>
          <cell r="C1501">
            <v>9.9965753424657535</v>
          </cell>
        </row>
        <row r="1502">
          <cell r="B1502">
            <v>4.1123000000000003</v>
          </cell>
          <cell r="C1502">
            <v>9.996739726027398</v>
          </cell>
        </row>
        <row r="1503">
          <cell r="B1503">
            <v>4.1151</v>
          </cell>
          <cell r="C1503">
            <v>9.9969041095890407</v>
          </cell>
        </row>
        <row r="1504">
          <cell r="B1504">
            <v>4.1177999999999999</v>
          </cell>
          <cell r="C1504">
            <v>9.9970684931506852</v>
          </cell>
        </row>
        <row r="1505">
          <cell r="B1505">
            <v>4.1204999999999998</v>
          </cell>
          <cell r="C1505">
            <v>9.9972328767123297</v>
          </cell>
        </row>
        <row r="1506">
          <cell r="B1506">
            <v>4.1233000000000004</v>
          </cell>
          <cell r="C1506">
            <v>9.9973972602739725</v>
          </cell>
        </row>
        <row r="1507">
          <cell r="B1507">
            <v>4.1260000000000003</v>
          </cell>
          <cell r="C1507">
            <v>9.997561643835617</v>
          </cell>
        </row>
        <row r="1508">
          <cell r="B1508">
            <v>4.1288</v>
          </cell>
          <cell r="C1508">
            <v>9.9977260273972597</v>
          </cell>
        </row>
        <row r="1509">
          <cell r="B1509">
            <v>4.1315</v>
          </cell>
          <cell r="C1509">
            <v>9.9978904109589042</v>
          </cell>
        </row>
        <row r="1510">
          <cell r="B1510">
            <v>4.1341999999999999</v>
          </cell>
          <cell r="C1510">
            <v>9.9980547945205487</v>
          </cell>
        </row>
        <row r="1511">
          <cell r="B1511">
            <v>4.1369999999999996</v>
          </cell>
          <cell r="C1511">
            <v>9.9982191780821914</v>
          </cell>
        </row>
        <row r="1512">
          <cell r="B1512">
            <v>4.1397000000000004</v>
          </cell>
          <cell r="C1512">
            <v>9.9983835616438359</v>
          </cell>
        </row>
        <row r="1513">
          <cell r="B1513">
            <v>4.1425000000000001</v>
          </cell>
          <cell r="C1513">
            <v>9.9985479452054804</v>
          </cell>
        </row>
        <row r="1514">
          <cell r="B1514">
            <v>4.1452</v>
          </cell>
          <cell r="C1514">
            <v>9.9987123287671231</v>
          </cell>
        </row>
        <row r="1515">
          <cell r="B1515">
            <v>4.1478999999999999</v>
          </cell>
          <cell r="C1515">
            <v>9.9988767123287676</v>
          </cell>
        </row>
        <row r="1516">
          <cell r="B1516">
            <v>4.1506999999999996</v>
          </cell>
          <cell r="C1516">
            <v>9.9990410958904121</v>
          </cell>
        </row>
        <row r="1517">
          <cell r="B1517">
            <v>4.1534000000000004</v>
          </cell>
          <cell r="C1517">
            <v>9.9992054794520548</v>
          </cell>
        </row>
        <row r="1518">
          <cell r="B1518">
            <v>4.1562000000000001</v>
          </cell>
          <cell r="C1518">
            <v>9.9993698630136993</v>
          </cell>
        </row>
        <row r="1519">
          <cell r="B1519">
            <v>4.1589</v>
          </cell>
          <cell r="C1519">
            <v>9.9995342465753421</v>
          </cell>
        </row>
        <row r="1520">
          <cell r="B1520">
            <v>4.1616</v>
          </cell>
          <cell r="C1520">
            <v>9.9996986301369866</v>
          </cell>
        </row>
        <row r="1521">
          <cell r="B1521">
            <v>4.1643999999999997</v>
          </cell>
          <cell r="C1521">
            <v>9.9998630136986311</v>
          </cell>
        </row>
        <row r="1522">
          <cell r="B1522">
            <v>4.1670999999999996</v>
          </cell>
          <cell r="C1522">
            <v>10.000027397260274</v>
          </cell>
        </row>
        <row r="1523">
          <cell r="B1523">
            <v>4.1699000000000002</v>
          </cell>
          <cell r="C1523">
            <v>10.000191780821918</v>
          </cell>
        </row>
        <row r="1524">
          <cell r="B1524">
            <v>4.1726000000000001</v>
          </cell>
          <cell r="C1524">
            <v>10.000356164383563</v>
          </cell>
        </row>
        <row r="1525">
          <cell r="B1525">
            <v>4.1753</v>
          </cell>
          <cell r="C1525">
            <v>10.000520547945206</v>
          </cell>
        </row>
        <row r="1526">
          <cell r="B1526">
            <v>4.1780999999999997</v>
          </cell>
          <cell r="C1526">
            <v>10.00068493150685</v>
          </cell>
        </row>
        <row r="1527">
          <cell r="B1527">
            <v>4.1807999999999996</v>
          </cell>
          <cell r="C1527">
            <v>10.000849315068493</v>
          </cell>
        </row>
        <row r="1528">
          <cell r="B1528">
            <v>4.1836000000000002</v>
          </cell>
          <cell r="C1528">
            <v>10.001013698630137</v>
          </cell>
        </row>
        <row r="1529">
          <cell r="B1529">
            <v>4.1863000000000001</v>
          </cell>
          <cell r="C1529">
            <v>10.001178082191782</v>
          </cell>
        </row>
        <row r="1530">
          <cell r="B1530">
            <v>4.1890000000000001</v>
          </cell>
          <cell r="C1530">
            <v>10.001342465753424</v>
          </cell>
        </row>
        <row r="1531">
          <cell r="B1531">
            <v>4.1917999999999997</v>
          </cell>
          <cell r="C1531">
            <v>10.001506849315069</v>
          </cell>
        </row>
        <row r="1532">
          <cell r="B1532">
            <v>4.1944999999999997</v>
          </cell>
          <cell r="C1532">
            <v>10.001671232876713</v>
          </cell>
        </row>
        <row r="1533">
          <cell r="B1533">
            <v>4.1973000000000003</v>
          </cell>
          <cell r="C1533">
            <v>10.001835616438356</v>
          </cell>
        </row>
        <row r="1534">
          <cell r="B1534">
            <v>4.2</v>
          </cell>
          <cell r="C1534">
            <v>10.002000000000001</v>
          </cell>
        </row>
        <row r="1535">
          <cell r="B1535">
            <v>4.2027000000000001</v>
          </cell>
          <cell r="C1535">
            <v>10.002164383561643</v>
          </cell>
        </row>
        <row r="1536">
          <cell r="B1536">
            <v>4.2054999999999998</v>
          </cell>
          <cell r="C1536">
            <v>10.002328767123288</v>
          </cell>
        </row>
        <row r="1537">
          <cell r="B1537">
            <v>4.2081999999999997</v>
          </cell>
          <cell r="C1537">
            <v>10.002493150684932</v>
          </cell>
        </row>
        <row r="1538">
          <cell r="B1538">
            <v>4.2110000000000003</v>
          </cell>
          <cell r="C1538">
            <v>10.002657534246575</v>
          </cell>
        </row>
        <row r="1539">
          <cell r="B1539">
            <v>4.2137000000000002</v>
          </cell>
          <cell r="C1539">
            <v>10.00282191780822</v>
          </cell>
        </row>
        <row r="1540">
          <cell r="B1540">
            <v>4.2164000000000001</v>
          </cell>
          <cell r="C1540">
            <v>10.002986301369864</v>
          </cell>
        </row>
        <row r="1541">
          <cell r="B1541">
            <v>4.2191999999999998</v>
          </cell>
          <cell r="C1541">
            <v>10.003150684931507</v>
          </cell>
        </row>
        <row r="1542">
          <cell r="B1542">
            <v>4.2218999999999998</v>
          </cell>
          <cell r="C1542">
            <v>10.003315068493151</v>
          </cell>
        </row>
        <row r="1543">
          <cell r="B1543">
            <v>4.2247000000000003</v>
          </cell>
          <cell r="C1543">
            <v>10.003479452054794</v>
          </cell>
        </row>
        <row r="1544">
          <cell r="B1544">
            <v>4.2274000000000003</v>
          </cell>
          <cell r="C1544">
            <v>10.003643835616439</v>
          </cell>
        </row>
        <row r="1545">
          <cell r="B1545">
            <v>4.2301000000000002</v>
          </cell>
          <cell r="C1545">
            <v>10.003808219178083</v>
          </cell>
        </row>
        <row r="1546">
          <cell r="B1546">
            <v>4.2328999999999999</v>
          </cell>
          <cell r="C1546">
            <v>10.003972602739726</v>
          </cell>
        </row>
        <row r="1547">
          <cell r="B1547">
            <v>4.2355999999999998</v>
          </cell>
          <cell r="C1547">
            <v>10.00413698630137</v>
          </cell>
        </row>
        <row r="1548">
          <cell r="B1548">
            <v>4.2384000000000004</v>
          </cell>
          <cell r="C1548">
            <v>10.004301369863015</v>
          </cell>
        </row>
        <row r="1549">
          <cell r="B1549">
            <v>4.2411000000000003</v>
          </cell>
          <cell r="C1549">
            <v>10.004465753424657</v>
          </cell>
        </row>
        <row r="1550">
          <cell r="B1550">
            <v>4.2438000000000002</v>
          </cell>
          <cell r="C1550">
            <v>10.004630136986302</v>
          </cell>
        </row>
        <row r="1551">
          <cell r="B1551">
            <v>4.2465999999999999</v>
          </cell>
          <cell r="C1551">
            <v>10.004794520547945</v>
          </cell>
        </row>
        <row r="1552">
          <cell r="B1552">
            <v>4.2492999999999999</v>
          </cell>
          <cell r="C1552">
            <v>10.004958904109589</v>
          </cell>
        </row>
        <row r="1553">
          <cell r="B1553">
            <v>4.2521000000000004</v>
          </cell>
          <cell r="C1553">
            <v>10.005123287671234</v>
          </cell>
        </row>
        <row r="1554">
          <cell r="B1554">
            <v>4.2548000000000004</v>
          </cell>
          <cell r="C1554">
            <v>10.005287671232876</v>
          </cell>
        </row>
        <row r="1555">
          <cell r="B1555">
            <v>4.2575000000000003</v>
          </cell>
          <cell r="C1555">
            <v>10.005452054794521</v>
          </cell>
        </row>
        <row r="1556">
          <cell r="B1556">
            <v>4.2603</v>
          </cell>
          <cell r="C1556">
            <v>10.005616438356165</v>
          </cell>
        </row>
        <row r="1557">
          <cell r="B1557">
            <v>4.2629999999999999</v>
          </cell>
          <cell r="C1557">
            <v>10.005780821917808</v>
          </cell>
        </row>
        <row r="1558">
          <cell r="B1558">
            <v>4.2657999999999996</v>
          </cell>
          <cell r="C1558">
            <v>10.005945205479453</v>
          </cell>
        </row>
        <row r="1559">
          <cell r="B1559">
            <v>4.2685000000000004</v>
          </cell>
          <cell r="C1559">
            <v>10.006109589041095</v>
          </cell>
        </row>
        <row r="1560">
          <cell r="B1560">
            <v>4.2712000000000003</v>
          </cell>
          <cell r="C1560">
            <v>10.00627397260274</v>
          </cell>
        </row>
        <row r="1561">
          <cell r="B1561">
            <v>4.274</v>
          </cell>
          <cell r="C1561">
            <v>10.006438356164384</v>
          </cell>
        </row>
        <row r="1562">
          <cell r="B1562">
            <v>4.2766999999999999</v>
          </cell>
          <cell r="C1562">
            <v>10.006602739726027</v>
          </cell>
        </row>
        <row r="1563">
          <cell r="B1563">
            <v>4.2794999999999996</v>
          </cell>
          <cell r="C1563">
            <v>10.006767123287672</v>
          </cell>
        </row>
        <row r="1564">
          <cell r="B1564">
            <v>4.2821999999999996</v>
          </cell>
          <cell r="C1564">
            <v>10.006931506849316</v>
          </cell>
        </row>
        <row r="1565">
          <cell r="B1565">
            <v>4.2849000000000004</v>
          </cell>
          <cell r="C1565">
            <v>10.007095890410959</v>
          </cell>
        </row>
        <row r="1566">
          <cell r="B1566">
            <v>4.2877000000000001</v>
          </cell>
          <cell r="C1566">
            <v>10.007260273972603</v>
          </cell>
        </row>
        <row r="1567">
          <cell r="B1567">
            <v>4.2904</v>
          </cell>
          <cell r="C1567">
            <v>10.007424657534248</v>
          </cell>
        </row>
        <row r="1568">
          <cell r="B1568">
            <v>4.2931999999999997</v>
          </cell>
          <cell r="C1568">
            <v>10.007589041095891</v>
          </cell>
        </row>
        <row r="1569">
          <cell r="B1569">
            <v>4.2958999999999996</v>
          </cell>
          <cell r="C1569">
            <v>10.007753424657535</v>
          </cell>
        </row>
        <row r="1570">
          <cell r="B1570">
            <v>4.2986000000000004</v>
          </cell>
          <cell r="C1570">
            <v>10.007917808219178</v>
          </cell>
        </row>
        <row r="1571">
          <cell r="B1571">
            <v>4.3014000000000001</v>
          </cell>
          <cell r="C1571">
            <v>10.008082191780822</v>
          </cell>
        </row>
        <row r="1572">
          <cell r="B1572">
            <v>4.3041</v>
          </cell>
          <cell r="C1572">
            <v>10.008246575342467</v>
          </cell>
        </row>
        <row r="1573">
          <cell r="B1573">
            <v>4.3068</v>
          </cell>
          <cell r="C1573">
            <v>10.008410958904109</v>
          </cell>
        </row>
        <row r="1574">
          <cell r="B1574">
            <v>4.3095999999999997</v>
          </cell>
          <cell r="C1574">
            <v>10.008575342465754</v>
          </cell>
        </row>
        <row r="1575">
          <cell r="B1575">
            <v>4.3122999999999996</v>
          </cell>
          <cell r="C1575">
            <v>10.008739726027398</v>
          </cell>
        </row>
        <row r="1576">
          <cell r="B1576">
            <v>4.3151000000000002</v>
          </cell>
          <cell r="C1576">
            <v>10.008904109589041</v>
          </cell>
        </row>
        <row r="1577">
          <cell r="B1577">
            <v>4.3178000000000001</v>
          </cell>
          <cell r="C1577">
            <v>10.009068493150686</v>
          </cell>
        </row>
        <row r="1578">
          <cell r="B1578">
            <v>4.3205</v>
          </cell>
          <cell r="C1578">
            <v>10.009232876712328</v>
          </cell>
        </row>
        <row r="1579">
          <cell r="B1579">
            <v>4.3232999999999997</v>
          </cell>
          <cell r="C1579">
            <v>10.009397260273973</v>
          </cell>
        </row>
        <row r="1580">
          <cell r="B1580">
            <v>4.3259999999999996</v>
          </cell>
          <cell r="C1580">
            <v>10.009561643835617</v>
          </cell>
        </row>
        <row r="1581">
          <cell r="B1581">
            <v>4.3288000000000002</v>
          </cell>
          <cell r="C1581">
            <v>10.00972602739726</v>
          </cell>
        </row>
        <row r="1582">
          <cell r="B1582">
            <v>4.3315000000000001</v>
          </cell>
          <cell r="C1582">
            <v>10.009890410958905</v>
          </cell>
        </row>
        <row r="1583">
          <cell r="B1583">
            <v>4.3342000000000001</v>
          </cell>
          <cell r="C1583">
            <v>10.010054794520549</v>
          </cell>
        </row>
        <row r="1584">
          <cell r="B1584">
            <v>4.3369999999999997</v>
          </cell>
          <cell r="C1584">
            <v>10.010219178082192</v>
          </cell>
        </row>
        <row r="1585">
          <cell r="B1585">
            <v>4.3396999999999997</v>
          </cell>
          <cell r="C1585">
            <v>10.010383561643836</v>
          </cell>
        </row>
        <row r="1586">
          <cell r="B1586">
            <v>4.3425000000000002</v>
          </cell>
          <cell r="C1586">
            <v>10.010547945205479</v>
          </cell>
        </row>
        <row r="1587">
          <cell r="B1587">
            <v>4.3452000000000002</v>
          </cell>
          <cell r="C1587">
            <v>10.010712328767124</v>
          </cell>
        </row>
        <row r="1588">
          <cell r="B1588">
            <v>4.3479000000000001</v>
          </cell>
          <cell r="C1588">
            <v>10.010876712328768</v>
          </cell>
        </row>
        <row r="1589">
          <cell r="B1589">
            <v>4.3506999999999998</v>
          </cell>
          <cell r="C1589">
            <v>10.011041095890411</v>
          </cell>
        </row>
        <row r="1590">
          <cell r="B1590">
            <v>4.3533999999999997</v>
          </cell>
          <cell r="C1590">
            <v>10.011205479452055</v>
          </cell>
        </row>
        <row r="1591">
          <cell r="B1591">
            <v>4.3562000000000003</v>
          </cell>
          <cell r="C1591">
            <v>10.0113698630137</v>
          </cell>
        </row>
        <row r="1592">
          <cell r="B1592">
            <v>4.3589000000000002</v>
          </cell>
          <cell r="C1592">
            <v>10.011534246575343</v>
          </cell>
        </row>
        <row r="1593">
          <cell r="B1593">
            <v>4.3616000000000001</v>
          </cell>
          <cell r="C1593">
            <v>10.011698630136987</v>
          </cell>
        </row>
        <row r="1594">
          <cell r="B1594">
            <v>4.3643999999999998</v>
          </cell>
          <cell r="C1594">
            <v>10.01186301369863</v>
          </cell>
        </row>
        <row r="1595">
          <cell r="B1595">
            <v>4.3670999999999998</v>
          </cell>
          <cell r="C1595">
            <v>10.012027397260274</v>
          </cell>
        </row>
        <row r="1596">
          <cell r="B1596">
            <v>4.3699000000000003</v>
          </cell>
          <cell r="C1596">
            <v>10.012191780821919</v>
          </cell>
        </row>
        <row r="1597">
          <cell r="B1597">
            <v>4.3726000000000003</v>
          </cell>
          <cell r="C1597">
            <v>10.012356164383561</v>
          </cell>
        </row>
        <row r="1598">
          <cell r="B1598">
            <v>4.3753000000000002</v>
          </cell>
          <cell r="C1598">
            <v>10.012520547945206</v>
          </cell>
        </row>
        <row r="1599">
          <cell r="B1599">
            <v>4.3780999999999999</v>
          </cell>
          <cell r="C1599">
            <v>10.01268493150685</v>
          </cell>
        </row>
        <row r="1600">
          <cell r="B1600">
            <v>4.3807999999999998</v>
          </cell>
          <cell r="C1600">
            <v>10.012849315068493</v>
          </cell>
        </row>
        <row r="1601">
          <cell r="B1601">
            <v>4.3836000000000004</v>
          </cell>
          <cell r="C1601">
            <v>10.013013698630138</v>
          </cell>
        </row>
        <row r="1602">
          <cell r="B1602">
            <v>4.3863000000000003</v>
          </cell>
          <cell r="C1602">
            <v>10.01317808219178</v>
          </cell>
        </row>
        <row r="1603">
          <cell r="B1603">
            <v>4.3890000000000002</v>
          </cell>
          <cell r="C1603">
            <v>10.013342465753425</v>
          </cell>
        </row>
        <row r="1604">
          <cell r="B1604">
            <v>4.3917999999999999</v>
          </cell>
          <cell r="C1604">
            <v>10.013506849315069</v>
          </cell>
        </row>
        <row r="1605">
          <cell r="B1605">
            <v>4.3944999999999999</v>
          </cell>
          <cell r="C1605">
            <v>10.013671232876712</v>
          </cell>
        </row>
        <row r="1606">
          <cell r="B1606">
            <v>4.3973000000000004</v>
          </cell>
          <cell r="C1606">
            <v>10.013835616438357</v>
          </cell>
        </row>
        <row r="1607">
          <cell r="B1607">
            <v>4.4000000000000004</v>
          </cell>
          <cell r="C1607">
            <v>10.014000000000001</v>
          </cell>
        </row>
        <row r="1608">
          <cell r="B1608">
            <v>4.4027000000000003</v>
          </cell>
          <cell r="C1608">
            <v>10.014164383561644</v>
          </cell>
        </row>
        <row r="1609">
          <cell r="B1609">
            <v>4.4055</v>
          </cell>
          <cell r="C1609">
            <v>10.014328767123288</v>
          </cell>
        </row>
        <row r="1610">
          <cell r="B1610">
            <v>4.4081999999999999</v>
          </cell>
          <cell r="C1610">
            <v>10.014493150684931</v>
          </cell>
        </row>
        <row r="1611">
          <cell r="B1611">
            <v>4.4109999999999996</v>
          </cell>
          <cell r="C1611">
            <v>10.014657534246576</v>
          </cell>
        </row>
        <row r="1612">
          <cell r="B1612">
            <v>4.4137000000000004</v>
          </cell>
          <cell r="C1612">
            <v>10.01482191780822</v>
          </cell>
        </row>
        <row r="1613">
          <cell r="B1613">
            <v>4.4164000000000003</v>
          </cell>
          <cell r="C1613">
            <v>10.014986301369863</v>
          </cell>
        </row>
        <row r="1614">
          <cell r="B1614">
            <v>4.4192</v>
          </cell>
          <cell r="C1614">
            <v>10.015150684931507</v>
          </cell>
        </row>
        <row r="1615">
          <cell r="B1615">
            <v>4.4218999999999999</v>
          </cell>
          <cell r="C1615">
            <v>10.015315068493152</v>
          </cell>
        </row>
        <row r="1616">
          <cell r="B1616">
            <v>4.4246999999999996</v>
          </cell>
          <cell r="C1616">
            <v>10.015479452054795</v>
          </cell>
        </row>
        <row r="1617">
          <cell r="B1617">
            <v>4.4273999999999996</v>
          </cell>
          <cell r="C1617">
            <v>10.015643835616439</v>
          </cell>
        </row>
        <row r="1618">
          <cell r="B1618">
            <v>4.4301000000000004</v>
          </cell>
          <cell r="C1618">
            <v>10.015808219178084</v>
          </cell>
        </row>
        <row r="1619">
          <cell r="B1619">
            <v>4.4329000000000001</v>
          </cell>
          <cell r="C1619">
            <v>10.015972602739726</v>
          </cell>
        </row>
        <row r="1620">
          <cell r="B1620">
            <v>4.4356</v>
          </cell>
          <cell r="C1620">
            <v>10.016136986301371</v>
          </cell>
        </row>
        <row r="1621">
          <cell r="B1621">
            <v>4.4383999999999997</v>
          </cell>
          <cell r="C1621">
            <v>10.016301369863013</v>
          </cell>
        </row>
        <row r="1622">
          <cell r="B1622">
            <v>4.4410999999999996</v>
          </cell>
          <cell r="C1622">
            <v>10.016465753424658</v>
          </cell>
        </row>
        <row r="1623">
          <cell r="B1623">
            <v>4.4438000000000004</v>
          </cell>
          <cell r="C1623">
            <v>10.016630136986302</v>
          </cell>
        </row>
        <row r="1624">
          <cell r="B1624">
            <v>4.4466000000000001</v>
          </cell>
          <cell r="C1624">
            <v>10.016794520547945</v>
          </cell>
        </row>
        <row r="1625">
          <cell r="B1625">
            <v>4.4493</v>
          </cell>
          <cell r="C1625">
            <v>10.01695890410959</v>
          </cell>
        </row>
        <row r="1626">
          <cell r="B1626">
            <v>4.4520999999999997</v>
          </cell>
          <cell r="C1626">
            <v>10.017123287671234</v>
          </cell>
        </row>
        <row r="1627">
          <cell r="B1627">
            <v>4.4547999999999996</v>
          </cell>
          <cell r="C1627">
            <v>10.017287671232877</v>
          </cell>
        </row>
        <row r="1628">
          <cell r="B1628">
            <v>4.4574999999999996</v>
          </cell>
          <cell r="C1628">
            <v>10.017452054794521</v>
          </cell>
        </row>
        <row r="1629">
          <cell r="B1629">
            <v>4.4603000000000002</v>
          </cell>
          <cell r="C1629">
            <v>10.017616438356164</v>
          </cell>
        </row>
        <row r="1630">
          <cell r="B1630">
            <v>4.4630000000000001</v>
          </cell>
          <cell r="C1630">
            <v>10.017780821917809</v>
          </cell>
        </row>
        <row r="1631">
          <cell r="B1631">
            <v>4.4657999999999998</v>
          </cell>
          <cell r="C1631">
            <v>10.017945205479453</v>
          </cell>
        </row>
        <row r="1632">
          <cell r="B1632">
            <v>4.4684999999999997</v>
          </cell>
          <cell r="C1632">
            <v>10.018109589041096</v>
          </cell>
        </row>
        <row r="1633">
          <cell r="B1633">
            <v>4.4711999999999996</v>
          </cell>
          <cell r="C1633">
            <v>10.01827397260274</v>
          </cell>
        </row>
        <row r="1634">
          <cell r="B1634">
            <v>4.4740000000000002</v>
          </cell>
          <cell r="C1634">
            <v>10.018438356164385</v>
          </cell>
        </row>
        <row r="1635">
          <cell r="B1635">
            <v>4.4767000000000001</v>
          </cell>
          <cell r="C1635">
            <v>10.018602739726028</v>
          </cell>
        </row>
        <row r="1636">
          <cell r="B1636">
            <v>4.4794999999999998</v>
          </cell>
          <cell r="C1636">
            <v>10.018767123287672</v>
          </cell>
        </row>
        <row r="1637">
          <cell r="B1637">
            <v>4.4821999999999997</v>
          </cell>
          <cell r="C1637">
            <v>10.018931506849315</v>
          </cell>
        </row>
        <row r="1638">
          <cell r="B1638">
            <v>4.4848999999999997</v>
          </cell>
          <cell r="C1638">
            <v>10.019095890410959</v>
          </cell>
        </row>
        <row r="1639">
          <cell r="B1639">
            <v>4.4877000000000002</v>
          </cell>
          <cell r="C1639">
            <v>10.019260273972604</v>
          </cell>
        </row>
        <row r="1640">
          <cell r="B1640">
            <v>4.4904000000000002</v>
          </cell>
          <cell r="C1640">
            <v>10.019424657534246</v>
          </cell>
        </row>
        <row r="1641">
          <cell r="B1641">
            <v>4.4931999999999999</v>
          </cell>
          <cell r="C1641">
            <v>10.019589041095891</v>
          </cell>
        </row>
        <row r="1642">
          <cell r="B1642">
            <v>4.4958999999999998</v>
          </cell>
          <cell r="C1642">
            <v>10.019753424657535</v>
          </cell>
        </row>
        <row r="1643">
          <cell r="B1643">
            <v>4.4985999999999997</v>
          </cell>
          <cell r="C1643">
            <v>10.019917808219178</v>
          </cell>
        </row>
        <row r="1644">
          <cell r="B1644">
            <v>4.5014000000000003</v>
          </cell>
          <cell r="C1644">
            <v>10.020082191780823</v>
          </cell>
        </row>
        <row r="1645">
          <cell r="B1645">
            <v>4.5041000000000002</v>
          </cell>
          <cell r="C1645">
            <v>10.020246575342465</v>
          </cell>
        </row>
        <row r="1646">
          <cell r="B1646">
            <v>4.5068000000000001</v>
          </cell>
          <cell r="C1646">
            <v>10.02041095890411</v>
          </cell>
        </row>
        <row r="1647">
          <cell r="B1647">
            <v>4.5095999999999998</v>
          </cell>
          <cell r="C1647">
            <v>10.020575342465754</v>
          </cell>
        </row>
        <row r="1648">
          <cell r="B1648">
            <v>4.5122999999999998</v>
          </cell>
          <cell r="C1648">
            <v>10.020739726027397</v>
          </cell>
        </row>
        <row r="1649">
          <cell r="B1649">
            <v>4.5151000000000003</v>
          </cell>
          <cell r="C1649">
            <v>10.020904109589042</v>
          </cell>
        </row>
        <row r="1650">
          <cell r="B1650">
            <v>4.5178000000000003</v>
          </cell>
          <cell r="C1650">
            <v>10.021068493150686</v>
          </cell>
        </row>
        <row r="1651">
          <cell r="B1651">
            <v>4.5205000000000002</v>
          </cell>
          <cell r="C1651">
            <v>10.021232876712329</v>
          </cell>
        </row>
        <row r="1652">
          <cell r="B1652">
            <v>4.5232999999999999</v>
          </cell>
          <cell r="C1652">
            <v>10.021397260273973</v>
          </cell>
        </row>
        <row r="1653">
          <cell r="B1653">
            <v>4.5259999999999998</v>
          </cell>
          <cell r="C1653">
            <v>10.021561643835616</v>
          </cell>
        </row>
        <row r="1654">
          <cell r="B1654">
            <v>4.5288000000000004</v>
          </cell>
          <cell r="C1654">
            <v>10.021726027397261</v>
          </cell>
        </row>
        <row r="1655">
          <cell r="B1655">
            <v>4.5315000000000003</v>
          </cell>
          <cell r="C1655">
            <v>10.021890410958905</v>
          </cell>
        </row>
        <row r="1656">
          <cell r="B1656">
            <v>4.5342000000000002</v>
          </cell>
          <cell r="C1656">
            <v>10.022054794520548</v>
          </cell>
        </row>
        <row r="1657">
          <cell r="B1657">
            <v>4.5369999999999999</v>
          </cell>
          <cell r="C1657">
            <v>10.022219178082192</v>
          </cell>
        </row>
        <row r="1658">
          <cell r="B1658">
            <v>4.5396999999999998</v>
          </cell>
          <cell r="C1658">
            <v>10.022383561643837</v>
          </cell>
        </row>
        <row r="1659">
          <cell r="B1659">
            <v>4.5425000000000004</v>
          </cell>
          <cell r="C1659">
            <v>10.02254794520548</v>
          </cell>
        </row>
        <row r="1660">
          <cell r="B1660">
            <v>4.5452000000000004</v>
          </cell>
          <cell r="C1660">
            <v>10.022712328767124</v>
          </cell>
        </row>
        <row r="1661">
          <cell r="B1661">
            <v>4.5479000000000003</v>
          </cell>
          <cell r="C1661">
            <v>10.022876712328767</v>
          </cell>
        </row>
        <row r="1662">
          <cell r="B1662">
            <v>4.5507</v>
          </cell>
          <cell r="C1662">
            <v>10.023041095890411</v>
          </cell>
        </row>
        <row r="1663">
          <cell r="B1663">
            <v>4.5533999999999999</v>
          </cell>
          <cell r="C1663">
            <v>10.023205479452056</v>
          </cell>
        </row>
        <row r="1664">
          <cell r="B1664">
            <v>4.5561999999999996</v>
          </cell>
          <cell r="C1664">
            <v>10.023369863013698</v>
          </cell>
        </row>
        <row r="1665">
          <cell r="B1665">
            <v>4.5589000000000004</v>
          </cell>
          <cell r="C1665">
            <v>10.023534246575343</v>
          </cell>
        </row>
        <row r="1666">
          <cell r="B1666">
            <v>4.5616000000000003</v>
          </cell>
          <cell r="C1666">
            <v>10.023698630136987</v>
          </cell>
        </row>
        <row r="1667">
          <cell r="B1667">
            <v>4.5644</v>
          </cell>
          <cell r="C1667">
            <v>10.02386301369863</v>
          </cell>
        </row>
        <row r="1668">
          <cell r="B1668">
            <v>4.5670999999999999</v>
          </cell>
          <cell r="C1668">
            <v>10.024027397260275</v>
          </cell>
        </row>
        <row r="1669">
          <cell r="B1669">
            <v>4.5698999999999996</v>
          </cell>
          <cell r="C1669">
            <v>10.024191780821919</v>
          </cell>
        </row>
        <row r="1670">
          <cell r="B1670">
            <v>4.5726000000000004</v>
          </cell>
          <cell r="C1670">
            <v>10.024356164383562</v>
          </cell>
        </row>
        <row r="1671">
          <cell r="B1671">
            <v>4.5753000000000004</v>
          </cell>
          <cell r="C1671">
            <v>10.024520547945206</v>
          </cell>
        </row>
        <row r="1672">
          <cell r="B1672">
            <v>4.5781000000000001</v>
          </cell>
          <cell r="C1672">
            <v>10.024684931506849</v>
          </cell>
        </row>
        <row r="1673">
          <cell r="B1673">
            <v>4.5808</v>
          </cell>
          <cell r="C1673">
            <v>10.024849315068494</v>
          </cell>
        </row>
        <row r="1674">
          <cell r="B1674">
            <v>4.5835999999999997</v>
          </cell>
          <cell r="C1674">
            <v>10.025013698630138</v>
          </cell>
        </row>
        <row r="1675">
          <cell r="B1675">
            <v>4.5862999999999996</v>
          </cell>
          <cell r="C1675">
            <v>10.025178082191781</v>
          </cell>
        </row>
        <row r="1676">
          <cell r="B1676">
            <v>4.5890000000000004</v>
          </cell>
          <cell r="C1676">
            <v>10.025342465753425</v>
          </cell>
        </row>
        <row r="1677">
          <cell r="B1677">
            <v>4.5918000000000001</v>
          </cell>
          <cell r="C1677">
            <v>10.02550684931507</v>
          </cell>
        </row>
        <row r="1678">
          <cell r="B1678">
            <v>4.5945</v>
          </cell>
          <cell r="C1678">
            <v>10.025671232876713</v>
          </cell>
        </row>
        <row r="1679">
          <cell r="B1679">
            <v>4.5972999999999997</v>
          </cell>
          <cell r="C1679">
            <v>10.025835616438357</v>
          </cell>
        </row>
        <row r="1680">
          <cell r="B1680">
            <v>4.5999999999999996</v>
          </cell>
          <cell r="C1680">
            <v>10.026</v>
          </cell>
        </row>
        <row r="1681">
          <cell r="B1681">
            <v>4.6026999999999996</v>
          </cell>
          <cell r="C1681">
            <v>10.026164383561644</v>
          </cell>
        </row>
        <row r="1682">
          <cell r="B1682">
            <v>4.6055000000000001</v>
          </cell>
          <cell r="C1682">
            <v>10.026328767123289</v>
          </cell>
        </row>
        <row r="1683">
          <cell r="B1683">
            <v>4.6082000000000001</v>
          </cell>
          <cell r="C1683">
            <v>10.026493150684932</v>
          </cell>
        </row>
        <row r="1684">
          <cell r="B1684">
            <v>4.6109999999999998</v>
          </cell>
          <cell r="C1684">
            <v>10.026657534246576</v>
          </cell>
        </row>
        <row r="1685">
          <cell r="B1685">
            <v>4.6136999999999997</v>
          </cell>
          <cell r="C1685">
            <v>10.026821917808221</v>
          </cell>
        </row>
        <row r="1686">
          <cell r="B1686">
            <v>4.6163999999999996</v>
          </cell>
          <cell r="C1686">
            <v>10.026986301369863</v>
          </cell>
        </row>
        <row r="1687">
          <cell r="B1687">
            <v>4.6192000000000002</v>
          </cell>
          <cell r="C1687">
            <v>10.027150684931508</v>
          </cell>
        </row>
        <row r="1688">
          <cell r="B1688">
            <v>4.6219000000000001</v>
          </cell>
          <cell r="C1688">
            <v>10.02731506849315</v>
          </cell>
        </row>
        <row r="1689">
          <cell r="B1689">
            <v>4.6246999999999998</v>
          </cell>
          <cell r="C1689">
            <v>10.027479452054795</v>
          </cell>
        </row>
        <row r="1690">
          <cell r="B1690">
            <v>4.6273999999999997</v>
          </cell>
          <cell r="C1690">
            <v>10.027643835616439</v>
          </cell>
        </row>
        <row r="1691">
          <cell r="B1691">
            <v>4.6300999999999997</v>
          </cell>
          <cell r="C1691">
            <v>10.027808219178082</v>
          </cell>
        </row>
        <row r="1692">
          <cell r="B1692">
            <v>4.6329000000000002</v>
          </cell>
          <cell r="C1692">
            <v>10.027972602739727</v>
          </cell>
        </row>
        <row r="1693">
          <cell r="B1693">
            <v>4.6356000000000002</v>
          </cell>
          <cell r="C1693">
            <v>10.028136986301371</v>
          </cell>
        </row>
        <row r="1694">
          <cell r="B1694">
            <v>4.6383999999999999</v>
          </cell>
          <cell r="C1694">
            <v>10.028301369863014</v>
          </cell>
        </row>
        <row r="1695">
          <cell r="B1695">
            <v>4.6410999999999998</v>
          </cell>
          <cell r="C1695">
            <v>10.028465753424658</v>
          </cell>
        </row>
        <row r="1696">
          <cell r="B1696">
            <v>4.6437999999999997</v>
          </cell>
          <cell r="C1696">
            <v>10.028630136986301</v>
          </cell>
        </row>
        <row r="1697">
          <cell r="B1697">
            <v>4.6466000000000003</v>
          </cell>
          <cell r="C1697">
            <v>10.028794520547946</v>
          </cell>
        </row>
        <row r="1698">
          <cell r="B1698">
            <v>4.6493000000000002</v>
          </cell>
          <cell r="C1698">
            <v>10.02895890410959</v>
          </cell>
        </row>
        <row r="1699">
          <cell r="B1699">
            <v>4.6520999999999999</v>
          </cell>
          <cell r="C1699">
            <v>10.029123287671233</v>
          </cell>
        </row>
        <row r="1700">
          <cell r="B1700">
            <v>4.6547999999999998</v>
          </cell>
          <cell r="C1700">
            <v>10.029287671232877</v>
          </cell>
        </row>
        <row r="1701">
          <cell r="B1701">
            <v>4.6574999999999998</v>
          </cell>
          <cell r="C1701">
            <v>10.029452054794522</v>
          </cell>
        </row>
        <row r="1702">
          <cell r="B1702">
            <v>4.6603000000000003</v>
          </cell>
          <cell r="C1702">
            <v>10.029616438356165</v>
          </cell>
        </row>
        <row r="1703">
          <cell r="B1703">
            <v>4.6630000000000003</v>
          </cell>
          <cell r="C1703">
            <v>10.029780821917809</v>
          </cell>
        </row>
        <row r="1704">
          <cell r="B1704">
            <v>4.6657999999999999</v>
          </cell>
          <cell r="C1704">
            <v>10.029945205479452</v>
          </cell>
        </row>
        <row r="1705">
          <cell r="B1705">
            <v>4.6684999999999999</v>
          </cell>
          <cell r="C1705">
            <v>10.030109589041096</v>
          </cell>
        </row>
        <row r="1706">
          <cell r="B1706">
            <v>4.6711999999999998</v>
          </cell>
          <cell r="C1706">
            <v>10.030273972602741</v>
          </cell>
        </row>
        <row r="1707">
          <cell r="B1707">
            <v>4.6740000000000004</v>
          </cell>
          <cell r="C1707">
            <v>10.030438356164384</v>
          </cell>
        </row>
        <row r="1708">
          <cell r="B1708">
            <v>4.6767000000000003</v>
          </cell>
          <cell r="C1708">
            <v>10.030602739726028</v>
          </cell>
        </row>
        <row r="1709">
          <cell r="B1709">
            <v>4.6795</v>
          </cell>
          <cell r="C1709">
            <v>10.030767123287673</v>
          </cell>
        </row>
        <row r="1710">
          <cell r="B1710">
            <v>4.6821999999999999</v>
          </cell>
          <cell r="C1710">
            <v>10.030931506849315</v>
          </cell>
        </row>
        <row r="1711">
          <cell r="B1711">
            <v>4.6848999999999998</v>
          </cell>
          <cell r="C1711">
            <v>10.03109589041096</v>
          </cell>
        </row>
        <row r="1712">
          <cell r="B1712">
            <v>4.6877000000000004</v>
          </cell>
          <cell r="C1712">
            <v>10.031260273972602</v>
          </cell>
        </row>
        <row r="1713">
          <cell r="B1713">
            <v>4.6904000000000003</v>
          </cell>
          <cell r="C1713">
            <v>10.031424657534247</v>
          </cell>
        </row>
        <row r="1714">
          <cell r="B1714">
            <v>4.6932</v>
          </cell>
          <cell r="C1714">
            <v>10.031589041095891</v>
          </cell>
        </row>
        <row r="1715">
          <cell r="B1715">
            <v>4.6959</v>
          </cell>
          <cell r="C1715">
            <v>10.031753424657534</v>
          </cell>
        </row>
        <row r="1716">
          <cell r="B1716">
            <v>4.6985999999999999</v>
          </cell>
          <cell r="C1716">
            <v>10.031917808219179</v>
          </cell>
        </row>
        <row r="1717">
          <cell r="B1717">
            <v>4.7013999999999996</v>
          </cell>
          <cell r="C1717">
            <v>10.032082191780823</v>
          </cell>
        </row>
        <row r="1718">
          <cell r="B1718">
            <v>4.7041000000000004</v>
          </cell>
          <cell r="C1718">
            <v>10.032246575342466</v>
          </cell>
        </row>
        <row r="1719">
          <cell r="B1719">
            <v>4.7068000000000003</v>
          </cell>
          <cell r="C1719">
            <v>10.03241095890411</v>
          </cell>
        </row>
        <row r="1720">
          <cell r="B1720">
            <v>4.7096</v>
          </cell>
          <cell r="C1720">
            <v>10.032575342465753</v>
          </cell>
        </row>
        <row r="1721">
          <cell r="B1721">
            <v>4.7122999999999999</v>
          </cell>
          <cell r="C1721">
            <v>10.032739726027398</v>
          </cell>
        </row>
        <row r="1722">
          <cell r="B1722">
            <v>4.7150999999999996</v>
          </cell>
          <cell r="C1722">
            <v>10.032904109589042</v>
          </cell>
        </row>
        <row r="1723">
          <cell r="B1723">
            <v>4.7178000000000004</v>
          </cell>
          <cell r="C1723">
            <v>10.033068493150685</v>
          </cell>
        </row>
        <row r="1724">
          <cell r="B1724">
            <v>4.7205000000000004</v>
          </cell>
          <cell r="C1724">
            <v>10.033232876712329</v>
          </cell>
        </row>
        <row r="1725">
          <cell r="B1725">
            <v>4.7233000000000001</v>
          </cell>
          <cell r="C1725">
            <v>10.033397260273974</v>
          </cell>
        </row>
        <row r="1726">
          <cell r="B1726">
            <v>4.726</v>
          </cell>
          <cell r="C1726">
            <v>10.033561643835617</v>
          </cell>
        </row>
        <row r="1727">
          <cell r="B1727">
            <v>4.7287999999999997</v>
          </cell>
          <cell r="C1727">
            <v>10.033726027397261</v>
          </cell>
        </row>
        <row r="1728">
          <cell r="B1728">
            <v>4.7314999999999996</v>
          </cell>
          <cell r="C1728">
            <v>10.033890410958906</v>
          </cell>
        </row>
        <row r="1729">
          <cell r="B1729">
            <v>4.7342000000000004</v>
          </cell>
          <cell r="C1729">
            <v>10.034054794520548</v>
          </cell>
        </row>
        <row r="1730">
          <cell r="B1730">
            <v>4.7370000000000001</v>
          </cell>
          <cell r="C1730">
            <v>10.034219178082193</v>
          </cell>
        </row>
        <row r="1731">
          <cell r="B1731">
            <v>4.7397</v>
          </cell>
          <cell r="C1731">
            <v>10.034383561643835</v>
          </cell>
        </row>
        <row r="1732">
          <cell r="B1732">
            <v>4.7424999999999997</v>
          </cell>
          <cell r="C1732">
            <v>10.03454794520548</v>
          </cell>
        </row>
        <row r="1733">
          <cell r="B1733">
            <v>4.7451999999999996</v>
          </cell>
          <cell r="C1733">
            <v>10.034712328767124</v>
          </cell>
        </row>
        <row r="1734">
          <cell r="B1734">
            <v>4.7478999999999996</v>
          </cell>
          <cell r="C1734">
            <v>10.034876712328767</v>
          </cell>
        </row>
        <row r="1735">
          <cell r="B1735">
            <v>4.7507000000000001</v>
          </cell>
          <cell r="C1735">
            <v>10.035041095890412</v>
          </cell>
        </row>
        <row r="1736">
          <cell r="B1736">
            <v>4.7534000000000001</v>
          </cell>
          <cell r="C1736">
            <v>10.035205479452056</v>
          </cell>
        </row>
        <row r="1737">
          <cell r="B1737">
            <v>4.7561999999999998</v>
          </cell>
          <cell r="C1737">
            <v>10.035369863013699</v>
          </cell>
        </row>
        <row r="1738">
          <cell r="B1738">
            <v>4.7588999999999997</v>
          </cell>
          <cell r="C1738">
            <v>10.035534246575343</v>
          </cell>
        </row>
        <row r="1739">
          <cell r="B1739">
            <v>4.7615999999999996</v>
          </cell>
          <cell r="C1739">
            <v>10.035698630136986</v>
          </cell>
        </row>
        <row r="1740">
          <cell r="B1740">
            <v>4.7644000000000002</v>
          </cell>
          <cell r="C1740">
            <v>10.035863013698631</v>
          </cell>
        </row>
        <row r="1741">
          <cell r="B1741">
            <v>4.7671000000000001</v>
          </cell>
          <cell r="C1741">
            <v>10.036027397260275</v>
          </cell>
        </row>
        <row r="1742">
          <cell r="B1742">
            <v>4.7698999999999998</v>
          </cell>
          <cell r="C1742">
            <v>10.036191780821918</v>
          </cell>
        </row>
        <row r="1743">
          <cell r="B1743">
            <v>4.7725999999999997</v>
          </cell>
          <cell r="C1743">
            <v>10.036356164383562</v>
          </cell>
        </row>
        <row r="1744">
          <cell r="B1744">
            <v>4.7752999999999997</v>
          </cell>
          <cell r="C1744">
            <v>10.036520547945207</v>
          </cell>
        </row>
        <row r="1745">
          <cell r="B1745">
            <v>4.7781000000000002</v>
          </cell>
          <cell r="C1745">
            <v>10.03668493150685</v>
          </cell>
        </row>
        <row r="1746">
          <cell r="B1746">
            <v>4.7808000000000002</v>
          </cell>
          <cell r="C1746">
            <v>10.036849315068494</v>
          </cell>
        </row>
        <row r="1747">
          <cell r="B1747">
            <v>4.7835999999999999</v>
          </cell>
          <cell r="C1747">
            <v>10.037013698630137</v>
          </cell>
        </row>
        <row r="1748">
          <cell r="B1748">
            <v>4.7862999999999998</v>
          </cell>
          <cell r="C1748">
            <v>10.037178082191781</v>
          </cell>
        </row>
        <row r="1749">
          <cell r="B1749">
            <v>4.7889999999999997</v>
          </cell>
          <cell r="C1749">
            <v>10.037342465753426</v>
          </cell>
        </row>
        <row r="1750">
          <cell r="B1750">
            <v>4.7918000000000003</v>
          </cell>
          <cell r="C1750">
            <v>10.037506849315069</v>
          </cell>
        </row>
        <row r="1751">
          <cell r="B1751">
            <v>4.7945000000000002</v>
          </cell>
          <cell r="C1751">
            <v>10.037671232876713</v>
          </cell>
        </row>
        <row r="1752">
          <cell r="B1752">
            <v>4.7972999999999999</v>
          </cell>
          <cell r="C1752">
            <v>10.037835616438358</v>
          </cell>
        </row>
        <row r="1753">
          <cell r="B1753">
            <v>4.8</v>
          </cell>
          <cell r="C1753">
            <v>10.038</v>
          </cell>
        </row>
        <row r="1754">
          <cell r="B1754">
            <v>4.8026999999999997</v>
          </cell>
          <cell r="C1754">
            <v>10.038164383561645</v>
          </cell>
        </row>
        <row r="1755">
          <cell r="B1755">
            <v>4.8055000000000003</v>
          </cell>
          <cell r="C1755">
            <v>10.038328767123287</v>
          </cell>
        </row>
        <row r="1756">
          <cell r="B1756">
            <v>4.8082000000000003</v>
          </cell>
          <cell r="C1756">
            <v>10.038493150684932</v>
          </cell>
        </row>
        <row r="1757">
          <cell r="B1757">
            <v>4.8109999999999999</v>
          </cell>
          <cell r="C1757">
            <v>10.038657534246576</v>
          </cell>
        </row>
        <row r="1758">
          <cell r="B1758">
            <v>4.8136999999999999</v>
          </cell>
          <cell r="C1758">
            <v>10.038821917808219</v>
          </cell>
        </row>
        <row r="1759">
          <cell r="B1759">
            <v>4.8163999999999998</v>
          </cell>
          <cell r="C1759">
            <v>10.038986301369864</v>
          </cell>
        </row>
        <row r="1760">
          <cell r="B1760">
            <v>4.8192000000000004</v>
          </cell>
          <cell r="C1760">
            <v>10.039150684931508</v>
          </cell>
        </row>
        <row r="1761">
          <cell r="B1761">
            <v>4.8219000000000003</v>
          </cell>
          <cell r="C1761">
            <v>10.039315068493151</v>
          </cell>
        </row>
        <row r="1762">
          <cell r="B1762">
            <v>4.8247</v>
          </cell>
          <cell r="C1762">
            <v>10.039479452054795</v>
          </cell>
        </row>
        <row r="1763">
          <cell r="B1763">
            <v>4.8273999999999999</v>
          </cell>
          <cell r="C1763">
            <v>10.039643835616438</v>
          </cell>
        </row>
        <row r="1764">
          <cell r="B1764">
            <v>4.8300999999999998</v>
          </cell>
          <cell r="C1764">
            <v>10.039808219178083</v>
          </cell>
        </row>
        <row r="1765">
          <cell r="B1765">
            <v>4.8329000000000004</v>
          </cell>
          <cell r="C1765">
            <v>10.039972602739727</v>
          </cell>
        </row>
        <row r="1766">
          <cell r="B1766">
            <v>4.8356000000000003</v>
          </cell>
          <cell r="C1766">
            <v>10.04013698630137</v>
          </cell>
        </row>
        <row r="1767">
          <cell r="B1767">
            <v>4.8384</v>
          </cell>
          <cell r="C1767">
            <v>10.040301369863014</v>
          </cell>
        </row>
        <row r="1768">
          <cell r="B1768">
            <v>4.8411</v>
          </cell>
          <cell r="C1768">
            <v>10.040465753424659</v>
          </cell>
        </row>
        <row r="1769">
          <cell r="B1769">
            <v>4.8437999999999999</v>
          </cell>
          <cell r="C1769">
            <v>10.040630136986302</v>
          </cell>
        </row>
        <row r="1770">
          <cell r="B1770">
            <v>4.8465999999999996</v>
          </cell>
          <cell r="C1770">
            <v>10.040794520547946</v>
          </cell>
        </row>
        <row r="1771">
          <cell r="B1771">
            <v>4.8493000000000004</v>
          </cell>
          <cell r="C1771">
            <v>10.040958904109589</v>
          </cell>
        </row>
        <row r="1772">
          <cell r="B1772">
            <v>4.8521000000000001</v>
          </cell>
          <cell r="C1772">
            <v>10.041123287671233</v>
          </cell>
        </row>
        <row r="1773">
          <cell r="B1773">
            <v>4.8548</v>
          </cell>
          <cell r="C1773">
            <v>10.041287671232878</v>
          </cell>
        </row>
        <row r="1774">
          <cell r="B1774">
            <v>4.8574999999999999</v>
          </cell>
          <cell r="C1774">
            <v>10.041452054794521</v>
          </cell>
        </row>
        <row r="1775">
          <cell r="B1775">
            <v>4.8602999999999996</v>
          </cell>
          <cell r="C1775">
            <v>10.041616438356165</v>
          </cell>
        </row>
        <row r="1776">
          <cell r="B1776">
            <v>4.8630000000000004</v>
          </cell>
          <cell r="C1776">
            <v>10.04178082191781</v>
          </cell>
        </row>
        <row r="1777">
          <cell r="B1777">
            <v>4.8658000000000001</v>
          </cell>
          <cell r="C1777">
            <v>10.041945205479452</v>
          </cell>
        </row>
        <row r="1778">
          <cell r="B1778">
            <v>4.8685</v>
          </cell>
          <cell r="C1778">
            <v>10.042109589041097</v>
          </cell>
        </row>
        <row r="1779">
          <cell r="B1779">
            <v>4.8712</v>
          </cell>
          <cell r="C1779">
            <v>10.042273972602741</v>
          </cell>
        </row>
        <row r="1780">
          <cell r="B1780">
            <v>4.8739999999999997</v>
          </cell>
          <cell r="C1780">
            <v>10.042438356164384</v>
          </cell>
        </row>
        <row r="1781">
          <cell r="B1781">
            <v>4.8766999999999996</v>
          </cell>
          <cell r="C1781">
            <v>10.042602739726028</v>
          </cell>
        </row>
        <row r="1782">
          <cell r="B1782">
            <v>4.8795000000000002</v>
          </cell>
          <cell r="C1782">
            <v>10.042767123287671</v>
          </cell>
        </row>
        <row r="1783">
          <cell r="B1783">
            <v>4.8822000000000001</v>
          </cell>
          <cell r="C1783">
            <v>10.042931506849316</v>
          </cell>
        </row>
        <row r="1784">
          <cell r="B1784">
            <v>4.8849</v>
          </cell>
          <cell r="C1784">
            <v>10.04309589041096</v>
          </cell>
        </row>
        <row r="1785">
          <cell r="B1785">
            <v>4.8876999999999997</v>
          </cell>
          <cell r="C1785">
            <v>10.043260273972603</v>
          </cell>
        </row>
        <row r="1786">
          <cell r="B1786">
            <v>4.8903999999999996</v>
          </cell>
          <cell r="C1786">
            <v>10.043424657534247</v>
          </cell>
        </row>
        <row r="1787">
          <cell r="B1787">
            <v>4.8932000000000002</v>
          </cell>
          <cell r="C1787">
            <v>10.043589041095892</v>
          </cell>
        </row>
        <row r="1788">
          <cell r="B1788">
            <v>4.8959000000000001</v>
          </cell>
          <cell r="C1788">
            <v>10.043753424657535</v>
          </cell>
        </row>
        <row r="1789">
          <cell r="B1789">
            <v>4.8986000000000001</v>
          </cell>
          <cell r="C1789">
            <v>10.043917808219179</v>
          </cell>
        </row>
        <row r="1790">
          <cell r="B1790">
            <v>4.9013999999999998</v>
          </cell>
          <cell r="C1790">
            <v>10.044082191780822</v>
          </cell>
        </row>
        <row r="1791">
          <cell r="B1791">
            <v>4.9040999999999997</v>
          </cell>
          <cell r="C1791">
            <v>10.044246575342466</v>
          </cell>
        </row>
        <row r="1792">
          <cell r="B1792">
            <v>4.9067999999999996</v>
          </cell>
          <cell r="C1792">
            <v>10.044410958904111</v>
          </cell>
        </row>
        <row r="1793">
          <cell r="B1793">
            <v>4.9096000000000002</v>
          </cell>
          <cell r="C1793">
            <v>10.044575342465754</v>
          </cell>
        </row>
        <row r="1794">
          <cell r="B1794">
            <v>4.9123000000000001</v>
          </cell>
          <cell r="C1794">
            <v>10.044739726027398</v>
          </cell>
        </row>
        <row r="1795">
          <cell r="B1795">
            <v>4.9150999999999998</v>
          </cell>
          <cell r="C1795">
            <v>10.044904109589043</v>
          </cell>
        </row>
        <row r="1796">
          <cell r="B1796">
            <v>4.9177999999999997</v>
          </cell>
          <cell r="C1796">
            <v>10.045068493150685</v>
          </cell>
        </row>
        <row r="1797">
          <cell r="B1797">
            <v>4.9204999999999997</v>
          </cell>
          <cell r="C1797">
            <v>10.04523287671233</v>
          </cell>
        </row>
        <row r="1798">
          <cell r="B1798">
            <v>4.9233000000000002</v>
          </cell>
          <cell r="C1798">
            <v>10.045397260273973</v>
          </cell>
        </row>
        <row r="1799">
          <cell r="B1799">
            <v>4.9260000000000002</v>
          </cell>
          <cell r="C1799">
            <v>10.045561643835617</v>
          </cell>
        </row>
        <row r="1800">
          <cell r="B1800">
            <v>4.9287999999999998</v>
          </cell>
          <cell r="C1800">
            <v>10.045726027397262</v>
          </cell>
        </row>
        <row r="1801">
          <cell r="B1801">
            <v>4.9314999999999998</v>
          </cell>
          <cell r="C1801">
            <v>10.045890410958904</v>
          </cell>
        </row>
        <row r="1802">
          <cell r="B1802">
            <v>4.9341999999999997</v>
          </cell>
          <cell r="C1802">
            <v>10.046054794520549</v>
          </cell>
        </row>
        <row r="1803">
          <cell r="B1803">
            <v>4.9370000000000003</v>
          </cell>
          <cell r="C1803">
            <v>10.046219178082193</v>
          </cell>
        </row>
        <row r="1804">
          <cell r="B1804">
            <v>4.9397000000000002</v>
          </cell>
          <cell r="C1804">
            <v>10.046383561643836</v>
          </cell>
        </row>
        <row r="1805">
          <cell r="B1805">
            <v>4.9424999999999999</v>
          </cell>
          <cell r="C1805">
            <v>10.04654794520548</v>
          </cell>
        </row>
        <row r="1806">
          <cell r="B1806">
            <v>4.9451999999999998</v>
          </cell>
          <cell r="C1806">
            <v>10.046712328767123</v>
          </cell>
        </row>
        <row r="1807">
          <cell r="B1807">
            <v>4.9478999999999997</v>
          </cell>
          <cell r="C1807">
            <v>10.046876712328768</v>
          </cell>
        </row>
        <row r="1808">
          <cell r="B1808">
            <v>4.9507000000000003</v>
          </cell>
          <cell r="C1808">
            <v>10.047041095890412</v>
          </cell>
        </row>
        <row r="1809">
          <cell r="B1809">
            <v>4.9534000000000002</v>
          </cell>
          <cell r="C1809">
            <v>10.047205479452055</v>
          </cell>
        </row>
        <row r="1810">
          <cell r="B1810">
            <v>4.9561999999999999</v>
          </cell>
          <cell r="C1810">
            <v>10.047369863013699</v>
          </cell>
        </row>
        <row r="1811">
          <cell r="B1811">
            <v>4.9588999999999999</v>
          </cell>
          <cell r="C1811">
            <v>10.047534246575344</v>
          </cell>
        </row>
        <row r="1812">
          <cell r="B1812">
            <v>4.9615999999999998</v>
          </cell>
          <cell r="C1812">
            <v>10.047698630136987</v>
          </cell>
        </row>
        <row r="1813">
          <cell r="B1813">
            <v>4.9644000000000004</v>
          </cell>
          <cell r="C1813">
            <v>10.047863013698631</v>
          </cell>
        </row>
        <row r="1814">
          <cell r="B1814">
            <v>4.9671000000000003</v>
          </cell>
          <cell r="C1814">
            <v>10.048027397260274</v>
          </cell>
        </row>
        <row r="1815">
          <cell r="B1815">
            <v>4.9699</v>
          </cell>
          <cell r="C1815">
            <v>10.048191780821918</v>
          </cell>
        </row>
        <row r="1816">
          <cell r="B1816">
            <v>4.9725999999999999</v>
          </cell>
          <cell r="C1816">
            <v>10.048356164383563</v>
          </cell>
        </row>
        <row r="1817">
          <cell r="B1817">
            <v>4.9752999999999998</v>
          </cell>
          <cell r="C1817">
            <v>10.048520547945206</v>
          </cell>
        </row>
        <row r="1818">
          <cell r="B1818">
            <v>4.9781000000000004</v>
          </cell>
          <cell r="C1818">
            <v>10.04868493150685</v>
          </cell>
        </row>
        <row r="1819">
          <cell r="B1819">
            <v>4.9808000000000003</v>
          </cell>
          <cell r="C1819">
            <v>10.048849315068495</v>
          </cell>
        </row>
        <row r="1820">
          <cell r="B1820">
            <v>4.9836</v>
          </cell>
          <cell r="C1820">
            <v>10.049013698630137</v>
          </cell>
        </row>
        <row r="1821">
          <cell r="B1821">
            <v>4.9863</v>
          </cell>
          <cell r="C1821">
            <v>10.049178082191782</v>
          </cell>
        </row>
        <row r="1822">
          <cell r="B1822">
            <v>4.9889999999999999</v>
          </cell>
          <cell r="C1822">
            <v>10.049342465753424</v>
          </cell>
        </row>
        <row r="1823">
          <cell r="B1823">
            <v>4.9917999999999996</v>
          </cell>
          <cell r="C1823">
            <v>10.049506849315069</v>
          </cell>
        </row>
        <row r="1824">
          <cell r="B1824">
            <v>4.9945000000000004</v>
          </cell>
          <cell r="C1824">
            <v>10.049671232876713</v>
          </cell>
        </row>
        <row r="1825">
          <cell r="B1825">
            <v>4.9973000000000001</v>
          </cell>
          <cell r="C1825">
            <v>10.049835616438356</v>
          </cell>
        </row>
        <row r="1826">
          <cell r="B1826">
            <v>5</v>
          </cell>
          <cell r="C1826">
            <v>10.050000000000001</v>
          </cell>
        </row>
        <row r="1827">
          <cell r="B1827">
            <v>5.0026999999999999</v>
          </cell>
          <cell r="C1827">
            <v>10.050520547945206</v>
          </cell>
        </row>
        <row r="1828">
          <cell r="B1828">
            <v>5.0054999999999996</v>
          </cell>
          <cell r="C1828">
            <v>10.051041095890412</v>
          </cell>
        </row>
        <row r="1829">
          <cell r="B1829">
            <v>5.0082000000000004</v>
          </cell>
          <cell r="C1829">
            <v>10.051561643835617</v>
          </cell>
        </row>
        <row r="1830">
          <cell r="B1830">
            <v>5.0110000000000001</v>
          </cell>
          <cell r="C1830">
            <v>10.052082191780823</v>
          </cell>
        </row>
        <row r="1831">
          <cell r="B1831">
            <v>5.0137</v>
          </cell>
          <cell r="C1831">
            <v>10.052602739726028</v>
          </cell>
        </row>
        <row r="1832">
          <cell r="B1832">
            <v>5.0164</v>
          </cell>
          <cell r="C1832">
            <v>10.053123287671234</v>
          </cell>
        </row>
        <row r="1833">
          <cell r="B1833">
            <v>5.0191999999999997</v>
          </cell>
          <cell r="C1833">
            <v>10.053643835616439</v>
          </cell>
        </row>
        <row r="1834">
          <cell r="B1834">
            <v>5.0218999999999996</v>
          </cell>
          <cell r="C1834">
            <v>10.054164383561645</v>
          </cell>
        </row>
        <row r="1835">
          <cell r="B1835">
            <v>5.0247000000000002</v>
          </cell>
          <cell r="C1835">
            <v>10.05468493150685</v>
          </cell>
        </row>
        <row r="1836">
          <cell r="B1836">
            <v>5.0274000000000001</v>
          </cell>
          <cell r="C1836">
            <v>10.055205479452056</v>
          </cell>
        </row>
        <row r="1837">
          <cell r="B1837">
            <v>5.0301</v>
          </cell>
          <cell r="C1837">
            <v>10.055726027397261</v>
          </cell>
        </row>
        <row r="1838">
          <cell r="B1838">
            <v>5.0328999999999997</v>
          </cell>
          <cell r="C1838">
            <v>10.056246575342467</v>
          </cell>
        </row>
        <row r="1839">
          <cell r="B1839">
            <v>5.0355999999999996</v>
          </cell>
          <cell r="C1839">
            <v>10.056767123287672</v>
          </cell>
        </row>
        <row r="1840">
          <cell r="B1840">
            <v>5.0384000000000002</v>
          </cell>
          <cell r="C1840">
            <v>10.057287671232878</v>
          </cell>
        </row>
        <row r="1841">
          <cell r="B1841">
            <v>5.0411000000000001</v>
          </cell>
          <cell r="C1841">
            <v>10.057808219178083</v>
          </cell>
        </row>
        <row r="1842">
          <cell r="B1842">
            <v>5.0438000000000001</v>
          </cell>
          <cell r="C1842">
            <v>10.058328767123289</v>
          </cell>
        </row>
        <row r="1843">
          <cell r="B1843">
            <v>5.0465999999999998</v>
          </cell>
          <cell r="C1843">
            <v>10.058849315068494</v>
          </cell>
        </row>
        <row r="1844">
          <cell r="B1844">
            <v>5.0492999999999997</v>
          </cell>
          <cell r="C1844">
            <v>10.0593698630137</v>
          </cell>
        </row>
        <row r="1845">
          <cell r="B1845">
            <v>5.0521000000000003</v>
          </cell>
          <cell r="C1845">
            <v>10.059890410958905</v>
          </cell>
        </row>
        <row r="1846">
          <cell r="B1846">
            <v>5.0548000000000002</v>
          </cell>
          <cell r="C1846">
            <v>10.060410958904111</v>
          </cell>
        </row>
        <row r="1847">
          <cell r="B1847">
            <v>5.0575000000000001</v>
          </cell>
          <cell r="C1847">
            <v>10.060931506849316</v>
          </cell>
        </row>
        <row r="1848">
          <cell r="B1848">
            <v>5.0602999999999998</v>
          </cell>
          <cell r="C1848">
            <v>10.061452054794522</v>
          </cell>
        </row>
        <row r="1849">
          <cell r="B1849">
            <v>5.0629999999999997</v>
          </cell>
          <cell r="C1849">
            <v>10.061972602739727</v>
          </cell>
        </row>
        <row r="1850">
          <cell r="B1850">
            <v>5.0658000000000003</v>
          </cell>
          <cell r="C1850">
            <v>10.062493150684933</v>
          </cell>
        </row>
        <row r="1851">
          <cell r="B1851">
            <v>5.0685000000000002</v>
          </cell>
          <cell r="C1851">
            <v>10.063013698630138</v>
          </cell>
        </row>
        <row r="1852">
          <cell r="B1852">
            <v>5.0712000000000002</v>
          </cell>
          <cell r="C1852">
            <v>10.063534246575344</v>
          </cell>
        </row>
        <row r="1853">
          <cell r="B1853">
            <v>5.0739999999999998</v>
          </cell>
          <cell r="C1853">
            <v>10.064054794520549</v>
          </cell>
        </row>
        <row r="1854">
          <cell r="B1854">
            <v>5.0766999999999998</v>
          </cell>
          <cell r="C1854">
            <v>10.064575342465755</v>
          </cell>
        </row>
        <row r="1855">
          <cell r="B1855">
            <v>5.0795000000000003</v>
          </cell>
          <cell r="C1855">
            <v>10.06509589041096</v>
          </cell>
        </row>
        <row r="1856">
          <cell r="B1856">
            <v>5.0822000000000003</v>
          </cell>
          <cell r="C1856">
            <v>10.065616438356166</v>
          </cell>
        </row>
        <row r="1857">
          <cell r="B1857">
            <v>5.0849000000000002</v>
          </cell>
          <cell r="C1857">
            <v>10.06613698630137</v>
          </cell>
        </row>
        <row r="1858">
          <cell r="B1858">
            <v>5.0876999999999999</v>
          </cell>
          <cell r="C1858">
            <v>10.066657534246575</v>
          </cell>
        </row>
        <row r="1859">
          <cell r="B1859">
            <v>5.0903999999999998</v>
          </cell>
          <cell r="C1859">
            <v>10.067178082191781</v>
          </cell>
        </row>
        <row r="1860">
          <cell r="B1860">
            <v>5.0932000000000004</v>
          </cell>
          <cell r="C1860">
            <v>10.067698630136986</v>
          </cell>
        </row>
        <row r="1861">
          <cell r="B1861">
            <v>5.0959000000000003</v>
          </cell>
          <cell r="C1861">
            <v>10.068219178082192</v>
          </cell>
        </row>
        <row r="1862">
          <cell r="B1862">
            <v>5.0986000000000002</v>
          </cell>
          <cell r="C1862">
            <v>10.068739726027397</v>
          </cell>
        </row>
        <row r="1863">
          <cell r="B1863">
            <v>5.1013999999999999</v>
          </cell>
          <cell r="C1863">
            <v>10.069260273972603</v>
          </cell>
        </row>
        <row r="1864">
          <cell r="B1864">
            <v>5.1040999999999999</v>
          </cell>
          <cell r="C1864">
            <v>10.069780821917808</v>
          </cell>
        </row>
        <row r="1865">
          <cell r="B1865">
            <v>5.1067999999999998</v>
          </cell>
          <cell r="C1865">
            <v>10.070301369863014</v>
          </cell>
        </row>
        <row r="1866">
          <cell r="B1866">
            <v>5.1096000000000004</v>
          </cell>
          <cell r="C1866">
            <v>10.070821917808219</v>
          </cell>
        </row>
        <row r="1867">
          <cell r="B1867">
            <v>5.1123000000000003</v>
          </cell>
          <cell r="C1867">
            <v>10.071342465753425</v>
          </cell>
        </row>
        <row r="1868">
          <cell r="B1868">
            <v>5.1151</v>
          </cell>
          <cell r="C1868">
            <v>10.07186301369863</v>
          </cell>
        </row>
        <row r="1869">
          <cell r="B1869">
            <v>5.1177999999999999</v>
          </cell>
          <cell r="C1869">
            <v>10.072383561643836</v>
          </cell>
        </row>
        <row r="1870">
          <cell r="B1870">
            <v>5.1204999999999998</v>
          </cell>
          <cell r="C1870">
            <v>10.072904109589041</v>
          </cell>
        </row>
        <row r="1871">
          <cell r="B1871">
            <v>5.1233000000000004</v>
          </cell>
          <cell r="C1871">
            <v>10.073424657534247</v>
          </cell>
        </row>
        <row r="1872">
          <cell r="B1872">
            <v>5.1260000000000003</v>
          </cell>
          <cell r="C1872">
            <v>10.073945205479452</v>
          </cell>
        </row>
        <row r="1873">
          <cell r="B1873">
            <v>5.1288</v>
          </cell>
          <cell r="C1873">
            <v>10.074465753424658</v>
          </cell>
        </row>
        <row r="1874">
          <cell r="B1874">
            <v>5.1315</v>
          </cell>
          <cell r="C1874">
            <v>10.074986301369863</v>
          </cell>
        </row>
        <row r="1875">
          <cell r="B1875">
            <v>5.1341999999999999</v>
          </cell>
          <cell r="C1875">
            <v>10.075506849315069</v>
          </cell>
        </row>
        <row r="1876">
          <cell r="B1876">
            <v>5.1369999999999996</v>
          </cell>
          <cell r="C1876">
            <v>10.076027397260274</v>
          </cell>
        </row>
        <row r="1877">
          <cell r="B1877">
            <v>5.1397000000000004</v>
          </cell>
          <cell r="C1877">
            <v>10.07654794520548</v>
          </cell>
        </row>
        <row r="1878">
          <cell r="B1878">
            <v>5.1425000000000001</v>
          </cell>
          <cell r="C1878">
            <v>10.077068493150685</v>
          </cell>
        </row>
        <row r="1879">
          <cell r="B1879">
            <v>5.1452</v>
          </cell>
          <cell r="C1879">
            <v>10.077589041095891</v>
          </cell>
        </row>
        <row r="1880">
          <cell r="B1880">
            <v>5.1478999999999999</v>
          </cell>
          <cell r="C1880">
            <v>10.078109589041096</v>
          </cell>
        </row>
        <row r="1881">
          <cell r="B1881">
            <v>5.1506999999999996</v>
          </cell>
          <cell r="C1881">
            <v>10.078630136986302</v>
          </cell>
        </row>
        <row r="1882">
          <cell r="B1882">
            <v>5.1534000000000004</v>
          </cell>
          <cell r="C1882">
            <v>10.079150684931507</v>
          </cell>
        </row>
        <row r="1883">
          <cell r="B1883">
            <v>5.1562000000000001</v>
          </cell>
          <cell r="C1883">
            <v>10.079671232876713</v>
          </cell>
        </row>
        <row r="1884">
          <cell r="B1884">
            <v>5.1589</v>
          </cell>
          <cell r="C1884">
            <v>10.080191780821918</v>
          </cell>
        </row>
        <row r="1885">
          <cell r="B1885">
            <v>5.1616</v>
          </cell>
          <cell r="C1885">
            <v>10.080712328767124</v>
          </cell>
        </row>
        <row r="1886">
          <cell r="B1886">
            <v>5.1643999999999997</v>
          </cell>
          <cell r="C1886">
            <v>10.081232876712329</v>
          </cell>
        </row>
        <row r="1887">
          <cell r="B1887">
            <v>5.1670999999999996</v>
          </cell>
          <cell r="C1887">
            <v>10.081753424657535</v>
          </cell>
        </row>
        <row r="1888">
          <cell r="B1888">
            <v>5.1699000000000002</v>
          </cell>
          <cell r="C1888">
            <v>10.08227397260274</v>
          </cell>
        </row>
        <row r="1889">
          <cell r="B1889">
            <v>5.1726000000000001</v>
          </cell>
          <cell r="C1889">
            <v>10.082794520547946</v>
          </cell>
        </row>
        <row r="1890">
          <cell r="B1890">
            <v>5.1753</v>
          </cell>
          <cell r="C1890">
            <v>10.083315068493151</v>
          </cell>
        </row>
        <row r="1891">
          <cell r="B1891">
            <v>5.1780999999999997</v>
          </cell>
          <cell r="C1891">
            <v>10.083835616438357</v>
          </cell>
        </row>
        <row r="1892">
          <cell r="B1892">
            <v>5.1807999999999996</v>
          </cell>
          <cell r="C1892">
            <v>10.084356164383562</v>
          </cell>
        </row>
        <row r="1893">
          <cell r="B1893">
            <v>5.1836000000000002</v>
          </cell>
          <cell r="C1893">
            <v>10.084876712328768</v>
          </cell>
        </row>
        <row r="1894">
          <cell r="B1894">
            <v>5.1863000000000001</v>
          </cell>
          <cell r="C1894">
            <v>10.085397260273973</v>
          </cell>
        </row>
        <row r="1895">
          <cell r="B1895">
            <v>5.1890000000000001</v>
          </cell>
          <cell r="C1895">
            <v>10.085917808219179</v>
          </cell>
        </row>
        <row r="1896">
          <cell r="B1896">
            <v>5.1917999999999997</v>
          </cell>
          <cell r="C1896">
            <v>10.086438356164384</v>
          </cell>
        </row>
        <row r="1897">
          <cell r="B1897">
            <v>5.1944999999999997</v>
          </cell>
          <cell r="C1897">
            <v>10.08695890410959</v>
          </cell>
        </row>
        <row r="1898">
          <cell r="B1898">
            <v>5.1973000000000003</v>
          </cell>
          <cell r="C1898">
            <v>10.087479452054795</v>
          </cell>
        </row>
        <row r="1899">
          <cell r="B1899">
            <v>5.2</v>
          </cell>
          <cell r="C1899">
            <v>10.088000000000001</v>
          </cell>
        </row>
        <row r="1900">
          <cell r="B1900">
            <v>5.2027000000000001</v>
          </cell>
          <cell r="C1900">
            <v>10.088520547945206</v>
          </cell>
        </row>
        <row r="1901">
          <cell r="B1901">
            <v>5.2054999999999998</v>
          </cell>
          <cell r="C1901">
            <v>10.089041095890412</v>
          </cell>
        </row>
        <row r="1902">
          <cell r="B1902">
            <v>5.2081999999999997</v>
          </cell>
          <cell r="C1902">
            <v>10.089561643835617</v>
          </cell>
        </row>
        <row r="1903">
          <cell r="B1903">
            <v>5.2110000000000003</v>
          </cell>
          <cell r="C1903">
            <v>10.090082191780823</v>
          </cell>
        </row>
        <row r="1904">
          <cell r="B1904">
            <v>5.2137000000000002</v>
          </cell>
          <cell r="C1904">
            <v>10.090602739726029</v>
          </cell>
        </row>
        <row r="1905">
          <cell r="B1905">
            <v>5.2164000000000001</v>
          </cell>
          <cell r="C1905">
            <v>10.091123287671234</v>
          </cell>
        </row>
        <row r="1906">
          <cell r="B1906">
            <v>5.2191999999999998</v>
          </cell>
          <cell r="C1906">
            <v>10.09164383561644</v>
          </cell>
        </row>
        <row r="1907">
          <cell r="B1907">
            <v>5.2218999999999998</v>
          </cell>
          <cell r="C1907">
            <v>10.092164383561645</v>
          </cell>
        </row>
        <row r="1908">
          <cell r="B1908">
            <v>5.2247000000000003</v>
          </cell>
          <cell r="C1908">
            <v>10.092684931506851</v>
          </cell>
        </row>
        <row r="1909">
          <cell r="B1909">
            <v>5.2274000000000003</v>
          </cell>
          <cell r="C1909">
            <v>10.093205479452056</v>
          </cell>
        </row>
        <row r="1910">
          <cell r="B1910">
            <v>5.2301000000000002</v>
          </cell>
          <cell r="C1910">
            <v>10.093726027397262</v>
          </cell>
        </row>
        <row r="1911">
          <cell r="B1911">
            <v>5.2328999999999999</v>
          </cell>
          <cell r="C1911">
            <v>10.094246575342467</v>
          </cell>
        </row>
        <row r="1912">
          <cell r="B1912">
            <v>5.2355999999999998</v>
          </cell>
          <cell r="C1912">
            <v>10.094767123287673</v>
          </cell>
        </row>
        <row r="1913">
          <cell r="B1913">
            <v>5.2384000000000004</v>
          </cell>
          <cell r="C1913">
            <v>10.095287671232878</v>
          </cell>
        </row>
        <row r="1914">
          <cell r="B1914">
            <v>5.2411000000000003</v>
          </cell>
          <cell r="C1914">
            <v>10.095808219178084</v>
          </cell>
        </row>
        <row r="1915">
          <cell r="B1915">
            <v>5.2438000000000002</v>
          </cell>
          <cell r="C1915">
            <v>10.096328767123289</v>
          </cell>
        </row>
        <row r="1916">
          <cell r="B1916">
            <v>5.2465999999999999</v>
          </cell>
          <cell r="C1916">
            <v>10.096849315068495</v>
          </cell>
        </row>
        <row r="1917">
          <cell r="B1917">
            <v>5.2492999999999999</v>
          </cell>
          <cell r="C1917">
            <v>10.0973698630137</v>
          </cell>
        </row>
        <row r="1918">
          <cell r="B1918">
            <v>5.2521000000000004</v>
          </cell>
          <cell r="C1918">
            <v>10.097890410958904</v>
          </cell>
        </row>
        <row r="1919">
          <cell r="B1919">
            <v>5.2548000000000004</v>
          </cell>
          <cell r="C1919">
            <v>10.098410958904109</v>
          </cell>
        </row>
        <row r="1920">
          <cell r="B1920">
            <v>5.2575000000000003</v>
          </cell>
          <cell r="C1920">
            <v>10.098931506849315</v>
          </cell>
        </row>
        <row r="1921">
          <cell r="B1921">
            <v>5.2603</v>
          </cell>
          <cell r="C1921">
            <v>10.09945205479452</v>
          </cell>
        </row>
        <row r="1922">
          <cell r="B1922">
            <v>5.2629999999999999</v>
          </cell>
          <cell r="C1922">
            <v>10.099972602739726</v>
          </cell>
        </row>
        <row r="1923">
          <cell r="B1923">
            <v>5.2657999999999996</v>
          </cell>
          <cell r="C1923">
            <v>10.100493150684931</v>
          </cell>
        </row>
        <row r="1924">
          <cell r="B1924">
            <v>5.2685000000000004</v>
          </cell>
          <cell r="C1924">
            <v>10.101013698630137</v>
          </cell>
        </row>
        <row r="1925">
          <cell r="B1925">
            <v>5.2712000000000003</v>
          </cell>
          <cell r="C1925">
            <v>10.101534246575342</v>
          </cell>
        </row>
        <row r="1926">
          <cell r="B1926">
            <v>5.274</v>
          </cell>
          <cell r="C1926">
            <v>10.102054794520548</v>
          </cell>
        </row>
        <row r="1927">
          <cell r="B1927">
            <v>5.2766999999999999</v>
          </cell>
          <cell r="C1927">
            <v>10.102575342465753</v>
          </cell>
        </row>
        <row r="1928">
          <cell r="B1928">
            <v>5.2794999999999996</v>
          </cell>
          <cell r="C1928">
            <v>10.103095890410959</v>
          </cell>
        </row>
        <row r="1929">
          <cell r="B1929">
            <v>5.2821999999999996</v>
          </cell>
          <cell r="C1929">
            <v>10.103616438356164</v>
          </cell>
        </row>
        <row r="1930">
          <cell r="B1930">
            <v>5.2849000000000004</v>
          </cell>
          <cell r="C1930">
            <v>10.10413698630137</v>
          </cell>
        </row>
        <row r="1931">
          <cell r="B1931">
            <v>5.2877000000000001</v>
          </cell>
          <cell r="C1931">
            <v>10.104657534246575</v>
          </cell>
        </row>
        <row r="1932">
          <cell r="B1932">
            <v>5.2904</v>
          </cell>
          <cell r="C1932">
            <v>10.105178082191781</v>
          </cell>
        </row>
        <row r="1933">
          <cell r="B1933">
            <v>5.2931999999999997</v>
          </cell>
          <cell r="C1933">
            <v>10.105698630136986</v>
          </cell>
        </row>
        <row r="1934">
          <cell r="B1934">
            <v>5.2958999999999996</v>
          </cell>
          <cell r="C1934">
            <v>10.106219178082192</v>
          </cell>
        </row>
        <row r="1935">
          <cell r="B1935">
            <v>5.2986000000000004</v>
          </cell>
          <cell r="C1935">
            <v>10.106739726027397</v>
          </cell>
        </row>
        <row r="1936">
          <cell r="B1936">
            <v>5.3014000000000001</v>
          </cell>
          <cell r="C1936">
            <v>10.107260273972603</v>
          </cell>
        </row>
        <row r="1937">
          <cell r="B1937">
            <v>5.3041</v>
          </cell>
          <cell r="C1937">
            <v>10.107780821917808</v>
          </cell>
        </row>
        <row r="1938">
          <cell r="B1938">
            <v>5.3068</v>
          </cell>
          <cell r="C1938">
            <v>10.108301369863014</v>
          </cell>
        </row>
        <row r="1939">
          <cell r="B1939">
            <v>5.3095999999999997</v>
          </cell>
          <cell r="C1939">
            <v>10.108821917808219</v>
          </cell>
        </row>
        <row r="1940">
          <cell r="B1940">
            <v>5.3122999999999996</v>
          </cell>
          <cell r="C1940">
            <v>10.109342465753425</v>
          </cell>
        </row>
        <row r="1941">
          <cell r="B1941">
            <v>5.3151000000000002</v>
          </cell>
          <cell r="C1941">
            <v>10.10986301369863</v>
          </cell>
        </row>
        <row r="1942">
          <cell r="B1942">
            <v>5.3178000000000001</v>
          </cell>
          <cell r="C1942">
            <v>10.110383561643836</v>
          </cell>
        </row>
        <row r="1943">
          <cell r="B1943">
            <v>5.3205</v>
          </cell>
          <cell r="C1943">
            <v>10.110904109589042</v>
          </cell>
        </row>
        <row r="1944">
          <cell r="B1944">
            <v>5.3232999999999997</v>
          </cell>
          <cell r="C1944">
            <v>10.111424657534247</v>
          </cell>
        </row>
        <row r="1945">
          <cell r="B1945">
            <v>5.3259999999999996</v>
          </cell>
          <cell r="C1945">
            <v>10.111945205479453</v>
          </cell>
        </row>
        <row r="1946">
          <cell r="B1946">
            <v>5.3288000000000002</v>
          </cell>
          <cell r="C1946">
            <v>10.112465753424658</v>
          </cell>
        </row>
        <row r="1947">
          <cell r="B1947">
            <v>5.3315000000000001</v>
          </cell>
          <cell r="C1947">
            <v>10.112986301369864</v>
          </cell>
        </row>
        <row r="1948">
          <cell r="B1948">
            <v>5.3342000000000001</v>
          </cell>
          <cell r="C1948">
            <v>10.113506849315069</v>
          </cell>
        </row>
        <row r="1949">
          <cell r="B1949">
            <v>5.3369999999999997</v>
          </cell>
          <cell r="C1949">
            <v>10.114027397260275</v>
          </cell>
        </row>
        <row r="1950">
          <cell r="B1950">
            <v>5.3396999999999997</v>
          </cell>
          <cell r="C1950">
            <v>10.11454794520548</v>
          </cell>
        </row>
        <row r="1951">
          <cell r="B1951">
            <v>5.3425000000000002</v>
          </cell>
          <cell r="C1951">
            <v>10.115068493150686</v>
          </cell>
        </row>
        <row r="1952">
          <cell r="B1952">
            <v>5.3452000000000002</v>
          </cell>
          <cell r="C1952">
            <v>10.115589041095891</v>
          </cell>
        </row>
        <row r="1953">
          <cell r="B1953">
            <v>5.3479000000000001</v>
          </cell>
          <cell r="C1953">
            <v>10.116109589041097</v>
          </cell>
        </row>
        <row r="1954">
          <cell r="B1954">
            <v>5.3506999999999998</v>
          </cell>
          <cell r="C1954">
            <v>10.116630136986302</v>
          </cell>
        </row>
        <row r="1955">
          <cell r="B1955">
            <v>5.3533999999999997</v>
          </cell>
          <cell r="C1955">
            <v>10.117150684931508</v>
          </cell>
        </row>
        <row r="1956">
          <cell r="B1956">
            <v>5.3562000000000003</v>
          </cell>
          <cell r="C1956">
            <v>10.117671232876713</v>
          </cell>
        </row>
        <row r="1957">
          <cell r="B1957">
            <v>5.3589000000000002</v>
          </cell>
          <cell r="C1957">
            <v>10.118191780821919</v>
          </cell>
        </row>
        <row r="1958">
          <cell r="B1958">
            <v>5.3616000000000001</v>
          </cell>
          <cell r="C1958">
            <v>10.118712328767124</v>
          </cell>
        </row>
        <row r="1959">
          <cell r="B1959">
            <v>5.3643999999999998</v>
          </cell>
          <cell r="C1959">
            <v>10.11923287671233</v>
          </cell>
        </row>
        <row r="1960">
          <cell r="B1960">
            <v>5.3670999999999998</v>
          </cell>
          <cell r="C1960">
            <v>10.119753424657535</v>
          </cell>
        </row>
        <row r="1961">
          <cell r="B1961">
            <v>5.3699000000000003</v>
          </cell>
          <cell r="C1961">
            <v>10.120273972602741</v>
          </cell>
        </row>
        <row r="1962">
          <cell r="B1962">
            <v>5.3726000000000003</v>
          </cell>
          <cell r="C1962">
            <v>10.120794520547946</v>
          </cell>
        </row>
        <row r="1963">
          <cell r="B1963">
            <v>5.3753000000000002</v>
          </cell>
          <cell r="C1963">
            <v>10.121315068493152</v>
          </cell>
        </row>
        <row r="1964">
          <cell r="B1964">
            <v>5.3780999999999999</v>
          </cell>
          <cell r="C1964">
            <v>10.121835616438357</v>
          </cell>
        </row>
        <row r="1965">
          <cell r="B1965">
            <v>5.3807999999999998</v>
          </cell>
          <cell r="C1965">
            <v>10.122356164383563</v>
          </cell>
        </row>
        <row r="1966">
          <cell r="B1966">
            <v>5.3836000000000004</v>
          </cell>
          <cell r="C1966">
            <v>10.122876712328768</v>
          </cell>
        </row>
        <row r="1967">
          <cell r="B1967">
            <v>5.3863000000000003</v>
          </cell>
          <cell r="C1967">
            <v>10.123397260273974</v>
          </cell>
        </row>
        <row r="1968">
          <cell r="B1968">
            <v>5.3890000000000002</v>
          </cell>
          <cell r="C1968">
            <v>10.123917808219179</v>
          </cell>
        </row>
        <row r="1969">
          <cell r="B1969">
            <v>5.3917999999999999</v>
          </cell>
          <cell r="C1969">
            <v>10.124438356164385</v>
          </cell>
        </row>
        <row r="1970">
          <cell r="B1970">
            <v>5.3944999999999999</v>
          </cell>
          <cell r="C1970">
            <v>10.12495890410959</v>
          </cell>
        </row>
        <row r="1971">
          <cell r="B1971">
            <v>5.3973000000000004</v>
          </cell>
          <cell r="C1971">
            <v>10.125479452054796</v>
          </cell>
        </row>
        <row r="1972">
          <cell r="B1972">
            <v>5.4</v>
          </cell>
          <cell r="C1972">
            <v>10.126000000000001</v>
          </cell>
        </row>
        <row r="1973">
          <cell r="B1973">
            <v>5.4027000000000003</v>
          </cell>
          <cell r="C1973">
            <v>10.126520547945207</v>
          </cell>
        </row>
        <row r="1974">
          <cell r="B1974">
            <v>5.4055</v>
          </cell>
          <cell r="C1974">
            <v>10.127041095890412</v>
          </cell>
        </row>
        <row r="1975">
          <cell r="B1975">
            <v>5.4081999999999999</v>
          </cell>
          <cell r="C1975">
            <v>10.127561643835618</v>
          </cell>
        </row>
        <row r="1976">
          <cell r="B1976">
            <v>5.4109999999999996</v>
          </cell>
          <cell r="C1976">
            <v>10.128082191780823</v>
          </cell>
        </row>
        <row r="1977">
          <cell r="B1977">
            <v>5.4137000000000004</v>
          </cell>
          <cell r="C1977">
            <v>10.128602739726029</v>
          </cell>
        </row>
        <row r="1978">
          <cell r="B1978">
            <v>5.4164000000000003</v>
          </cell>
          <cell r="C1978">
            <v>10.129123287671234</v>
          </cell>
        </row>
        <row r="1979">
          <cell r="B1979">
            <v>5.4192</v>
          </cell>
          <cell r="C1979">
            <v>10.129643835616438</v>
          </cell>
        </row>
        <row r="1980">
          <cell r="B1980">
            <v>5.4218999999999999</v>
          </cell>
          <cell r="C1980">
            <v>10.130164383561644</v>
          </cell>
        </row>
        <row r="1981">
          <cell r="B1981">
            <v>5.4246999999999996</v>
          </cell>
          <cell r="C1981">
            <v>10.130684931506849</v>
          </cell>
        </row>
        <row r="1982">
          <cell r="B1982">
            <v>5.4273999999999996</v>
          </cell>
          <cell r="C1982">
            <v>10.131205479452055</v>
          </cell>
        </row>
        <row r="1983">
          <cell r="B1983">
            <v>5.4301000000000004</v>
          </cell>
          <cell r="C1983">
            <v>10.13172602739726</v>
          </cell>
        </row>
        <row r="1984">
          <cell r="B1984">
            <v>5.4329000000000001</v>
          </cell>
          <cell r="C1984">
            <v>10.132246575342466</v>
          </cell>
        </row>
        <row r="1985">
          <cell r="B1985">
            <v>5.4356</v>
          </cell>
          <cell r="C1985">
            <v>10.132767123287671</v>
          </cell>
        </row>
        <row r="1986">
          <cell r="B1986">
            <v>5.4383999999999997</v>
          </cell>
          <cell r="C1986">
            <v>10.133287671232877</v>
          </cell>
        </row>
        <row r="1987">
          <cell r="B1987">
            <v>5.4410999999999996</v>
          </cell>
          <cell r="C1987">
            <v>10.133808219178082</v>
          </cell>
        </row>
        <row r="1988">
          <cell r="B1988">
            <v>5.4438000000000004</v>
          </cell>
          <cell r="C1988">
            <v>10.134328767123288</v>
          </cell>
        </row>
        <row r="1989">
          <cell r="B1989">
            <v>5.4466000000000001</v>
          </cell>
          <cell r="C1989">
            <v>10.134849315068493</v>
          </cell>
        </row>
        <row r="1990">
          <cell r="B1990">
            <v>5.4493</v>
          </cell>
          <cell r="C1990">
            <v>10.135369863013699</v>
          </cell>
        </row>
        <row r="1991">
          <cell r="B1991">
            <v>5.4520999999999997</v>
          </cell>
          <cell r="C1991">
            <v>10.135890410958904</v>
          </cell>
        </row>
        <row r="1992">
          <cell r="B1992">
            <v>5.4547999999999996</v>
          </cell>
          <cell r="C1992">
            <v>10.13641095890411</v>
          </cell>
        </row>
        <row r="1993">
          <cell r="B1993">
            <v>5.4574999999999996</v>
          </cell>
          <cell r="C1993">
            <v>10.136931506849315</v>
          </cell>
        </row>
        <row r="1994">
          <cell r="B1994">
            <v>5.4603000000000002</v>
          </cell>
          <cell r="C1994">
            <v>10.137452054794521</v>
          </cell>
        </row>
        <row r="1995">
          <cell r="B1995">
            <v>5.4630000000000001</v>
          </cell>
          <cell r="C1995">
            <v>10.137972602739726</v>
          </cell>
        </row>
        <row r="1996">
          <cell r="B1996">
            <v>5.4657999999999998</v>
          </cell>
          <cell r="C1996">
            <v>10.138493150684932</v>
          </cell>
        </row>
        <row r="1997">
          <cell r="B1997">
            <v>5.4684999999999997</v>
          </cell>
          <cell r="C1997">
            <v>10.139013698630137</v>
          </cell>
        </row>
        <row r="1998">
          <cell r="B1998">
            <v>5.4711999999999996</v>
          </cell>
          <cell r="C1998">
            <v>10.139534246575343</v>
          </cell>
        </row>
        <row r="1999">
          <cell r="B1999">
            <v>5.4740000000000002</v>
          </cell>
          <cell r="C1999">
            <v>10.140054794520548</v>
          </cell>
        </row>
        <row r="2000">
          <cell r="B2000">
            <v>5.4767000000000001</v>
          </cell>
          <cell r="C2000">
            <v>10.140575342465754</v>
          </cell>
        </row>
        <row r="2001">
          <cell r="B2001">
            <v>5.4794999999999998</v>
          </cell>
          <cell r="C2001">
            <v>10.141095890410959</v>
          </cell>
        </row>
        <row r="2002">
          <cell r="B2002">
            <v>5.4821999999999997</v>
          </cell>
          <cell r="C2002">
            <v>10.141616438356165</v>
          </cell>
        </row>
        <row r="2003">
          <cell r="B2003">
            <v>5.4848999999999997</v>
          </cell>
          <cell r="C2003">
            <v>10.14213698630137</v>
          </cell>
        </row>
        <row r="2004">
          <cell r="B2004">
            <v>5.4877000000000002</v>
          </cell>
          <cell r="C2004">
            <v>10.142657534246576</v>
          </cell>
        </row>
        <row r="2005">
          <cell r="B2005">
            <v>5.4904000000000002</v>
          </cell>
          <cell r="C2005">
            <v>10.143178082191781</v>
          </cell>
        </row>
        <row r="2006">
          <cell r="B2006">
            <v>5.4931999999999999</v>
          </cell>
          <cell r="C2006">
            <v>10.143698630136987</v>
          </cell>
        </row>
        <row r="2007">
          <cell r="B2007">
            <v>5.4958999999999998</v>
          </cell>
          <cell r="C2007">
            <v>10.144219178082192</v>
          </cell>
        </row>
        <row r="2008">
          <cell r="B2008">
            <v>5.4985999999999997</v>
          </cell>
          <cell r="C2008">
            <v>10.144739726027398</v>
          </cell>
        </row>
        <row r="2009">
          <cell r="B2009">
            <v>5.5014000000000003</v>
          </cell>
          <cell r="C2009">
            <v>10.145260273972603</v>
          </cell>
        </row>
        <row r="2010">
          <cell r="B2010">
            <v>5.5041000000000002</v>
          </cell>
          <cell r="C2010">
            <v>10.145780821917809</v>
          </cell>
        </row>
        <row r="2011">
          <cell r="B2011">
            <v>5.5068000000000001</v>
          </cell>
          <cell r="C2011">
            <v>10.146301369863014</v>
          </cell>
        </row>
        <row r="2012">
          <cell r="B2012">
            <v>5.5095999999999998</v>
          </cell>
          <cell r="C2012">
            <v>10.14682191780822</v>
          </cell>
        </row>
        <row r="2013">
          <cell r="B2013">
            <v>5.5122999999999998</v>
          </cell>
          <cell r="C2013">
            <v>10.147342465753425</v>
          </cell>
        </row>
        <row r="2014">
          <cell r="B2014">
            <v>5.5151000000000003</v>
          </cell>
          <cell r="C2014">
            <v>10.147863013698631</v>
          </cell>
        </row>
        <row r="2015">
          <cell r="B2015">
            <v>5.5178000000000003</v>
          </cell>
          <cell r="C2015">
            <v>10.148383561643836</v>
          </cell>
        </row>
        <row r="2016">
          <cell r="B2016">
            <v>5.5205000000000002</v>
          </cell>
          <cell r="C2016">
            <v>10.148904109589042</v>
          </cell>
        </row>
        <row r="2017">
          <cell r="B2017">
            <v>5.5232999999999999</v>
          </cell>
          <cell r="C2017">
            <v>10.149424657534247</v>
          </cell>
        </row>
        <row r="2018">
          <cell r="B2018">
            <v>5.5259999999999998</v>
          </cell>
          <cell r="C2018">
            <v>10.149945205479453</v>
          </cell>
        </row>
        <row r="2019">
          <cell r="B2019">
            <v>5.5288000000000004</v>
          </cell>
          <cell r="C2019">
            <v>10.150465753424658</v>
          </cell>
        </row>
        <row r="2020">
          <cell r="B2020">
            <v>5.5315000000000003</v>
          </cell>
          <cell r="C2020">
            <v>10.150986301369864</v>
          </cell>
        </row>
        <row r="2021">
          <cell r="B2021">
            <v>5.5342000000000002</v>
          </cell>
          <cell r="C2021">
            <v>10.151506849315069</v>
          </cell>
        </row>
        <row r="2022">
          <cell r="B2022">
            <v>5.5369999999999999</v>
          </cell>
          <cell r="C2022">
            <v>10.152027397260275</v>
          </cell>
        </row>
        <row r="2023">
          <cell r="B2023">
            <v>5.5396999999999998</v>
          </cell>
          <cell r="C2023">
            <v>10.15254794520548</v>
          </cell>
        </row>
        <row r="2024">
          <cell r="B2024">
            <v>5.5425000000000004</v>
          </cell>
          <cell r="C2024">
            <v>10.153068493150686</v>
          </cell>
        </row>
        <row r="2025">
          <cell r="B2025">
            <v>5.5452000000000004</v>
          </cell>
          <cell r="C2025">
            <v>10.153589041095891</v>
          </cell>
        </row>
        <row r="2026">
          <cell r="B2026">
            <v>5.5479000000000003</v>
          </cell>
          <cell r="C2026">
            <v>10.154109589041097</v>
          </cell>
        </row>
        <row r="2027">
          <cell r="B2027">
            <v>5.5507</v>
          </cell>
          <cell r="C2027">
            <v>10.154630136986302</v>
          </cell>
        </row>
        <row r="2028">
          <cell r="B2028">
            <v>5.5533999999999999</v>
          </cell>
          <cell r="C2028">
            <v>10.155150684931508</v>
          </cell>
        </row>
        <row r="2029">
          <cell r="B2029">
            <v>5.5561999999999996</v>
          </cell>
          <cell r="C2029">
            <v>10.155671232876713</v>
          </cell>
        </row>
        <row r="2030">
          <cell r="B2030">
            <v>5.5589000000000004</v>
          </cell>
          <cell r="C2030">
            <v>10.156191780821919</v>
          </cell>
        </row>
        <row r="2031">
          <cell r="B2031">
            <v>5.5616000000000003</v>
          </cell>
          <cell r="C2031">
            <v>10.156712328767124</v>
          </cell>
        </row>
        <row r="2032">
          <cell r="B2032">
            <v>5.5644</v>
          </cell>
          <cell r="C2032">
            <v>10.15723287671233</v>
          </cell>
        </row>
        <row r="2033">
          <cell r="B2033">
            <v>5.5670999999999999</v>
          </cell>
          <cell r="C2033">
            <v>10.157753424657535</v>
          </cell>
        </row>
        <row r="2034">
          <cell r="B2034">
            <v>5.5698999999999996</v>
          </cell>
          <cell r="C2034">
            <v>10.158273972602741</v>
          </cell>
        </row>
        <row r="2035">
          <cell r="B2035">
            <v>5.5726000000000004</v>
          </cell>
          <cell r="C2035">
            <v>10.158794520547946</v>
          </cell>
        </row>
        <row r="2036">
          <cell r="B2036">
            <v>5.5753000000000004</v>
          </cell>
          <cell r="C2036">
            <v>10.159315068493152</v>
          </cell>
        </row>
        <row r="2037">
          <cell r="B2037">
            <v>5.5781000000000001</v>
          </cell>
          <cell r="C2037">
            <v>10.159835616438357</v>
          </cell>
        </row>
        <row r="2038">
          <cell r="B2038">
            <v>5.5808</v>
          </cell>
          <cell r="C2038">
            <v>10.160356164383563</v>
          </cell>
        </row>
        <row r="2039">
          <cell r="B2039">
            <v>5.5835999999999997</v>
          </cell>
          <cell r="C2039">
            <v>10.160876712328768</v>
          </cell>
        </row>
        <row r="2040">
          <cell r="B2040">
            <v>5.5862999999999996</v>
          </cell>
          <cell r="C2040">
            <v>10.161397260273972</v>
          </cell>
        </row>
        <row r="2041">
          <cell r="B2041">
            <v>5.5890000000000004</v>
          </cell>
          <cell r="C2041">
            <v>10.161917808219178</v>
          </cell>
        </row>
        <row r="2042">
          <cell r="B2042">
            <v>5.5918000000000001</v>
          </cell>
          <cell r="C2042">
            <v>10.162438356164383</v>
          </cell>
        </row>
        <row r="2043">
          <cell r="B2043">
            <v>5.5945</v>
          </cell>
          <cell r="C2043">
            <v>10.162958904109589</v>
          </cell>
        </row>
        <row r="2044">
          <cell r="B2044">
            <v>5.5972999999999997</v>
          </cell>
          <cell r="C2044">
            <v>10.163479452054794</v>
          </cell>
        </row>
        <row r="2045">
          <cell r="B2045">
            <v>5.6</v>
          </cell>
          <cell r="C2045">
            <v>10.164</v>
          </cell>
        </row>
        <row r="2046">
          <cell r="B2046">
            <v>5.6026999999999996</v>
          </cell>
          <cell r="C2046">
            <v>10.164520547945205</v>
          </cell>
        </row>
        <row r="2047">
          <cell r="B2047">
            <v>5.6055000000000001</v>
          </cell>
          <cell r="C2047">
            <v>10.165041095890411</v>
          </cell>
        </row>
        <row r="2048">
          <cell r="B2048">
            <v>5.6082000000000001</v>
          </cell>
          <cell r="C2048">
            <v>10.165561643835616</v>
          </cell>
        </row>
        <row r="2049">
          <cell r="B2049">
            <v>5.6109999999999998</v>
          </cell>
          <cell r="C2049">
            <v>10.166082191780822</v>
          </cell>
        </row>
        <row r="2050">
          <cell r="B2050">
            <v>5.6136999999999997</v>
          </cell>
          <cell r="C2050">
            <v>10.166602739726027</v>
          </cell>
        </row>
        <row r="2051">
          <cell r="B2051">
            <v>5.6163999999999996</v>
          </cell>
          <cell r="C2051">
            <v>10.167123287671233</v>
          </cell>
        </row>
        <row r="2052">
          <cell r="B2052">
            <v>5.6192000000000002</v>
          </cell>
          <cell r="C2052">
            <v>10.167643835616438</v>
          </cell>
        </row>
        <row r="2053">
          <cell r="B2053">
            <v>5.6219000000000001</v>
          </cell>
          <cell r="C2053">
            <v>10.168164383561644</v>
          </cell>
        </row>
        <row r="2054">
          <cell r="B2054">
            <v>5.6246999999999998</v>
          </cell>
          <cell r="C2054">
            <v>10.168684931506849</v>
          </cell>
        </row>
        <row r="2055">
          <cell r="B2055">
            <v>5.6273999999999997</v>
          </cell>
          <cell r="C2055">
            <v>10.169205479452055</v>
          </cell>
        </row>
        <row r="2056">
          <cell r="B2056">
            <v>5.6300999999999997</v>
          </cell>
          <cell r="C2056">
            <v>10.16972602739726</v>
          </cell>
        </row>
        <row r="2057">
          <cell r="B2057">
            <v>5.6329000000000002</v>
          </cell>
          <cell r="C2057">
            <v>10.170246575342466</v>
          </cell>
        </row>
        <row r="2058">
          <cell r="B2058">
            <v>5.6356000000000002</v>
          </cell>
          <cell r="C2058">
            <v>10.170767123287671</v>
          </cell>
        </row>
        <row r="2059">
          <cell r="B2059">
            <v>5.6383999999999999</v>
          </cell>
          <cell r="C2059">
            <v>10.171287671232877</v>
          </cell>
        </row>
        <row r="2060">
          <cell r="B2060">
            <v>5.6410999999999998</v>
          </cell>
          <cell r="C2060">
            <v>10.171808219178082</v>
          </cell>
        </row>
        <row r="2061">
          <cell r="B2061">
            <v>5.6437999999999997</v>
          </cell>
          <cell r="C2061">
            <v>10.172328767123288</v>
          </cell>
        </row>
        <row r="2062">
          <cell r="B2062">
            <v>5.6466000000000003</v>
          </cell>
          <cell r="C2062">
            <v>10.172849315068493</v>
          </cell>
        </row>
        <row r="2063">
          <cell r="B2063">
            <v>5.6493000000000002</v>
          </cell>
          <cell r="C2063">
            <v>10.173369863013699</v>
          </cell>
        </row>
        <row r="2064">
          <cell r="B2064">
            <v>5.6520999999999999</v>
          </cell>
          <cell r="C2064">
            <v>10.173890410958904</v>
          </cell>
        </row>
        <row r="2065">
          <cell r="B2065">
            <v>5.6547999999999998</v>
          </cell>
          <cell r="C2065">
            <v>10.17441095890411</v>
          </cell>
        </row>
        <row r="2066">
          <cell r="B2066">
            <v>5.6574999999999998</v>
          </cell>
          <cell r="C2066">
            <v>10.174931506849315</v>
          </cell>
        </row>
        <row r="2067">
          <cell r="B2067">
            <v>5.6603000000000003</v>
          </cell>
          <cell r="C2067">
            <v>10.175452054794521</v>
          </cell>
        </row>
        <row r="2068">
          <cell r="B2068">
            <v>5.6630000000000003</v>
          </cell>
          <cell r="C2068">
            <v>10.175972602739726</v>
          </cell>
        </row>
        <row r="2069">
          <cell r="B2069">
            <v>5.6657999999999999</v>
          </cell>
          <cell r="C2069">
            <v>10.176493150684932</v>
          </cell>
        </row>
        <row r="2070">
          <cell r="B2070">
            <v>5.6684999999999999</v>
          </cell>
          <cell r="C2070">
            <v>10.177013698630137</v>
          </cell>
        </row>
        <row r="2071">
          <cell r="B2071">
            <v>5.6711999999999998</v>
          </cell>
          <cell r="C2071">
            <v>10.177534246575343</v>
          </cell>
        </row>
        <row r="2072">
          <cell r="B2072">
            <v>5.6740000000000004</v>
          </cell>
          <cell r="C2072">
            <v>10.178054794520548</v>
          </cell>
        </row>
        <row r="2073">
          <cell r="B2073">
            <v>5.6767000000000003</v>
          </cell>
          <cell r="C2073">
            <v>10.178575342465754</v>
          </cell>
        </row>
        <row r="2074">
          <cell r="B2074">
            <v>5.6795</v>
          </cell>
          <cell r="C2074">
            <v>10.179095890410959</v>
          </cell>
        </row>
        <row r="2075">
          <cell r="B2075">
            <v>5.6821999999999999</v>
          </cell>
          <cell r="C2075">
            <v>10.179616438356165</v>
          </cell>
        </row>
        <row r="2076">
          <cell r="B2076">
            <v>5.6848999999999998</v>
          </cell>
          <cell r="C2076">
            <v>10.18013698630137</v>
          </cell>
        </row>
        <row r="2077">
          <cell r="B2077">
            <v>5.6877000000000004</v>
          </cell>
          <cell r="C2077">
            <v>10.180657534246576</v>
          </cell>
        </row>
        <row r="2078">
          <cell r="B2078">
            <v>5.6904000000000003</v>
          </cell>
          <cell r="C2078">
            <v>10.181178082191781</v>
          </cell>
        </row>
        <row r="2079">
          <cell r="B2079">
            <v>5.6932</v>
          </cell>
          <cell r="C2079">
            <v>10.181698630136987</v>
          </cell>
        </row>
        <row r="2080">
          <cell r="B2080">
            <v>5.6959</v>
          </cell>
          <cell r="C2080">
            <v>10.182219178082192</v>
          </cell>
        </row>
        <row r="2081">
          <cell r="B2081">
            <v>5.6985999999999999</v>
          </cell>
          <cell r="C2081">
            <v>10.182739726027398</v>
          </cell>
        </row>
        <row r="2082">
          <cell r="B2082">
            <v>5.7013999999999996</v>
          </cell>
          <cell r="C2082">
            <v>10.183260273972603</v>
          </cell>
        </row>
        <row r="2083">
          <cell r="B2083">
            <v>5.7041000000000004</v>
          </cell>
          <cell r="C2083">
            <v>10.183780821917809</v>
          </cell>
        </row>
        <row r="2084">
          <cell r="B2084">
            <v>5.7068000000000003</v>
          </cell>
          <cell r="C2084">
            <v>10.184301369863014</v>
          </cell>
        </row>
        <row r="2085">
          <cell r="B2085">
            <v>5.7096</v>
          </cell>
          <cell r="C2085">
            <v>10.18482191780822</v>
          </cell>
        </row>
        <row r="2086">
          <cell r="B2086">
            <v>5.7122999999999999</v>
          </cell>
          <cell r="C2086">
            <v>10.185342465753426</v>
          </cell>
        </row>
        <row r="2087">
          <cell r="B2087">
            <v>5.7150999999999996</v>
          </cell>
          <cell r="C2087">
            <v>10.185863013698631</v>
          </cell>
        </row>
        <row r="2088">
          <cell r="B2088">
            <v>5.7178000000000004</v>
          </cell>
          <cell r="C2088">
            <v>10.186383561643837</v>
          </cell>
        </row>
        <row r="2089">
          <cell r="B2089">
            <v>5.7205000000000004</v>
          </cell>
          <cell r="C2089">
            <v>10.186904109589042</v>
          </cell>
        </row>
        <row r="2090">
          <cell r="B2090">
            <v>5.7233000000000001</v>
          </cell>
          <cell r="C2090">
            <v>10.187424657534248</v>
          </cell>
        </row>
        <row r="2091">
          <cell r="B2091">
            <v>5.726</v>
          </cell>
          <cell r="C2091">
            <v>10.187945205479453</v>
          </cell>
        </row>
        <row r="2092">
          <cell r="B2092">
            <v>5.7287999999999997</v>
          </cell>
          <cell r="C2092">
            <v>10.188465753424659</v>
          </cell>
        </row>
        <row r="2093">
          <cell r="B2093">
            <v>5.7314999999999996</v>
          </cell>
          <cell r="C2093">
            <v>10.188986301369864</v>
          </cell>
        </row>
        <row r="2094">
          <cell r="B2094">
            <v>5.7342000000000004</v>
          </cell>
          <cell r="C2094">
            <v>10.18950684931507</v>
          </cell>
        </row>
        <row r="2095">
          <cell r="B2095">
            <v>5.7370000000000001</v>
          </cell>
          <cell r="C2095">
            <v>10.190027397260275</v>
          </cell>
        </row>
        <row r="2096">
          <cell r="B2096">
            <v>5.7397</v>
          </cell>
          <cell r="C2096">
            <v>10.190547945205481</v>
          </cell>
        </row>
        <row r="2097">
          <cell r="B2097">
            <v>5.7424999999999997</v>
          </cell>
          <cell r="C2097">
            <v>10.191068493150686</v>
          </cell>
        </row>
        <row r="2098">
          <cell r="B2098">
            <v>5.7451999999999996</v>
          </cell>
          <cell r="C2098">
            <v>10.191589041095892</v>
          </cell>
        </row>
        <row r="2099">
          <cell r="B2099">
            <v>5.7478999999999996</v>
          </cell>
          <cell r="C2099">
            <v>10.192109589041097</v>
          </cell>
        </row>
        <row r="2100">
          <cell r="B2100">
            <v>5.7507000000000001</v>
          </cell>
          <cell r="C2100">
            <v>10.192630136986303</v>
          </cell>
        </row>
        <row r="2101">
          <cell r="B2101">
            <v>5.7534000000000001</v>
          </cell>
          <cell r="C2101">
            <v>10.193150684931506</v>
          </cell>
        </row>
        <row r="2102">
          <cell r="B2102">
            <v>5.7561999999999998</v>
          </cell>
          <cell r="C2102">
            <v>10.193671232876712</v>
          </cell>
        </row>
        <row r="2103">
          <cell r="B2103">
            <v>5.7588999999999997</v>
          </cell>
          <cell r="C2103">
            <v>10.194191780821917</v>
          </cell>
        </row>
        <row r="2104">
          <cell r="B2104">
            <v>5.7615999999999996</v>
          </cell>
          <cell r="C2104">
            <v>10.194712328767123</v>
          </cell>
        </row>
        <row r="2105">
          <cell r="B2105">
            <v>5.7644000000000002</v>
          </cell>
          <cell r="C2105">
            <v>10.195232876712328</v>
          </cell>
        </row>
        <row r="2106">
          <cell r="B2106">
            <v>5.7671000000000001</v>
          </cell>
          <cell r="C2106">
            <v>10.195753424657534</v>
          </cell>
        </row>
        <row r="2107">
          <cell r="B2107">
            <v>5.7698999999999998</v>
          </cell>
          <cell r="C2107">
            <v>10.196273972602739</v>
          </cell>
        </row>
        <row r="2108">
          <cell r="B2108">
            <v>5.7725999999999997</v>
          </cell>
          <cell r="C2108">
            <v>10.196794520547945</v>
          </cell>
        </row>
        <row r="2109">
          <cell r="B2109">
            <v>5.7752999999999997</v>
          </cell>
          <cell r="C2109">
            <v>10.19731506849315</v>
          </cell>
        </row>
        <row r="2110">
          <cell r="B2110">
            <v>5.7781000000000002</v>
          </cell>
          <cell r="C2110">
            <v>10.197835616438356</v>
          </cell>
        </row>
        <row r="2111">
          <cell r="B2111">
            <v>5.7808000000000002</v>
          </cell>
          <cell r="C2111">
            <v>10.198356164383561</v>
          </cell>
        </row>
        <row r="2112">
          <cell r="B2112">
            <v>5.7835999999999999</v>
          </cell>
          <cell r="C2112">
            <v>10.198876712328767</v>
          </cell>
        </row>
        <row r="2113">
          <cell r="B2113">
            <v>5.7862999999999998</v>
          </cell>
          <cell r="C2113">
            <v>10.199397260273972</v>
          </cell>
        </row>
        <row r="2114">
          <cell r="B2114">
            <v>5.7889999999999997</v>
          </cell>
          <cell r="C2114">
            <v>10.199917808219178</v>
          </cell>
        </row>
        <row r="2115">
          <cell r="B2115">
            <v>5.7918000000000003</v>
          </cell>
          <cell r="C2115">
            <v>10.200438356164383</v>
          </cell>
        </row>
        <row r="2116">
          <cell r="B2116">
            <v>5.7945000000000002</v>
          </cell>
          <cell r="C2116">
            <v>10.200958904109589</v>
          </cell>
        </row>
        <row r="2117">
          <cell r="B2117">
            <v>5.7972999999999999</v>
          </cell>
          <cell r="C2117">
            <v>10.201479452054794</v>
          </cell>
        </row>
        <row r="2118">
          <cell r="B2118">
            <v>5.8</v>
          </cell>
          <cell r="C2118">
            <v>10.202</v>
          </cell>
        </row>
        <row r="2119">
          <cell r="B2119">
            <v>5.8026999999999997</v>
          </cell>
          <cell r="C2119">
            <v>10.202520547945205</v>
          </cell>
        </row>
        <row r="2120">
          <cell r="B2120">
            <v>5.8055000000000003</v>
          </cell>
          <cell r="C2120">
            <v>10.203041095890411</v>
          </cell>
        </row>
        <row r="2121">
          <cell r="B2121">
            <v>5.8082000000000003</v>
          </cell>
          <cell r="C2121">
            <v>10.203561643835616</v>
          </cell>
        </row>
        <row r="2122">
          <cell r="B2122">
            <v>5.8109999999999999</v>
          </cell>
          <cell r="C2122">
            <v>10.204082191780822</v>
          </cell>
        </row>
        <row r="2123">
          <cell r="B2123">
            <v>5.8136999999999999</v>
          </cell>
          <cell r="C2123">
            <v>10.204602739726027</v>
          </cell>
        </row>
        <row r="2124">
          <cell r="B2124">
            <v>5.8163999999999998</v>
          </cell>
          <cell r="C2124">
            <v>10.205123287671233</v>
          </cell>
        </row>
        <row r="2125">
          <cell r="B2125">
            <v>5.8192000000000004</v>
          </cell>
          <cell r="C2125">
            <v>10.205643835616439</v>
          </cell>
        </row>
        <row r="2126">
          <cell r="B2126">
            <v>5.8219000000000003</v>
          </cell>
          <cell r="C2126">
            <v>10.206164383561644</v>
          </cell>
        </row>
        <row r="2127">
          <cell r="B2127">
            <v>5.8247</v>
          </cell>
          <cell r="C2127">
            <v>10.20668493150685</v>
          </cell>
        </row>
        <row r="2128">
          <cell r="B2128">
            <v>5.8273999999999999</v>
          </cell>
          <cell r="C2128">
            <v>10.207205479452055</v>
          </cell>
        </row>
        <row r="2129">
          <cell r="B2129">
            <v>5.8300999999999998</v>
          </cell>
          <cell r="C2129">
            <v>10.207726027397261</v>
          </cell>
        </row>
        <row r="2130">
          <cell r="B2130">
            <v>5.8329000000000004</v>
          </cell>
          <cell r="C2130">
            <v>10.208246575342466</v>
          </cell>
        </row>
        <row r="2131">
          <cell r="B2131">
            <v>5.8356000000000003</v>
          </cell>
          <cell r="C2131">
            <v>10.208767123287672</v>
          </cell>
        </row>
        <row r="2132">
          <cell r="B2132">
            <v>5.8384</v>
          </cell>
          <cell r="C2132">
            <v>10.209287671232877</v>
          </cell>
        </row>
        <row r="2133">
          <cell r="B2133">
            <v>5.8411</v>
          </cell>
          <cell r="C2133">
            <v>10.209808219178083</v>
          </cell>
        </row>
        <row r="2134">
          <cell r="B2134">
            <v>5.8437999999999999</v>
          </cell>
          <cell r="C2134">
            <v>10.210328767123288</v>
          </cell>
        </row>
        <row r="2135">
          <cell r="B2135">
            <v>5.8465999999999996</v>
          </cell>
          <cell r="C2135">
            <v>10.210849315068494</v>
          </cell>
        </row>
        <row r="2136">
          <cell r="B2136">
            <v>5.8493000000000004</v>
          </cell>
          <cell r="C2136">
            <v>10.211369863013699</v>
          </cell>
        </row>
        <row r="2137">
          <cell r="B2137">
            <v>5.8521000000000001</v>
          </cell>
          <cell r="C2137">
            <v>10.211890410958905</v>
          </cell>
        </row>
        <row r="2138">
          <cell r="B2138">
            <v>5.8548</v>
          </cell>
          <cell r="C2138">
            <v>10.21241095890411</v>
          </cell>
        </row>
        <row r="2139">
          <cell r="B2139">
            <v>5.8574999999999999</v>
          </cell>
          <cell r="C2139">
            <v>10.212931506849316</v>
          </cell>
        </row>
        <row r="2140">
          <cell r="B2140">
            <v>5.8602999999999996</v>
          </cell>
          <cell r="C2140">
            <v>10.213452054794521</v>
          </cell>
        </row>
        <row r="2141">
          <cell r="B2141">
            <v>5.8630000000000004</v>
          </cell>
          <cell r="C2141">
            <v>10.213972602739727</v>
          </cell>
        </row>
        <row r="2142">
          <cell r="B2142">
            <v>5.8658000000000001</v>
          </cell>
          <cell r="C2142">
            <v>10.214493150684932</v>
          </cell>
        </row>
        <row r="2143">
          <cell r="B2143">
            <v>5.8685</v>
          </cell>
          <cell r="C2143">
            <v>10.215013698630138</v>
          </cell>
        </row>
        <row r="2144">
          <cell r="B2144">
            <v>5.8712</v>
          </cell>
          <cell r="C2144">
            <v>10.215534246575343</v>
          </cell>
        </row>
        <row r="2145">
          <cell r="B2145">
            <v>5.8739999999999997</v>
          </cell>
          <cell r="C2145">
            <v>10.216054794520549</v>
          </cell>
        </row>
        <row r="2146">
          <cell r="B2146">
            <v>5.8766999999999996</v>
          </cell>
          <cell r="C2146">
            <v>10.216575342465754</v>
          </cell>
        </row>
        <row r="2147">
          <cell r="B2147">
            <v>5.8795000000000002</v>
          </cell>
          <cell r="C2147">
            <v>10.21709589041096</v>
          </cell>
        </row>
        <row r="2148">
          <cell r="B2148">
            <v>5.8822000000000001</v>
          </cell>
          <cell r="C2148">
            <v>10.217616438356165</v>
          </cell>
        </row>
        <row r="2149">
          <cell r="B2149">
            <v>5.8849</v>
          </cell>
          <cell r="C2149">
            <v>10.218136986301371</v>
          </cell>
        </row>
        <row r="2150">
          <cell r="B2150">
            <v>5.8876999999999997</v>
          </cell>
          <cell r="C2150">
            <v>10.218657534246576</v>
          </cell>
        </row>
        <row r="2151">
          <cell r="B2151">
            <v>5.8903999999999996</v>
          </cell>
          <cell r="C2151">
            <v>10.219178082191782</v>
          </cell>
        </row>
        <row r="2152">
          <cell r="B2152">
            <v>5.8932000000000002</v>
          </cell>
          <cell r="C2152">
            <v>10.219698630136987</v>
          </cell>
        </row>
        <row r="2153">
          <cell r="B2153">
            <v>5.8959000000000001</v>
          </cell>
          <cell r="C2153">
            <v>10.220219178082193</v>
          </cell>
        </row>
        <row r="2154">
          <cell r="B2154">
            <v>5.8986000000000001</v>
          </cell>
          <cell r="C2154">
            <v>10.220739726027398</v>
          </cell>
        </row>
        <row r="2155">
          <cell r="B2155">
            <v>5.9013999999999998</v>
          </cell>
          <cell r="C2155">
            <v>10.221260273972604</v>
          </cell>
        </row>
        <row r="2156">
          <cell r="B2156">
            <v>5.9040999999999997</v>
          </cell>
          <cell r="C2156">
            <v>10.221780821917809</v>
          </cell>
        </row>
        <row r="2157">
          <cell r="B2157">
            <v>5.9067999999999996</v>
          </cell>
          <cell r="C2157">
            <v>10.222301369863015</v>
          </cell>
        </row>
        <row r="2158">
          <cell r="B2158">
            <v>5.9096000000000002</v>
          </cell>
          <cell r="C2158">
            <v>10.22282191780822</v>
          </cell>
        </row>
        <row r="2159">
          <cell r="B2159">
            <v>5.9123000000000001</v>
          </cell>
          <cell r="C2159">
            <v>10.223342465753426</v>
          </cell>
        </row>
        <row r="2160">
          <cell r="B2160">
            <v>5.9150999999999998</v>
          </cell>
          <cell r="C2160">
            <v>10.223863013698631</v>
          </cell>
        </row>
        <row r="2161">
          <cell r="B2161">
            <v>5.9177999999999997</v>
          </cell>
          <cell r="C2161">
            <v>10.224383561643837</v>
          </cell>
        </row>
        <row r="2162">
          <cell r="B2162">
            <v>5.9204999999999997</v>
          </cell>
          <cell r="C2162">
            <v>10.224904109589041</v>
          </cell>
        </row>
        <row r="2163">
          <cell r="B2163">
            <v>5.9233000000000002</v>
          </cell>
          <cell r="C2163">
            <v>10.225424657534246</v>
          </cell>
        </row>
        <row r="2164">
          <cell r="B2164">
            <v>5.9260000000000002</v>
          </cell>
          <cell r="C2164">
            <v>10.225945205479452</v>
          </cell>
        </row>
        <row r="2165">
          <cell r="B2165">
            <v>5.9287999999999998</v>
          </cell>
          <cell r="C2165">
            <v>10.226465753424657</v>
          </cell>
        </row>
        <row r="2166">
          <cell r="B2166">
            <v>5.9314999999999998</v>
          </cell>
          <cell r="C2166">
            <v>10.226986301369863</v>
          </cell>
        </row>
        <row r="2167">
          <cell r="B2167">
            <v>5.9341999999999997</v>
          </cell>
          <cell r="C2167">
            <v>10.227506849315068</v>
          </cell>
        </row>
        <row r="2168">
          <cell r="B2168">
            <v>5.9370000000000003</v>
          </cell>
          <cell r="C2168">
            <v>10.228027397260274</v>
          </cell>
        </row>
        <row r="2169">
          <cell r="B2169">
            <v>5.9397000000000002</v>
          </cell>
          <cell r="C2169">
            <v>10.228547945205479</v>
          </cell>
        </row>
        <row r="2170">
          <cell r="B2170">
            <v>5.9424999999999999</v>
          </cell>
          <cell r="C2170">
            <v>10.229068493150685</v>
          </cell>
        </row>
        <row r="2171">
          <cell r="B2171">
            <v>5.9451999999999998</v>
          </cell>
          <cell r="C2171">
            <v>10.22958904109589</v>
          </cell>
        </row>
        <row r="2172">
          <cell r="B2172">
            <v>5.9478999999999997</v>
          </cell>
          <cell r="C2172">
            <v>10.230109589041096</v>
          </cell>
        </row>
        <row r="2173">
          <cell r="B2173">
            <v>5.9507000000000003</v>
          </cell>
          <cell r="C2173">
            <v>10.230630136986301</v>
          </cell>
        </row>
        <row r="2174">
          <cell r="B2174">
            <v>5.9534000000000002</v>
          </cell>
          <cell r="C2174">
            <v>10.231150684931507</v>
          </cell>
        </row>
        <row r="2175">
          <cell r="B2175">
            <v>5.9561999999999999</v>
          </cell>
          <cell r="C2175">
            <v>10.231671232876712</v>
          </cell>
        </row>
        <row r="2176">
          <cell r="B2176">
            <v>5.9588999999999999</v>
          </cell>
          <cell r="C2176">
            <v>10.232191780821918</v>
          </cell>
        </row>
        <row r="2177">
          <cell r="B2177">
            <v>5.9615999999999998</v>
          </cell>
          <cell r="C2177">
            <v>10.232712328767123</v>
          </cell>
        </row>
        <row r="2178">
          <cell r="B2178">
            <v>5.9644000000000004</v>
          </cell>
          <cell r="C2178">
            <v>10.233232876712329</v>
          </cell>
        </row>
        <row r="2179">
          <cell r="B2179">
            <v>5.9671000000000003</v>
          </cell>
          <cell r="C2179">
            <v>10.233753424657534</v>
          </cell>
        </row>
        <row r="2180">
          <cell r="B2180">
            <v>5.9699</v>
          </cell>
          <cell r="C2180">
            <v>10.23427397260274</v>
          </cell>
        </row>
        <row r="2181">
          <cell r="B2181">
            <v>5.9725999999999999</v>
          </cell>
          <cell r="C2181">
            <v>10.234794520547945</v>
          </cell>
        </row>
        <row r="2182">
          <cell r="B2182">
            <v>5.9752999999999998</v>
          </cell>
          <cell r="C2182">
            <v>10.235315068493151</v>
          </cell>
        </row>
        <row r="2183">
          <cell r="B2183">
            <v>5.9781000000000004</v>
          </cell>
          <cell r="C2183">
            <v>10.235835616438356</v>
          </cell>
        </row>
        <row r="2184">
          <cell r="B2184">
            <v>5.9808000000000003</v>
          </cell>
          <cell r="C2184">
            <v>10.236356164383562</v>
          </cell>
        </row>
        <row r="2185">
          <cell r="B2185">
            <v>5.9836</v>
          </cell>
          <cell r="C2185">
            <v>10.236876712328767</v>
          </cell>
        </row>
        <row r="2186">
          <cell r="B2186">
            <v>5.9863</v>
          </cell>
          <cell r="C2186">
            <v>10.237397260273973</v>
          </cell>
        </row>
        <row r="2187">
          <cell r="B2187">
            <v>5.9889999999999999</v>
          </cell>
          <cell r="C2187">
            <v>10.237917808219178</v>
          </cell>
        </row>
        <row r="2188">
          <cell r="B2188">
            <v>5.9917999999999996</v>
          </cell>
          <cell r="C2188">
            <v>10.238438356164384</v>
          </cell>
        </row>
        <row r="2189">
          <cell r="B2189">
            <v>5.9945000000000004</v>
          </cell>
          <cell r="C2189">
            <v>10.238958904109589</v>
          </cell>
        </row>
        <row r="2190">
          <cell r="B2190">
            <v>5.9973000000000001</v>
          </cell>
          <cell r="C2190">
            <v>10.239479452054795</v>
          </cell>
        </row>
        <row r="2191">
          <cell r="B2191">
            <v>6</v>
          </cell>
          <cell r="C2191">
            <v>10.24</v>
          </cell>
        </row>
        <row r="2192">
          <cell r="B2192">
            <v>6.0026999999999999</v>
          </cell>
          <cell r="C2192">
            <v>10.240438356164384</v>
          </cell>
        </row>
        <row r="2193">
          <cell r="B2193">
            <v>6.0054999999999996</v>
          </cell>
          <cell r="C2193">
            <v>10.240876712328767</v>
          </cell>
        </row>
        <row r="2194">
          <cell r="B2194">
            <v>6.0082000000000004</v>
          </cell>
          <cell r="C2194">
            <v>10.241315068493151</v>
          </cell>
        </row>
        <row r="2195">
          <cell r="B2195">
            <v>6.0110000000000001</v>
          </cell>
          <cell r="C2195">
            <v>10.241753424657535</v>
          </cell>
        </row>
        <row r="2196">
          <cell r="B2196">
            <v>6.0137</v>
          </cell>
          <cell r="C2196">
            <v>10.242191780821917</v>
          </cell>
        </row>
        <row r="2197">
          <cell r="B2197">
            <v>6.0164</v>
          </cell>
          <cell r="C2197">
            <v>10.242630136986302</v>
          </cell>
        </row>
        <row r="2198">
          <cell r="B2198">
            <v>6.0191999999999997</v>
          </cell>
          <cell r="C2198">
            <v>10.243068493150686</v>
          </cell>
        </row>
        <row r="2199">
          <cell r="B2199">
            <v>6.0218999999999996</v>
          </cell>
          <cell r="C2199">
            <v>10.243506849315068</v>
          </cell>
        </row>
        <row r="2200">
          <cell r="B2200">
            <v>6.0247000000000002</v>
          </cell>
          <cell r="C2200">
            <v>10.243945205479452</v>
          </cell>
        </row>
        <row r="2201">
          <cell r="B2201">
            <v>6.0274000000000001</v>
          </cell>
          <cell r="C2201">
            <v>10.244383561643836</v>
          </cell>
        </row>
        <row r="2202">
          <cell r="B2202">
            <v>6.0301</v>
          </cell>
          <cell r="C2202">
            <v>10.244821917808219</v>
          </cell>
        </row>
        <row r="2203">
          <cell r="B2203">
            <v>6.0328999999999997</v>
          </cell>
          <cell r="C2203">
            <v>10.245260273972603</v>
          </cell>
        </row>
        <row r="2204">
          <cell r="B2204">
            <v>6.0355999999999996</v>
          </cell>
          <cell r="C2204">
            <v>10.245698630136987</v>
          </cell>
        </row>
        <row r="2205">
          <cell r="B2205">
            <v>6.0384000000000002</v>
          </cell>
          <cell r="C2205">
            <v>10.246136986301369</v>
          </cell>
        </row>
        <row r="2206">
          <cell r="B2206">
            <v>6.0411000000000001</v>
          </cell>
          <cell r="C2206">
            <v>10.246575342465754</v>
          </cell>
        </row>
        <row r="2207">
          <cell r="B2207">
            <v>6.0438000000000001</v>
          </cell>
          <cell r="C2207">
            <v>10.247013698630138</v>
          </cell>
        </row>
        <row r="2208">
          <cell r="B2208">
            <v>6.0465999999999998</v>
          </cell>
          <cell r="C2208">
            <v>10.24745205479452</v>
          </cell>
        </row>
        <row r="2209">
          <cell r="B2209">
            <v>6.0492999999999997</v>
          </cell>
          <cell r="C2209">
            <v>10.247890410958904</v>
          </cell>
        </row>
        <row r="2210">
          <cell r="B2210">
            <v>6.0521000000000003</v>
          </cell>
          <cell r="C2210">
            <v>10.248328767123288</v>
          </cell>
        </row>
        <row r="2211">
          <cell r="B2211">
            <v>6.0548000000000002</v>
          </cell>
          <cell r="C2211">
            <v>10.248767123287671</v>
          </cell>
        </row>
        <row r="2212">
          <cell r="B2212">
            <v>6.0575000000000001</v>
          </cell>
          <cell r="C2212">
            <v>10.249205479452055</v>
          </cell>
        </row>
        <row r="2213">
          <cell r="B2213">
            <v>6.0602999999999998</v>
          </cell>
          <cell r="C2213">
            <v>10.249643835616439</v>
          </cell>
        </row>
        <row r="2214">
          <cell r="B2214">
            <v>6.0629999999999997</v>
          </cell>
          <cell r="C2214">
            <v>10.250082191780821</v>
          </cell>
        </row>
        <row r="2215">
          <cell r="B2215">
            <v>6.0658000000000003</v>
          </cell>
          <cell r="C2215">
            <v>10.250520547945206</v>
          </cell>
        </row>
        <row r="2216">
          <cell r="B2216">
            <v>6.0685000000000002</v>
          </cell>
          <cell r="C2216">
            <v>10.25095890410959</v>
          </cell>
        </row>
        <row r="2217">
          <cell r="B2217">
            <v>6.0712000000000002</v>
          </cell>
          <cell r="C2217">
            <v>10.251397260273972</v>
          </cell>
        </row>
        <row r="2218">
          <cell r="B2218">
            <v>6.0739999999999998</v>
          </cell>
          <cell r="C2218">
            <v>10.251835616438356</v>
          </cell>
        </row>
        <row r="2219">
          <cell r="B2219">
            <v>6.0766999999999998</v>
          </cell>
          <cell r="C2219">
            <v>10.25227397260274</v>
          </cell>
        </row>
        <row r="2220">
          <cell r="B2220">
            <v>6.0795000000000003</v>
          </cell>
          <cell r="C2220">
            <v>10.252712328767123</v>
          </cell>
        </row>
        <row r="2221">
          <cell r="B2221">
            <v>6.0822000000000003</v>
          </cell>
          <cell r="C2221">
            <v>10.253150684931507</v>
          </cell>
        </row>
        <row r="2222">
          <cell r="B2222">
            <v>6.0849000000000002</v>
          </cell>
          <cell r="C2222">
            <v>10.253589041095891</v>
          </cell>
        </row>
        <row r="2223">
          <cell r="B2223">
            <v>6.0876999999999999</v>
          </cell>
          <cell r="C2223">
            <v>10.254027397260273</v>
          </cell>
        </row>
        <row r="2224">
          <cell r="B2224">
            <v>6.0903999999999998</v>
          </cell>
          <cell r="C2224">
            <v>10.254465753424657</v>
          </cell>
        </row>
        <row r="2225">
          <cell r="B2225">
            <v>6.0932000000000004</v>
          </cell>
          <cell r="C2225">
            <v>10.254904109589042</v>
          </cell>
        </row>
        <row r="2226">
          <cell r="B2226">
            <v>6.0959000000000003</v>
          </cell>
          <cell r="C2226">
            <v>10.255342465753424</v>
          </cell>
        </row>
        <row r="2227">
          <cell r="B2227">
            <v>6.0986000000000002</v>
          </cell>
          <cell r="C2227">
            <v>10.255780821917808</v>
          </cell>
        </row>
        <row r="2228">
          <cell r="B2228">
            <v>6.1013999999999999</v>
          </cell>
          <cell r="C2228">
            <v>10.256219178082192</v>
          </cell>
        </row>
        <row r="2229">
          <cell r="B2229">
            <v>6.1040999999999999</v>
          </cell>
          <cell r="C2229">
            <v>10.256657534246576</v>
          </cell>
        </row>
        <row r="2230">
          <cell r="B2230">
            <v>6.1067999999999998</v>
          </cell>
          <cell r="C2230">
            <v>10.257095890410959</v>
          </cell>
        </row>
        <row r="2231">
          <cell r="B2231">
            <v>6.1096000000000004</v>
          </cell>
          <cell r="C2231">
            <v>10.257534246575343</v>
          </cell>
        </row>
        <row r="2232">
          <cell r="B2232">
            <v>6.1123000000000003</v>
          </cell>
          <cell r="C2232">
            <v>10.257972602739727</v>
          </cell>
        </row>
        <row r="2233">
          <cell r="B2233">
            <v>6.1151</v>
          </cell>
          <cell r="C2233">
            <v>10.258410958904109</v>
          </cell>
        </row>
        <row r="2234">
          <cell r="B2234">
            <v>6.1177999999999999</v>
          </cell>
          <cell r="C2234">
            <v>10.258849315068494</v>
          </cell>
        </row>
        <row r="2235">
          <cell r="B2235">
            <v>6.1204999999999998</v>
          </cell>
          <cell r="C2235">
            <v>10.259287671232878</v>
          </cell>
        </row>
        <row r="2236">
          <cell r="B2236">
            <v>6.1233000000000004</v>
          </cell>
          <cell r="C2236">
            <v>10.25972602739726</v>
          </cell>
        </row>
        <row r="2237">
          <cell r="B2237">
            <v>6.1260000000000003</v>
          </cell>
          <cell r="C2237">
            <v>10.260164383561644</v>
          </cell>
        </row>
        <row r="2238">
          <cell r="B2238">
            <v>6.1288</v>
          </cell>
          <cell r="C2238">
            <v>10.260602739726028</v>
          </cell>
        </row>
        <row r="2239">
          <cell r="B2239">
            <v>6.1315</v>
          </cell>
          <cell r="C2239">
            <v>10.261041095890411</v>
          </cell>
        </row>
        <row r="2240">
          <cell r="B2240">
            <v>6.1341999999999999</v>
          </cell>
          <cell r="C2240">
            <v>10.261479452054795</v>
          </cell>
        </row>
        <row r="2241">
          <cell r="B2241">
            <v>6.1369999999999996</v>
          </cell>
          <cell r="C2241">
            <v>10.261917808219179</v>
          </cell>
        </row>
        <row r="2242">
          <cell r="B2242">
            <v>6.1397000000000004</v>
          </cell>
          <cell r="C2242">
            <v>10.262356164383561</v>
          </cell>
        </row>
        <row r="2243">
          <cell r="B2243">
            <v>6.1425000000000001</v>
          </cell>
          <cell r="C2243">
            <v>10.262794520547946</v>
          </cell>
        </row>
        <row r="2244">
          <cell r="B2244">
            <v>6.1452</v>
          </cell>
          <cell r="C2244">
            <v>10.26323287671233</v>
          </cell>
        </row>
        <row r="2245">
          <cell r="B2245">
            <v>6.1478999999999999</v>
          </cell>
          <cell r="C2245">
            <v>10.263671232876712</v>
          </cell>
        </row>
        <row r="2246">
          <cell r="B2246">
            <v>6.1506999999999996</v>
          </cell>
          <cell r="C2246">
            <v>10.264109589041096</v>
          </cell>
        </row>
        <row r="2247">
          <cell r="B2247">
            <v>6.1534000000000004</v>
          </cell>
          <cell r="C2247">
            <v>10.26454794520548</v>
          </cell>
        </row>
        <row r="2248">
          <cell r="B2248">
            <v>6.1562000000000001</v>
          </cell>
          <cell r="C2248">
            <v>10.264986301369863</v>
          </cell>
        </row>
        <row r="2249">
          <cell r="B2249">
            <v>6.1589</v>
          </cell>
          <cell r="C2249">
            <v>10.265424657534247</v>
          </cell>
        </row>
        <row r="2250">
          <cell r="B2250">
            <v>6.1616</v>
          </cell>
          <cell r="C2250">
            <v>10.265863013698631</v>
          </cell>
        </row>
        <row r="2251">
          <cell r="B2251">
            <v>6.1643999999999997</v>
          </cell>
          <cell r="C2251">
            <v>10.266301369863013</v>
          </cell>
        </row>
        <row r="2252">
          <cell r="B2252">
            <v>6.1670999999999996</v>
          </cell>
          <cell r="C2252">
            <v>10.266739726027398</v>
          </cell>
        </row>
        <row r="2253">
          <cell r="B2253">
            <v>6.1699000000000002</v>
          </cell>
          <cell r="C2253">
            <v>10.267178082191782</v>
          </cell>
        </row>
        <row r="2254">
          <cell r="B2254">
            <v>6.1726000000000001</v>
          </cell>
          <cell r="C2254">
            <v>10.267616438356164</v>
          </cell>
        </row>
        <row r="2255">
          <cell r="B2255">
            <v>6.1753</v>
          </cell>
          <cell r="C2255">
            <v>10.268054794520548</v>
          </cell>
        </row>
        <row r="2256">
          <cell r="B2256">
            <v>6.1780999999999997</v>
          </cell>
          <cell r="C2256">
            <v>10.268493150684932</v>
          </cell>
        </row>
        <row r="2257">
          <cell r="B2257">
            <v>6.1807999999999996</v>
          </cell>
          <cell r="C2257">
            <v>10.268931506849315</v>
          </cell>
        </row>
        <row r="2258">
          <cell r="B2258">
            <v>6.1836000000000002</v>
          </cell>
          <cell r="C2258">
            <v>10.269369863013699</v>
          </cell>
        </row>
        <row r="2259">
          <cell r="B2259">
            <v>6.1863000000000001</v>
          </cell>
          <cell r="C2259">
            <v>10.269808219178083</v>
          </cell>
        </row>
        <row r="2260">
          <cell r="B2260">
            <v>6.1890000000000001</v>
          </cell>
          <cell r="C2260">
            <v>10.270246575342465</v>
          </cell>
        </row>
        <row r="2261">
          <cell r="B2261">
            <v>6.1917999999999997</v>
          </cell>
          <cell r="C2261">
            <v>10.27068493150685</v>
          </cell>
        </row>
        <row r="2262">
          <cell r="B2262">
            <v>6.1944999999999997</v>
          </cell>
          <cell r="C2262">
            <v>10.271123287671234</v>
          </cell>
        </row>
        <row r="2263">
          <cell r="B2263">
            <v>6.1973000000000003</v>
          </cell>
          <cell r="C2263">
            <v>10.271561643835616</v>
          </cell>
        </row>
        <row r="2264">
          <cell r="B2264">
            <v>6.2</v>
          </cell>
          <cell r="C2264">
            <v>10.272</v>
          </cell>
        </row>
        <row r="2265">
          <cell r="B2265">
            <v>6.2027000000000001</v>
          </cell>
          <cell r="C2265">
            <v>10.272438356164384</v>
          </cell>
        </row>
        <row r="2266">
          <cell r="B2266">
            <v>6.2054999999999998</v>
          </cell>
          <cell r="C2266">
            <v>10.272876712328767</v>
          </cell>
        </row>
        <row r="2267">
          <cell r="B2267">
            <v>6.2081999999999997</v>
          </cell>
          <cell r="C2267">
            <v>10.273315068493151</v>
          </cell>
        </row>
        <row r="2268">
          <cell r="B2268">
            <v>6.2110000000000003</v>
          </cell>
          <cell r="C2268">
            <v>10.273753424657535</v>
          </cell>
        </row>
        <row r="2269">
          <cell r="B2269">
            <v>6.2137000000000002</v>
          </cell>
          <cell r="C2269">
            <v>10.274191780821917</v>
          </cell>
        </row>
        <row r="2270">
          <cell r="B2270">
            <v>6.2164000000000001</v>
          </cell>
          <cell r="C2270">
            <v>10.274630136986302</v>
          </cell>
        </row>
        <row r="2271">
          <cell r="B2271">
            <v>6.2191999999999998</v>
          </cell>
          <cell r="C2271">
            <v>10.275068493150686</v>
          </cell>
        </row>
        <row r="2272">
          <cell r="B2272">
            <v>6.2218999999999998</v>
          </cell>
          <cell r="C2272">
            <v>10.275506849315068</v>
          </cell>
        </row>
        <row r="2273">
          <cell r="B2273">
            <v>6.2247000000000003</v>
          </cell>
          <cell r="C2273">
            <v>10.275945205479452</v>
          </cell>
        </row>
        <row r="2274">
          <cell r="B2274">
            <v>6.2274000000000003</v>
          </cell>
          <cell r="C2274">
            <v>10.276383561643836</v>
          </cell>
        </row>
        <row r="2275">
          <cell r="B2275">
            <v>6.2301000000000002</v>
          </cell>
          <cell r="C2275">
            <v>10.276821917808219</v>
          </cell>
        </row>
        <row r="2276">
          <cell r="B2276">
            <v>6.2328999999999999</v>
          </cell>
          <cell r="C2276">
            <v>10.277260273972603</v>
          </cell>
        </row>
        <row r="2277">
          <cell r="B2277">
            <v>6.2355999999999998</v>
          </cell>
          <cell r="C2277">
            <v>10.277698630136987</v>
          </cell>
        </row>
        <row r="2278">
          <cell r="B2278">
            <v>6.2384000000000004</v>
          </cell>
          <cell r="C2278">
            <v>10.278136986301369</v>
          </cell>
        </row>
        <row r="2279">
          <cell r="B2279">
            <v>6.2411000000000003</v>
          </cell>
          <cell r="C2279">
            <v>10.278575342465754</v>
          </cell>
        </row>
        <row r="2280">
          <cell r="B2280">
            <v>6.2438000000000002</v>
          </cell>
          <cell r="C2280">
            <v>10.279013698630138</v>
          </cell>
        </row>
        <row r="2281">
          <cell r="B2281">
            <v>6.2465999999999999</v>
          </cell>
          <cell r="C2281">
            <v>10.27945205479452</v>
          </cell>
        </row>
        <row r="2282">
          <cell r="B2282">
            <v>6.2492999999999999</v>
          </cell>
          <cell r="C2282">
            <v>10.279890410958904</v>
          </cell>
        </row>
        <row r="2283">
          <cell r="B2283">
            <v>6.2521000000000004</v>
          </cell>
          <cell r="C2283">
            <v>10.280328767123288</v>
          </cell>
        </row>
        <row r="2284">
          <cell r="B2284">
            <v>6.2548000000000004</v>
          </cell>
          <cell r="C2284">
            <v>10.280767123287671</v>
          </cell>
        </row>
        <row r="2285">
          <cell r="B2285">
            <v>6.2575000000000003</v>
          </cell>
          <cell r="C2285">
            <v>10.281205479452055</v>
          </cell>
        </row>
        <row r="2286">
          <cell r="B2286">
            <v>6.2603</v>
          </cell>
          <cell r="C2286">
            <v>10.281643835616439</v>
          </cell>
        </row>
        <row r="2287">
          <cell r="B2287">
            <v>6.2629999999999999</v>
          </cell>
          <cell r="C2287">
            <v>10.282082191780821</v>
          </cell>
        </row>
        <row r="2288">
          <cell r="B2288">
            <v>6.2657999999999996</v>
          </cell>
          <cell r="C2288">
            <v>10.282520547945206</v>
          </cell>
        </row>
        <row r="2289">
          <cell r="B2289">
            <v>6.2685000000000004</v>
          </cell>
          <cell r="C2289">
            <v>10.28295890410959</v>
          </cell>
        </row>
        <row r="2290">
          <cell r="B2290">
            <v>6.2712000000000003</v>
          </cell>
          <cell r="C2290">
            <v>10.283397260273972</v>
          </cell>
        </row>
        <row r="2291">
          <cell r="B2291">
            <v>6.274</v>
          </cell>
          <cell r="C2291">
            <v>10.283835616438356</v>
          </cell>
        </row>
        <row r="2292">
          <cell r="B2292">
            <v>6.2766999999999999</v>
          </cell>
          <cell r="C2292">
            <v>10.28427397260274</v>
          </cell>
        </row>
        <row r="2293">
          <cell r="B2293">
            <v>6.2794999999999996</v>
          </cell>
          <cell r="C2293">
            <v>10.284712328767123</v>
          </cell>
        </row>
        <row r="2294">
          <cell r="B2294">
            <v>6.2821999999999996</v>
          </cell>
          <cell r="C2294">
            <v>10.285150684931507</v>
          </cell>
        </row>
        <row r="2295">
          <cell r="B2295">
            <v>6.2849000000000004</v>
          </cell>
          <cell r="C2295">
            <v>10.285589041095891</v>
          </cell>
        </row>
        <row r="2296">
          <cell r="B2296">
            <v>6.2877000000000001</v>
          </cell>
          <cell r="C2296">
            <v>10.286027397260273</v>
          </cell>
        </row>
        <row r="2297">
          <cell r="B2297">
            <v>6.2904</v>
          </cell>
          <cell r="C2297">
            <v>10.286465753424658</v>
          </cell>
        </row>
        <row r="2298">
          <cell r="B2298">
            <v>6.2931999999999997</v>
          </cell>
          <cell r="C2298">
            <v>10.286904109589042</v>
          </cell>
        </row>
        <row r="2299">
          <cell r="B2299">
            <v>6.2958999999999996</v>
          </cell>
          <cell r="C2299">
            <v>10.287342465753424</v>
          </cell>
        </row>
        <row r="2300">
          <cell r="B2300">
            <v>6.2986000000000004</v>
          </cell>
          <cell r="C2300">
            <v>10.287780821917808</v>
          </cell>
        </row>
        <row r="2301">
          <cell r="B2301">
            <v>6.3014000000000001</v>
          </cell>
          <cell r="C2301">
            <v>10.288219178082192</v>
          </cell>
        </row>
        <row r="2302">
          <cell r="B2302">
            <v>6.3041</v>
          </cell>
          <cell r="C2302">
            <v>10.288657534246576</v>
          </cell>
        </row>
        <row r="2303">
          <cell r="B2303">
            <v>6.3068</v>
          </cell>
          <cell r="C2303">
            <v>10.289095890410959</v>
          </cell>
        </row>
        <row r="2304">
          <cell r="B2304">
            <v>6.3095999999999997</v>
          </cell>
          <cell r="C2304">
            <v>10.289534246575343</v>
          </cell>
        </row>
        <row r="2305">
          <cell r="B2305">
            <v>6.3122999999999996</v>
          </cell>
          <cell r="C2305">
            <v>10.289972602739727</v>
          </cell>
        </row>
        <row r="2306">
          <cell r="B2306">
            <v>6.3151000000000002</v>
          </cell>
          <cell r="C2306">
            <v>10.29041095890411</v>
          </cell>
        </row>
        <row r="2307">
          <cell r="B2307">
            <v>6.3178000000000001</v>
          </cell>
          <cell r="C2307">
            <v>10.290849315068494</v>
          </cell>
        </row>
        <row r="2308">
          <cell r="B2308">
            <v>6.3205</v>
          </cell>
          <cell r="C2308">
            <v>10.291287671232878</v>
          </cell>
        </row>
        <row r="2309">
          <cell r="B2309">
            <v>6.3232999999999997</v>
          </cell>
          <cell r="C2309">
            <v>10.29172602739726</v>
          </cell>
        </row>
        <row r="2310">
          <cell r="B2310">
            <v>6.3259999999999996</v>
          </cell>
          <cell r="C2310">
            <v>10.292164383561644</v>
          </cell>
        </row>
        <row r="2311">
          <cell r="B2311">
            <v>6.3288000000000002</v>
          </cell>
          <cell r="C2311">
            <v>10.292602739726028</v>
          </cell>
        </row>
        <row r="2312">
          <cell r="B2312">
            <v>6.3315000000000001</v>
          </cell>
          <cell r="C2312">
            <v>10.293041095890411</v>
          </cell>
        </row>
        <row r="2313">
          <cell r="B2313">
            <v>6.3342000000000001</v>
          </cell>
          <cell r="C2313">
            <v>10.293479452054795</v>
          </cell>
        </row>
        <row r="2314">
          <cell r="B2314">
            <v>6.3369999999999997</v>
          </cell>
          <cell r="C2314">
            <v>10.293917808219179</v>
          </cell>
        </row>
        <row r="2315">
          <cell r="B2315">
            <v>6.3396999999999997</v>
          </cell>
          <cell r="C2315">
            <v>10.294356164383561</v>
          </cell>
        </row>
        <row r="2316">
          <cell r="B2316">
            <v>6.3425000000000002</v>
          </cell>
          <cell r="C2316">
            <v>10.294794520547946</v>
          </cell>
        </row>
        <row r="2317">
          <cell r="B2317">
            <v>6.3452000000000002</v>
          </cell>
          <cell r="C2317">
            <v>10.29523287671233</v>
          </cell>
        </row>
        <row r="2318">
          <cell r="B2318">
            <v>6.3479000000000001</v>
          </cell>
          <cell r="C2318">
            <v>10.295671232876712</v>
          </cell>
        </row>
        <row r="2319">
          <cell r="B2319">
            <v>6.3506999999999998</v>
          </cell>
          <cell r="C2319">
            <v>10.296109589041096</v>
          </cell>
        </row>
        <row r="2320">
          <cell r="B2320">
            <v>6.3533999999999997</v>
          </cell>
          <cell r="C2320">
            <v>10.29654794520548</v>
          </cell>
        </row>
        <row r="2321">
          <cell r="B2321">
            <v>6.3562000000000003</v>
          </cell>
          <cell r="C2321">
            <v>10.296986301369863</v>
          </cell>
        </row>
        <row r="2322">
          <cell r="B2322">
            <v>6.3589000000000002</v>
          </cell>
          <cell r="C2322">
            <v>10.297424657534247</v>
          </cell>
        </row>
        <row r="2323">
          <cell r="B2323">
            <v>6.3616000000000001</v>
          </cell>
          <cell r="C2323">
            <v>10.297863013698631</v>
          </cell>
        </row>
        <row r="2324">
          <cell r="B2324">
            <v>6.3643999999999998</v>
          </cell>
          <cell r="C2324">
            <v>10.298301369863013</v>
          </cell>
        </row>
        <row r="2325">
          <cell r="B2325">
            <v>6.3670999999999998</v>
          </cell>
          <cell r="C2325">
            <v>10.298739726027398</v>
          </cell>
        </row>
        <row r="2326">
          <cell r="B2326">
            <v>6.3699000000000003</v>
          </cell>
          <cell r="C2326">
            <v>10.299178082191782</v>
          </cell>
        </row>
        <row r="2327">
          <cell r="B2327">
            <v>6.3726000000000003</v>
          </cell>
          <cell r="C2327">
            <v>10.299616438356164</v>
          </cell>
        </row>
        <row r="2328">
          <cell r="B2328">
            <v>6.3753000000000002</v>
          </cell>
          <cell r="C2328">
            <v>10.300054794520548</v>
          </cell>
        </row>
        <row r="2329">
          <cell r="B2329">
            <v>6.3780999999999999</v>
          </cell>
          <cell r="C2329">
            <v>10.300493150684932</v>
          </cell>
        </row>
        <row r="2330">
          <cell r="B2330">
            <v>6.3807999999999998</v>
          </cell>
          <cell r="C2330">
            <v>10.300931506849315</v>
          </cell>
        </row>
        <row r="2331">
          <cell r="B2331">
            <v>6.3836000000000004</v>
          </cell>
          <cell r="C2331">
            <v>10.301369863013699</v>
          </cell>
        </row>
        <row r="2332">
          <cell r="B2332">
            <v>6.3863000000000003</v>
          </cell>
          <cell r="C2332">
            <v>10.301808219178083</v>
          </cell>
        </row>
        <row r="2333">
          <cell r="B2333">
            <v>6.3890000000000002</v>
          </cell>
          <cell r="C2333">
            <v>10.302246575342465</v>
          </cell>
        </row>
        <row r="2334">
          <cell r="B2334">
            <v>6.3917999999999999</v>
          </cell>
          <cell r="C2334">
            <v>10.30268493150685</v>
          </cell>
        </row>
        <row r="2335">
          <cell r="B2335">
            <v>6.3944999999999999</v>
          </cell>
          <cell r="C2335">
            <v>10.303123287671234</v>
          </cell>
        </row>
        <row r="2336">
          <cell r="B2336">
            <v>6.3973000000000004</v>
          </cell>
          <cell r="C2336">
            <v>10.303561643835616</v>
          </cell>
        </row>
        <row r="2337">
          <cell r="B2337">
            <v>6.4</v>
          </cell>
          <cell r="C2337">
            <v>10.304</v>
          </cell>
        </row>
        <row r="2338">
          <cell r="B2338">
            <v>6.4027000000000003</v>
          </cell>
          <cell r="C2338">
            <v>10.304438356164384</v>
          </cell>
        </row>
        <row r="2339">
          <cell r="B2339">
            <v>6.4055</v>
          </cell>
          <cell r="C2339">
            <v>10.304876712328767</v>
          </cell>
        </row>
        <row r="2340">
          <cell r="B2340">
            <v>6.4081999999999999</v>
          </cell>
          <cell r="C2340">
            <v>10.305315068493151</v>
          </cell>
        </row>
        <row r="2341">
          <cell r="B2341">
            <v>6.4109999999999996</v>
          </cell>
          <cell r="C2341">
            <v>10.305753424657535</v>
          </cell>
        </row>
        <row r="2342">
          <cell r="B2342">
            <v>6.4137000000000004</v>
          </cell>
          <cell r="C2342">
            <v>10.306191780821917</v>
          </cell>
        </row>
        <row r="2343">
          <cell r="B2343">
            <v>6.4164000000000003</v>
          </cell>
          <cell r="C2343">
            <v>10.306630136986302</v>
          </cell>
        </row>
        <row r="2344">
          <cell r="B2344">
            <v>6.4192</v>
          </cell>
          <cell r="C2344">
            <v>10.307068493150686</v>
          </cell>
        </row>
        <row r="2345">
          <cell r="B2345">
            <v>6.4218999999999999</v>
          </cell>
          <cell r="C2345">
            <v>10.307506849315068</v>
          </cell>
        </row>
        <row r="2346">
          <cell r="B2346">
            <v>6.4246999999999996</v>
          </cell>
          <cell r="C2346">
            <v>10.307945205479452</v>
          </cell>
        </row>
        <row r="2347">
          <cell r="B2347">
            <v>6.4273999999999996</v>
          </cell>
          <cell r="C2347">
            <v>10.308383561643836</v>
          </cell>
        </row>
        <row r="2348">
          <cell r="B2348">
            <v>6.4301000000000004</v>
          </cell>
          <cell r="C2348">
            <v>10.308821917808219</v>
          </cell>
        </row>
        <row r="2349">
          <cell r="B2349">
            <v>6.4329000000000001</v>
          </cell>
          <cell r="C2349">
            <v>10.309260273972603</v>
          </cell>
        </row>
        <row r="2350">
          <cell r="B2350">
            <v>6.4356</v>
          </cell>
          <cell r="C2350">
            <v>10.309698630136987</v>
          </cell>
        </row>
        <row r="2351">
          <cell r="B2351">
            <v>6.4383999999999997</v>
          </cell>
          <cell r="C2351">
            <v>10.310136986301369</v>
          </cell>
        </row>
        <row r="2352">
          <cell r="B2352">
            <v>6.4410999999999996</v>
          </cell>
          <cell r="C2352">
            <v>10.310575342465754</v>
          </cell>
        </row>
        <row r="2353">
          <cell r="B2353">
            <v>6.4438000000000004</v>
          </cell>
          <cell r="C2353">
            <v>10.311013698630138</v>
          </cell>
        </row>
        <row r="2354">
          <cell r="B2354">
            <v>6.4466000000000001</v>
          </cell>
          <cell r="C2354">
            <v>10.31145205479452</v>
          </cell>
        </row>
        <row r="2355">
          <cell r="B2355">
            <v>6.4493</v>
          </cell>
          <cell r="C2355">
            <v>10.311890410958904</v>
          </cell>
        </row>
        <row r="2356">
          <cell r="B2356">
            <v>6.4520999999999997</v>
          </cell>
          <cell r="C2356">
            <v>10.312328767123288</v>
          </cell>
        </row>
        <row r="2357">
          <cell r="B2357">
            <v>6.4547999999999996</v>
          </cell>
          <cell r="C2357">
            <v>10.312767123287671</v>
          </cell>
        </row>
        <row r="2358">
          <cell r="B2358">
            <v>6.4574999999999996</v>
          </cell>
          <cell r="C2358">
            <v>10.313205479452055</v>
          </cell>
        </row>
        <row r="2359">
          <cell r="B2359">
            <v>6.4603000000000002</v>
          </cell>
          <cell r="C2359">
            <v>10.313643835616439</v>
          </cell>
        </row>
        <row r="2360">
          <cell r="B2360">
            <v>6.4630000000000001</v>
          </cell>
          <cell r="C2360">
            <v>10.314082191780821</v>
          </cell>
        </row>
        <row r="2361">
          <cell r="B2361">
            <v>6.4657999999999998</v>
          </cell>
          <cell r="C2361">
            <v>10.314520547945206</v>
          </cell>
        </row>
        <row r="2362">
          <cell r="B2362">
            <v>6.4684999999999997</v>
          </cell>
          <cell r="C2362">
            <v>10.31495890410959</v>
          </cell>
        </row>
        <row r="2363">
          <cell r="B2363">
            <v>6.4711999999999996</v>
          </cell>
          <cell r="C2363">
            <v>10.315397260273972</v>
          </cell>
        </row>
        <row r="2364">
          <cell r="B2364">
            <v>6.4740000000000002</v>
          </cell>
          <cell r="C2364">
            <v>10.315835616438356</v>
          </cell>
        </row>
        <row r="2365">
          <cell r="B2365">
            <v>6.4767000000000001</v>
          </cell>
          <cell r="C2365">
            <v>10.31627397260274</v>
          </cell>
        </row>
        <row r="2366">
          <cell r="B2366">
            <v>6.4794999999999998</v>
          </cell>
          <cell r="C2366">
            <v>10.316712328767123</v>
          </cell>
        </row>
        <row r="2367">
          <cell r="B2367">
            <v>6.4821999999999997</v>
          </cell>
          <cell r="C2367">
            <v>10.317150684931507</v>
          </cell>
        </row>
        <row r="2368">
          <cell r="B2368">
            <v>6.4848999999999997</v>
          </cell>
          <cell r="C2368">
            <v>10.317589041095891</v>
          </cell>
        </row>
        <row r="2369">
          <cell r="B2369">
            <v>6.4877000000000002</v>
          </cell>
          <cell r="C2369">
            <v>10.318027397260273</v>
          </cell>
        </row>
        <row r="2370">
          <cell r="B2370">
            <v>6.4904000000000002</v>
          </cell>
          <cell r="C2370">
            <v>10.318465753424658</v>
          </cell>
        </row>
        <row r="2371">
          <cell r="B2371">
            <v>6.4931999999999999</v>
          </cell>
          <cell r="C2371">
            <v>10.318904109589042</v>
          </cell>
        </row>
        <row r="2372">
          <cell r="B2372">
            <v>6.4958999999999998</v>
          </cell>
          <cell r="C2372">
            <v>10.319342465753424</v>
          </cell>
        </row>
        <row r="2373">
          <cell r="B2373">
            <v>6.4985999999999997</v>
          </cell>
          <cell r="C2373">
            <v>10.319780821917808</v>
          </cell>
        </row>
        <row r="2374">
          <cell r="B2374">
            <v>6.5014000000000003</v>
          </cell>
          <cell r="C2374">
            <v>10.320219178082192</v>
          </cell>
        </row>
        <row r="2375">
          <cell r="B2375">
            <v>6.5041000000000002</v>
          </cell>
          <cell r="C2375">
            <v>10.320657534246577</v>
          </cell>
        </row>
        <row r="2376">
          <cell r="B2376">
            <v>6.5068000000000001</v>
          </cell>
          <cell r="C2376">
            <v>10.321095890410959</v>
          </cell>
        </row>
        <row r="2377">
          <cell r="B2377">
            <v>6.5095999999999998</v>
          </cell>
          <cell r="C2377">
            <v>10.321534246575343</v>
          </cell>
        </row>
        <row r="2378">
          <cell r="B2378">
            <v>6.5122999999999998</v>
          </cell>
          <cell r="C2378">
            <v>10.321972602739727</v>
          </cell>
        </row>
        <row r="2379">
          <cell r="B2379">
            <v>6.5151000000000003</v>
          </cell>
          <cell r="C2379">
            <v>10.32241095890411</v>
          </cell>
        </row>
        <row r="2380">
          <cell r="B2380">
            <v>6.5178000000000003</v>
          </cell>
          <cell r="C2380">
            <v>10.322849315068494</v>
          </cell>
        </row>
        <row r="2381">
          <cell r="B2381">
            <v>6.5205000000000002</v>
          </cell>
          <cell r="C2381">
            <v>10.323287671232878</v>
          </cell>
        </row>
        <row r="2382">
          <cell r="B2382">
            <v>6.5232999999999999</v>
          </cell>
          <cell r="C2382">
            <v>10.32372602739726</v>
          </cell>
        </row>
        <row r="2383">
          <cell r="B2383">
            <v>6.5259999999999998</v>
          </cell>
          <cell r="C2383">
            <v>10.324164383561644</v>
          </cell>
        </row>
        <row r="2384">
          <cell r="B2384">
            <v>6.5288000000000004</v>
          </cell>
          <cell r="C2384">
            <v>10.324602739726028</v>
          </cell>
        </row>
        <row r="2385">
          <cell r="B2385">
            <v>6.5315000000000003</v>
          </cell>
          <cell r="C2385">
            <v>10.325041095890411</v>
          </cell>
        </row>
        <row r="2386">
          <cell r="B2386">
            <v>6.5342000000000002</v>
          </cell>
          <cell r="C2386">
            <v>10.325479452054795</v>
          </cell>
        </row>
        <row r="2387">
          <cell r="B2387">
            <v>6.5369999999999999</v>
          </cell>
          <cell r="C2387">
            <v>10.325917808219179</v>
          </cell>
        </row>
        <row r="2388">
          <cell r="B2388">
            <v>6.5396999999999998</v>
          </cell>
          <cell r="C2388">
            <v>10.326356164383562</v>
          </cell>
        </row>
        <row r="2389">
          <cell r="B2389">
            <v>6.5425000000000004</v>
          </cell>
          <cell r="C2389">
            <v>10.326794520547946</v>
          </cell>
        </row>
        <row r="2390">
          <cell r="B2390">
            <v>6.5452000000000004</v>
          </cell>
          <cell r="C2390">
            <v>10.32723287671233</v>
          </cell>
        </row>
        <row r="2391">
          <cell r="B2391">
            <v>6.5479000000000003</v>
          </cell>
          <cell r="C2391">
            <v>10.327671232876712</v>
          </cell>
        </row>
        <row r="2392">
          <cell r="B2392">
            <v>6.5507</v>
          </cell>
          <cell r="C2392">
            <v>10.328109589041096</v>
          </cell>
        </row>
        <row r="2393">
          <cell r="B2393">
            <v>6.5533999999999999</v>
          </cell>
          <cell r="C2393">
            <v>10.32854794520548</v>
          </cell>
        </row>
        <row r="2394">
          <cell r="B2394">
            <v>6.5561999999999996</v>
          </cell>
          <cell r="C2394">
            <v>10.328986301369863</v>
          </cell>
        </row>
        <row r="2395">
          <cell r="B2395">
            <v>6.5589000000000004</v>
          </cell>
          <cell r="C2395">
            <v>10.329424657534247</v>
          </cell>
        </row>
        <row r="2396">
          <cell r="B2396">
            <v>6.5616000000000003</v>
          </cell>
          <cell r="C2396">
            <v>10.329863013698631</v>
          </cell>
        </row>
        <row r="2397">
          <cell r="B2397">
            <v>6.5644</v>
          </cell>
          <cell r="C2397">
            <v>10.330301369863014</v>
          </cell>
        </row>
        <row r="2398">
          <cell r="B2398">
            <v>6.5670999999999999</v>
          </cell>
          <cell r="C2398">
            <v>10.330739726027398</v>
          </cell>
        </row>
        <row r="2399">
          <cell r="B2399">
            <v>6.5698999999999996</v>
          </cell>
          <cell r="C2399">
            <v>10.331178082191782</v>
          </cell>
        </row>
        <row r="2400">
          <cell r="B2400">
            <v>6.5726000000000004</v>
          </cell>
          <cell r="C2400">
            <v>10.331616438356164</v>
          </cell>
        </row>
        <row r="2401">
          <cell r="B2401">
            <v>6.5753000000000004</v>
          </cell>
          <cell r="C2401">
            <v>10.332054794520548</v>
          </cell>
        </row>
        <row r="2402">
          <cell r="B2402">
            <v>6.5781000000000001</v>
          </cell>
          <cell r="C2402">
            <v>10.332493150684932</v>
          </cell>
        </row>
        <row r="2403">
          <cell r="B2403">
            <v>6.5808</v>
          </cell>
          <cell r="C2403">
            <v>10.332931506849315</v>
          </cell>
        </row>
        <row r="2404">
          <cell r="B2404">
            <v>6.5835999999999997</v>
          </cell>
          <cell r="C2404">
            <v>10.333369863013699</v>
          </cell>
        </row>
        <row r="2405">
          <cell r="B2405">
            <v>6.5862999999999996</v>
          </cell>
          <cell r="C2405">
            <v>10.333808219178083</v>
          </cell>
        </row>
        <row r="2406">
          <cell r="B2406">
            <v>6.5890000000000004</v>
          </cell>
          <cell r="C2406">
            <v>10.334246575342465</v>
          </cell>
        </row>
        <row r="2407">
          <cell r="B2407">
            <v>6.5918000000000001</v>
          </cell>
          <cell r="C2407">
            <v>10.33468493150685</v>
          </cell>
        </row>
        <row r="2408">
          <cell r="B2408">
            <v>6.5945</v>
          </cell>
          <cell r="C2408">
            <v>10.335123287671234</v>
          </cell>
        </row>
        <row r="2409">
          <cell r="B2409">
            <v>6.5972999999999997</v>
          </cell>
          <cell r="C2409">
            <v>10.335561643835616</v>
          </cell>
        </row>
        <row r="2410">
          <cell r="B2410">
            <v>6.6</v>
          </cell>
          <cell r="C2410">
            <v>10.336</v>
          </cell>
        </row>
        <row r="2411">
          <cell r="B2411">
            <v>6.6026999999999996</v>
          </cell>
          <cell r="C2411">
            <v>10.336438356164384</v>
          </cell>
        </row>
        <row r="2412">
          <cell r="B2412">
            <v>6.6055000000000001</v>
          </cell>
          <cell r="C2412">
            <v>10.336876712328767</v>
          </cell>
        </row>
        <row r="2413">
          <cell r="B2413">
            <v>6.6082000000000001</v>
          </cell>
          <cell r="C2413">
            <v>10.337315068493151</v>
          </cell>
        </row>
        <row r="2414">
          <cell r="B2414">
            <v>6.6109999999999998</v>
          </cell>
          <cell r="C2414">
            <v>10.337753424657535</v>
          </cell>
        </row>
        <row r="2415">
          <cell r="B2415">
            <v>6.6136999999999997</v>
          </cell>
          <cell r="C2415">
            <v>10.338191780821917</v>
          </cell>
        </row>
        <row r="2416">
          <cell r="B2416">
            <v>6.6163999999999996</v>
          </cell>
          <cell r="C2416">
            <v>10.338630136986302</v>
          </cell>
        </row>
        <row r="2417">
          <cell r="B2417">
            <v>6.6192000000000002</v>
          </cell>
          <cell r="C2417">
            <v>10.339068493150686</v>
          </cell>
        </row>
        <row r="2418">
          <cell r="B2418">
            <v>6.6219000000000001</v>
          </cell>
          <cell r="C2418">
            <v>10.339506849315068</v>
          </cell>
        </row>
        <row r="2419">
          <cell r="B2419">
            <v>6.6246999999999998</v>
          </cell>
          <cell r="C2419">
            <v>10.339945205479452</v>
          </cell>
        </row>
        <row r="2420">
          <cell r="B2420">
            <v>6.6273999999999997</v>
          </cell>
          <cell r="C2420">
            <v>10.340383561643836</v>
          </cell>
        </row>
        <row r="2421">
          <cell r="B2421">
            <v>6.6300999999999997</v>
          </cell>
          <cell r="C2421">
            <v>10.340821917808219</v>
          </cell>
        </row>
        <row r="2422">
          <cell r="B2422">
            <v>6.6329000000000002</v>
          </cell>
          <cell r="C2422">
            <v>10.341260273972603</v>
          </cell>
        </row>
        <row r="2423">
          <cell r="B2423">
            <v>6.6356000000000002</v>
          </cell>
          <cell r="C2423">
            <v>10.341698630136987</v>
          </cell>
        </row>
        <row r="2424">
          <cell r="B2424">
            <v>6.6383999999999999</v>
          </cell>
          <cell r="C2424">
            <v>10.342136986301369</v>
          </cell>
        </row>
        <row r="2425">
          <cell r="B2425">
            <v>6.6410999999999998</v>
          </cell>
          <cell r="C2425">
            <v>10.342575342465754</v>
          </cell>
        </row>
        <row r="2426">
          <cell r="B2426">
            <v>6.6437999999999997</v>
          </cell>
          <cell r="C2426">
            <v>10.343013698630138</v>
          </cell>
        </row>
        <row r="2427">
          <cell r="B2427">
            <v>6.6466000000000003</v>
          </cell>
          <cell r="C2427">
            <v>10.34345205479452</v>
          </cell>
        </row>
        <row r="2428">
          <cell r="B2428">
            <v>6.6493000000000002</v>
          </cell>
          <cell r="C2428">
            <v>10.343890410958904</v>
          </cell>
        </row>
        <row r="2429">
          <cell r="B2429">
            <v>6.6520999999999999</v>
          </cell>
          <cell r="C2429">
            <v>10.344328767123288</v>
          </cell>
        </row>
        <row r="2430">
          <cell r="B2430">
            <v>6.6547999999999998</v>
          </cell>
          <cell r="C2430">
            <v>10.344767123287671</v>
          </cell>
        </row>
        <row r="2431">
          <cell r="B2431">
            <v>6.6574999999999998</v>
          </cell>
          <cell r="C2431">
            <v>10.345205479452055</v>
          </cell>
        </row>
        <row r="2432">
          <cell r="B2432">
            <v>6.6603000000000003</v>
          </cell>
          <cell r="C2432">
            <v>10.345643835616439</v>
          </cell>
        </row>
        <row r="2433">
          <cell r="B2433">
            <v>6.6630000000000003</v>
          </cell>
          <cell r="C2433">
            <v>10.346082191780821</v>
          </cell>
        </row>
        <row r="2434">
          <cell r="B2434">
            <v>6.6657999999999999</v>
          </cell>
          <cell r="C2434">
            <v>10.346520547945206</v>
          </cell>
        </row>
        <row r="2435">
          <cell r="B2435">
            <v>6.6684999999999999</v>
          </cell>
          <cell r="C2435">
            <v>10.34695890410959</v>
          </cell>
        </row>
        <row r="2436">
          <cell r="B2436">
            <v>6.6711999999999998</v>
          </cell>
          <cell r="C2436">
            <v>10.347397260273972</v>
          </cell>
        </row>
        <row r="2437">
          <cell r="B2437">
            <v>6.6740000000000004</v>
          </cell>
          <cell r="C2437">
            <v>10.347835616438356</v>
          </cell>
        </row>
        <row r="2438">
          <cell r="B2438">
            <v>6.6767000000000003</v>
          </cell>
          <cell r="C2438">
            <v>10.34827397260274</v>
          </cell>
        </row>
        <row r="2439">
          <cell r="B2439">
            <v>6.6795</v>
          </cell>
          <cell r="C2439">
            <v>10.348712328767123</v>
          </cell>
        </row>
        <row r="2440">
          <cell r="B2440">
            <v>6.6821999999999999</v>
          </cell>
          <cell r="C2440">
            <v>10.349150684931507</v>
          </cell>
        </row>
        <row r="2441">
          <cell r="B2441">
            <v>6.6848999999999998</v>
          </cell>
          <cell r="C2441">
            <v>10.349589041095891</v>
          </cell>
        </row>
        <row r="2442">
          <cell r="B2442">
            <v>6.6877000000000004</v>
          </cell>
          <cell r="C2442">
            <v>10.350027397260273</v>
          </cell>
        </row>
        <row r="2443">
          <cell r="B2443">
            <v>6.6904000000000003</v>
          </cell>
          <cell r="C2443">
            <v>10.350465753424658</v>
          </cell>
        </row>
        <row r="2444">
          <cell r="B2444">
            <v>6.6932</v>
          </cell>
          <cell r="C2444">
            <v>10.350904109589042</v>
          </cell>
        </row>
        <row r="2445">
          <cell r="B2445">
            <v>6.6959</v>
          </cell>
          <cell r="C2445">
            <v>10.351342465753424</v>
          </cell>
        </row>
        <row r="2446">
          <cell r="B2446">
            <v>6.6985999999999999</v>
          </cell>
          <cell r="C2446">
            <v>10.351780821917808</v>
          </cell>
        </row>
        <row r="2447">
          <cell r="B2447">
            <v>6.7013999999999996</v>
          </cell>
          <cell r="C2447">
            <v>10.352219178082192</v>
          </cell>
        </row>
        <row r="2448">
          <cell r="B2448">
            <v>6.7041000000000004</v>
          </cell>
          <cell r="C2448">
            <v>10.352657534246577</v>
          </cell>
        </row>
        <row r="2449">
          <cell r="B2449">
            <v>6.7068000000000003</v>
          </cell>
          <cell r="C2449">
            <v>10.353095890410959</v>
          </cell>
        </row>
        <row r="2450">
          <cell r="B2450">
            <v>6.7096</v>
          </cell>
          <cell r="C2450">
            <v>10.353534246575343</v>
          </cell>
        </row>
        <row r="2451">
          <cell r="B2451">
            <v>6.7122999999999999</v>
          </cell>
          <cell r="C2451">
            <v>10.353972602739727</v>
          </cell>
        </row>
        <row r="2452">
          <cell r="B2452">
            <v>6.7150999999999996</v>
          </cell>
          <cell r="C2452">
            <v>10.35441095890411</v>
          </cell>
        </row>
        <row r="2453">
          <cell r="B2453">
            <v>6.7178000000000004</v>
          </cell>
          <cell r="C2453">
            <v>10.354849315068494</v>
          </cell>
        </row>
        <row r="2454">
          <cell r="B2454">
            <v>6.7205000000000004</v>
          </cell>
          <cell r="C2454">
            <v>10.355287671232878</v>
          </cell>
        </row>
        <row r="2455">
          <cell r="B2455">
            <v>6.7233000000000001</v>
          </cell>
          <cell r="C2455">
            <v>10.35572602739726</v>
          </cell>
        </row>
        <row r="2456">
          <cell r="B2456">
            <v>6.726</v>
          </cell>
          <cell r="C2456">
            <v>10.356164383561644</v>
          </cell>
        </row>
        <row r="2457">
          <cell r="B2457">
            <v>6.7287999999999997</v>
          </cell>
          <cell r="C2457">
            <v>10.356602739726029</v>
          </cell>
        </row>
        <row r="2458">
          <cell r="B2458">
            <v>6.7314999999999996</v>
          </cell>
          <cell r="C2458">
            <v>10.357041095890411</v>
          </cell>
        </row>
        <row r="2459">
          <cell r="B2459">
            <v>6.7342000000000004</v>
          </cell>
          <cell r="C2459">
            <v>10.357479452054795</v>
          </cell>
        </row>
        <row r="2460">
          <cell r="B2460">
            <v>6.7370000000000001</v>
          </cell>
          <cell r="C2460">
            <v>10.357917808219179</v>
          </cell>
        </row>
        <row r="2461">
          <cell r="B2461">
            <v>6.7397</v>
          </cell>
          <cell r="C2461">
            <v>10.358356164383562</v>
          </cell>
        </row>
        <row r="2462">
          <cell r="B2462">
            <v>6.7424999999999997</v>
          </cell>
          <cell r="C2462">
            <v>10.358794520547946</v>
          </cell>
        </row>
        <row r="2463">
          <cell r="B2463">
            <v>6.7451999999999996</v>
          </cell>
          <cell r="C2463">
            <v>10.35923287671233</v>
          </cell>
        </row>
        <row r="2464">
          <cell r="B2464">
            <v>6.7478999999999996</v>
          </cell>
          <cell r="C2464">
            <v>10.359671232876712</v>
          </cell>
        </row>
        <row r="2465">
          <cell r="B2465">
            <v>6.7507000000000001</v>
          </cell>
          <cell r="C2465">
            <v>10.360109589041096</v>
          </cell>
        </row>
        <row r="2466">
          <cell r="B2466">
            <v>6.7534000000000001</v>
          </cell>
          <cell r="C2466">
            <v>10.360547945205481</v>
          </cell>
        </row>
        <row r="2467">
          <cell r="B2467">
            <v>6.7561999999999998</v>
          </cell>
          <cell r="C2467">
            <v>10.360986301369863</v>
          </cell>
        </row>
        <row r="2468">
          <cell r="B2468">
            <v>6.7588999999999997</v>
          </cell>
          <cell r="C2468">
            <v>10.361424657534247</v>
          </cell>
        </row>
        <row r="2469">
          <cell r="B2469">
            <v>6.7615999999999996</v>
          </cell>
          <cell r="C2469">
            <v>10.361863013698631</v>
          </cell>
        </row>
        <row r="2470">
          <cell r="B2470">
            <v>6.7644000000000002</v>
          </cell>
          <cell r="C2470">
            <v>10.362301369863014</v>
          </cell>
        </row>
        <row r="2471">
          <cell r="B2471">
            <v>6.7671000000000001</v>
          </cell>
          <cell r="C2471">
            <v>10.362739726027398</v>
          </cell>
        </row>
        <row r="2472">
          <cell r="B2472">
            <v>6.7698999999999998</v>
          </cell>
          <cell r="C2472">
            <v>10.363178082191782</v>
          </cell>
        </row>
        <row r="2473">
          <cell r="B2473">
            <v>6.7725999999999997</v>
          </cell>
          <cell r="C2473">
            <v>10.363616438356164</v>
          </cell>
        </row>
        <row r="2474">
          <cell r="B2474">
            <v>6.7752999999999997</v>
          </cell>
          <cell r="C2474">
            <v>10.364054794520548</v>
          </cell>
        </row>
        <row r="2475">
          <cell r="B2475">
            <v>6.7781000000000002</v>
          </cell>
          <cell r="C2475">
            <v>10.364493150684932</v>
          </cell>
        </row>
        <row r="2476">
          <cell r="B2476">
            <v>6.7808000000000002</v>
          </cell>
          <cell r="C2476">
            <v>10.364931506849315</v>
          </cell>
        </row>
        <row r="2477">
          <cell r="B2477">
            <v>6.7835999999999999</v>
          </cell>
          <cell r="C2477">
            <v>10.365369863013699</v>
          </cell>
        </row>
        <row r="2478">
          <cell r="B2478">
            <v>6.7862999999999998</v>
          </cell>
          <cell r="C2478">
            <v>10.365808219178083</v>
          </cell>
        </row>
        <row r="2479">
          <cell r="B2479">
            <v>6.7889999999999997</v>
          </cell>
          <cell r="C2479">
            <v>10.366246575342466</v>
          </cell>
        </row>
        <row r="2480">
          <cell r="B2480">
            <v>6.7918000000000003</v>
          </cell>
          <cell r="C2480">
            <v>10.36668493150685</v>
          </cell>
        </row>
        <row r="2481">
          <cell r="B2481">
            <v>6.7945000000000002</v>
          </cell>
          <cell r="C2481">
            <v>10.367123287671234</v>
          </cell>
        </row>
        <row r="2482">
          <cell r="B2482">
            <v>6.7972999999999999</v>
          </cell>
          <cell r="C2482">
            <v>10.367561643835616</v>
          </cell>
        </row>
        <row r="2483">
          <cell r="B2483">
            <v>6.8</v>
          </cell>
          <cell r="C2483">
            <v>10.368</v>
          </cell>
        </row>
        <row r="2484">
          <cell r="B2484">
            <v>6.8026999999999997</v>
          </cell>
          <cell r="C2484">
            <v>10.368438356164384</v>
          </cell>
        </row>
        <row r="2485">
          <cell r="B2485">
            <v>6.8055000000000003</v>
          </cell>
          <cell r="C2485">
            <v>10.368876712328767</v>
          </cell>
        </row>
        <row r="2486">
          <cell r="B2486">
            <v>6.8082000000000003</v>
          </cell>
          <cell r="C2486">
            <v>10.369315068493151</v>
          </cell>
        </row>
        <row r="2487">
          <cell r="B2487">
            <v>6.8109999999999999</v>
          </cell>
          <cell r="C2487">
            <v>10.369753424657535</v>
          </cell>
        </row>
        <row r="2488">
          <cell r="B2488">
            <v>6.8136999999999999</v>
          </cell>
          <cell r="C2488">
            <v>10.370191780821918</v>
          </cell>
        </row>
        <row r="2489">
          <cell r="B2489">
            <v>6.8163999999999998</v>
          </cell>
          <cell r="C2489">
            <v>10.370630136986302</v>
          </cell>
        </row>
        <row r="2490">
          <cell r="B2490">
            <v>6.8192000000000004</v>
          </cell>
          <cell r="C2490">
            <v>10.371068493150686</v>
          </cell>
        </row>
        <row r="2491">
          <cell r="B2491">
            <v>6.8219000000000003</v>
          </cell>
          <cell r="C2491">
            <v>10.371506849315068</v>
          </cell>
        </row>
        <row r="2492">
          <cell r="B2492">
            <v>6.8247</v>
          </cell>
          <cell r="C2492">
            <v>10.371945205479452</v>
          </cell>
        </row>
        <row r="2493">
          <cell r="B2493">
            <v>6.8273999999999999</v>
          </cell>
          <cell r="C2493">
            <v>10.372383561643836</v>
          </cell>
        </row>
        <row r="2494">
          <cell r="B2494">
            <v>6.8300999999999998</v>
          </cell>
          <cell r="C2494">
            <v>10.372821917808219</v>
          </cell>
        </row>
        <row r="2495">
          <cell r="B2495">
            <v>6.8329000000000004</v>
          </cell>
          <cell r="C2495">
            <v>10.373260273972603</v>
          </cell>
        </row>
        <row r="2496">
          <cell r="B2496">
            <v>6.8356000000000003</v>
          </cell>
          <cell r="C2496">
            <v>10.373698630136987</v>
          </cell>
        </row>
        <row r="2497">
          <cell r="B2497">
            <v>6.8384</v>
          </cell>
          <cell r="C2497">
            <v>10.374136986301369</v>
          </cell>
        </row>
        <row r="2498">
          <cell r="B2498">
            <v>6.8411</v>
          </cell>
          <cell r="C2498">
            <v>10.374575342465754</v>
          </cell>
        </row>
        <row r="2499">
          <cell r="B2499">
            <v>6.8437999999999999</v>
          </cell>
          <cell r="C2499">
            <v>10.375013698630138</v>
          </cell>
        </row>
        <row r="2500">
          <cell r="B2500">
            <v>6.8465999999999996</v>
          </cell>
          <cell r="C2500">
            <v>10.37545205479452</v>
          </cell>
        </row>
        <row r="2501">
          <cell r="B2501">
            <v>6.8493000000000004</v>
          </cell>
          <cell r="C2501">
            <v>10.375890410958904</v>
          </cell>
        </row>
        <row r="2502">
          <cell r="B2502">
            <v>6.8521000000000001</v>
          </cell>
          <cell r="C2502">
            <v>10.376328767123288</v>
          </cell>
        </row>
        <row r="2503">
          <cell r="B2503">
            <v>6.8548</v>
          </cell>
          <cell r="C2503">
            <v>10.376767123287671</v>
          </cell>
        </row>
        <row r="2504">
          <cell r="B2504">
            <v>6.8574999999999999</v>
          </cell>
          <cell r="C2504">
            <v>10.377205479452055</v>
          </cell>
        </row>
        <row r="2505">
          <cell r="B2505">
            <v>6.8602999999999996</v>
          </cell>
          <cell r="C2505">
            <v>10.377643835616439</v>
          </cell>
        </row>
        <row r="2506">
          <cell r="B2506">
            <v>6.8630000000000004</v>
          </cell>
          <cell r="C2506">
            <v>10.378082191780821</v>
          </cell>
        </row>
        <row r="2507">
          <cell r="B2507">
            <v>6.8658000000000001</v>
          </cell>
          <cell r="C2507">
            <v>10.378520547945206</v>
          </cell>
        </row>
        <row r="2508">
          <cell r="B2508">
            <v>6.8685</v>
          </cell>
          <cell r="C2508">
            <v>10.37895890410959</v>
          </cell>
        </row>
        <row r="2509">
          <cell r="B2509">
            <v>6.8712</v>
          </cell>
          <cell r="C2509">
            <v>10.379397260273972</v>
          </cell>
        </row>
        <row r="2510">
          <cell r="B2510">
            <v>6.8739999999999997</v>
          </cell>
          <cell r="C2510">
            <v>10.379835616438356</v>
          </cell>
        </row>
        <row r="2511">
          <cell r="B2511">
            <v>6.8766999999999996</v>
          </cell>
          <cell r="C2511">
            <v>10.38027397260274</v>
          </cell>
        </row>
        <row r="2512">
          <cell r="B2512">
            <v>6.8795000000000002</v>
          </cell>
          <cell r="C2512">
            <v>10.380712328767123</v>
          </cell>
        </row>
        <row r="2513">
          <cell r="B2513">
            <v>6.8822000000000001</v>
          </cell>
          <cell r="C2513">
            <v>10.381150684931507</v>
          </cell>
        </row>
        <row r="2514">
          <cell r="B2514">
            <v>6.8849</v>
          </cell>
          <cell r="C2514">
            <v>10.381589041095891</v>
          </cell>
        </row>
        <row r="2515">
          <cell r="B2515">
            <v>6.8876999999999997</v>
          </cell>
          <cell r="C2515">
            <v>10.382027397260273</v>
          </cell>
        </row>
        <row r="2516">
          <cell r="B2516">
            <v>6.8903999999999996</v>
          </cell>
          <cell r="C2516">
            <v>10.382465753424658</v>
          </cell>
        </row>
        <row r="2517">
          <cell r="B2517">
            <v>6.8932000000000002</v>
          </cell>
          <cell r="C2517">
            <v>10.382904109589042</v>
          </cell>
        </row>
        <row r="2518">
          <cell r="B2518">
            <v>6.8959000000000001</v>
          </cell>
          <cell r="C2518">
            <v>10.383342465753426</v>
          </cell>
        </row>
        <row r="2519">
          <cell r="B2519">
            <v>6.8986000000000001</v>
          </cell>
          <cell r="C2519">
            <v>10.383780821917808</v>
          </cell>
        </row>
        <row r="2520">
          <cell r="B2520">
            <v>6.9013999999999998</v>
          </cell>
          <cell r="C2520">
            <v>10.384219178082192</v>
          </cell>
        </row>
        <row r="2521">
          <cell r="B2521">
            <v>6.9040999999999997</v>
          </cell>
          <cell r="C2521">
            <v>10.384657534246575</v>
          </cell>
        </row>
        <row r="2522">
          <cell r="B2522">
            <v>6.9067999999999996</v>
          </cell>
          <cell r="C2522">
            <v>10.385095890410959</v>
          </cell>
        </row>
        <row r="2523">
          <cell r="B2523">
            <v>6.9096000000000002</v>
          </cell>
          <cell r="C2523">
            <v>10.385534246575343</v>
          </cell>
        </row>
        <row r="2524">
          <cell r="B2524">
            <v>6.9123000000000001</v>
          </cell>
          <cell r="C2524">
            <v>10.385972602739727</v>
          </cell>
        </row>
        <row r="2525">
          <cell r="B2525">
            <v>6.9150999999999998</v>
          </cell>
          <cell r="C2525">
            <v>10.38641095890411</v>
          </cell>
        </row>
        <row r="2526">
          <cell r="B2526">
            <v>6.9177999999999997</v>
          </cell>
          <cell r="C2526">
            <v>10.386849315068494</v>
          </cell>
        </row>
        <row r="2527">
          <cell r="B2527">
            <v>6.9204999999999997</v>
          </cell>
          <cell r="C2527">
            <v>10.387287671232878</v>
          </cell>
        </row>
        <row r="2528">
          <cell r="B2528">
            <v>6.9233000000000002</v>
          </cell>
          <cell r="C2528">
            <v>10.38772602739726</v>
          </cell>
        </row>
        <row r="2529">
          <cell r="B2529">
            <v>6.9260000000000002</v>
          </cell>
          <cell r="C2529">
            <v>10.388164383561644</v>
          </cell>
        </row>
        <row r="2530">
          <cell r="B2530">
            <v>6.9287999999999998</v>
          </cell>
          <cell r="C2530">
            <v>10.388602739726029</v>
          </cell>
        </row>
        <row r="2531">
          <cell r="B2531">
            <v>6.9314999999999998</v>
          </cell>
          <cell r="C2531">
            <v>10.389041095890411</v>
          </cell>
        </row>
        <row r="2532">
          <cell r="B2532">
            <v>6.9341999999999997</v>
          </cell>
          <cell r="C2532">
            <v>10.389479452054795</v>
          </cell>
        </row>
        <row r="2533">
          <cell r="B2533">
            <v>6.9370000000000003</v>
          </cell>
          <cell r="C2533">
            <v>10.389917808219179</v>
          </cell>
        </row>
        <row r="2534">
          <cell r="B2534">
            <v>6.9397000000000002</v>
          </cell>
          <cell r="C2534">
            <v>10.390356164383562</v>
          </cell>
        </row>
        <row r="2535">
          <cell r="B2535">
            <v>6.9424999999999999</v>
          </cell>
          <cell r="C2535">
            <v>10.390794520547946</v>
          </cell>
        </row>
        <row r="2536">
          <cell r="B2536">
            <v>6.9451999999999998</v>
          </cell>
          <cell r="C2536">
            <v>10.39123287671233</v>
          </cell>
        </row>
        <row r="2537">
          <cell r="B2537">
            <v>6.9478999999999997</v>
          </cell>
          <cell r="C2537">
            <v>10.391671232876712</v>
          </cell>
        </row>
        <row r="2538">
          <cell r="B2538">
            <v>6.9507000000000003</v>
          </cell>
          <cell r="C2538">
            <v>10.392109589041096</v>
          </cell>
        </row>
        <row r="2539">
          <cell r="B2539">
            <v>6.9534000000000002</v>
          </cell>
          <cell r="C2539">
            <v>10.392547945205481</v>
          </cell>
        </row>
        <row r="2540">
          <cell r="B2540">
            <v>6.9561999999999999</v>
          </cell>
          <cell r="C2540">
            <v>10.392986301369863</v>
          </cell>
        </row>
        <row r="2541">
          <cell r="B2541">
            <v>6.9588999999999999</v>
          </cell>
          <cell r="C2541">
            <v>10.393424657534247</v>
          </cell>
        </row>
        <row r="2542">
          <cell r="B2542">
            <v>6.9615999999999998</v>
          </cell>
          <cell r="C2542">
            <v>10.393863013698631</v>
          </cell>
        </row>
        <row r="2543">
          <cell r="B2543">
            <v>6.9644000000000004</v>
          </cell>
          <cell r="C2543">
            <v>10.394301369863014</v>
          </cell>
        </row>
        <row r="2544">
          <cell r="B2544">
            <v>6.9671000000000003</v>
          </cell>
          <cell r="C2544">
            <v>10.394739726027398</v>
          </cell>
        </row>
        <row r="2545">
          <cell r="B2545">
            <v>6.9699</v>
          </cell>
          <cell r="C2545">
            <v>10.395178082191782</v>
          </cell>
        </row>
        <row r="2546">
          <cell r="B2546">
            <v>6.9725999999999999</v>
          </cell>
          <cell r="C2546">
            <v>10.395616438356164</v>
          </cell>
        </row>
        <row r="2547">
          <cell r="B2547">
            <v>6.9752999999999998</v>
          </cell>
          <cell r="C2547">
            <v>10.396054794520548</v>
          </cell>
        </row>
        <row r="2548">
          <cell r="B2548">
            <v>6.9781000000000004</v>
          </cell>
          <cell r="C2548">
            <v>10.396493150684933</v>
          </cell>
        </row>
        <row r="2549">
          <cell r="B2549">
            <v>6.9808000000000003</v>
          </cell>
          <cell r="C2549">
            <v>10.396931506849315</v>
          </cell>
        </row>
        <row r="2550">
          <cell r="B2550">
            <v>6.9836</v>
          </cell>
          <cell r="C2550">
            <v>10.397369863013699</v>
          </cell>
        </row>
        <row r="2551">
          <cell r="B2551">
            <v>6.9863</v>
          </cell>
          <cell r="C2551">
            <v>10.397808219178083</v>
          </cell>
        </row>
        <row r="2552">
          <cell r="B2552">
            <v>6.9889999999999999</v>
          </cell>
          <cell r="C2552">
            <v>10.398246575342466</v>
          </cell>
        </row>
        <row r="2553">
          <cell r="B2553">
            <v>6.9917999999999996</v>
          </cell>
          <cell r="C2553">
            <v>10.39868493150685</v>
          </cell>
        </row>
        <row r="2554">
          <cell r="B2554">
            <v>6.9945000000000004</v>
          </cell>
          <cell r="C2554">
            <v>10.399123287671234</v>
          </cell>
        </row>
        <row r="2555">
          <cell r="B2555">
            <v>6.9973000000000001</v>
          </cell>
          <cell r="C2555">
            <v>10.399561643835616</v>
          </cell>
        </row>
        <row r="2556">
          <cell r="B2556">
            <v>7</v>
          </cell>
          <cell r="C2556">
            <v>10.4</v>
          </cell>
        </row>
        <row r="2557">
          <cell r="B2557">
            <v>7.0026999999999999</v>
          </cell>
          <cell r="C2557">
            <v>10.400575342465753</v>
          </cell>
        </row>
        <row r="2558">
          <cell r="B2558">
            <v>7.0054999999999996</v>
          </cell>
          <cell r="C2558">
            <v>10.401150684931507</v>
          </cell>
        </row>
        <row r="2559">
          <cell r="B2559">
            <v>7.0082000000000004</v>
          </cell>
          <cell r="C2559">
            <v>10.401726027397261</v>
          </cell>
        </row>
        <row r="2560">
          <cell r="B2560">
            <v>7.0110000000000001</v>
          </cell>
          <cell r="C2560">
            <v>10.402301369863014</v>
          </cell>
        </row>
        <row r="2561">
          <cell r="B2561">
            <v>7.0137</v>
          </cell>
          <cell r="C2561">
            <v>10.402876712328768</v>
          </cell>
        </row>
        <row r="2562">
          <cell r="B2562">
            <v>7.0164</v>
          </cell>
          <cell r="C2562">
            <v>10.403452054794521</v>
          </cell>
        </row>
        <row r="2563">
          <cell r="B2563">
            <v>7.0191999999999997</v>
          </cell>
          <cell r="C2563">
            <v>10.404027397260274</v>
          </cell>
        </row>
        <row r="2564">
          <cell r="B2564">
            <v>7.0218999999999996</v>
          </cell>
          <cell r="C2564">
            <v>10.404602739726029</v>
          </cell>
        </row>
        <row r="2565">
          <cell r="B2565">
            <v>7.0247000000000002</v>
          </cell>
          <cell r="C2565">
            <v>10.405178082191782</v>
          </cell>
        </row>
        <row r="2566">
          <cell r="B2566">
            <v>7.0274000000000001</v>
          </cell>
          <cell r="C2566">
            <v>10.405753424657535</v>
          </cell>
        </row>
        <row r="2567">
          <cell r="B2567">
            <v>7.0301</v>
          </cell>
          <cell r="C2567">
            <v>10.406328767123288</v>
          </cell>
        </row>
        <row r="2568">
          <cell r="B2568">
            <v>7.0328999999999997</v>
          </cell>
          <cell r="C2568">
            <v>10.406904109589041</v>
          </cell>
        </row>
        <row r="2569">
          <cell r="B2569">
            <v>7.0355999999999996</v>
          </cell>
          <cell r="C2569">
            <v>10.407479452054794</v>
          </cell>
        </row>
        <row r="2570">
          <cell r="B2570">
            <v>7.0384000000000002</v>
          </cell>
          <cell r="C2570">
            <v>10.408054794520549</v>
          </cell>
        </row>
        <row r="2571">
          <cell r="B2571">
            <v>7.0411000000000001</v>
          </cell>
          <cell r="C2571">
            <v>10.408630136986302</v>
          </cell>
        </row>
        <row r="2572">
          <cell r="B2572">
            <v>7.0438000000000001</v>
          </cell>
          <cell r="C2572">
            <v>10.409205479452055</v>
          </cell>
        </row>
        <row r="2573">
          <cell r="B2573">
            <v>7.0465999999999998</v>
          </cell>
          <cell r="C2573">
            <v>10.409780821917808</v>
          </cell>
        </row>
        <row r="2574">
          <cell r="B2574">
            <v>7.0492999999999997</v>
          </cell>
          <cell r="C2574">
            <v>10.410356164383561</v>
          </cell>
        </row>
        <row r="2575">
          <cell r="B2575">
            <v>7.0521000000000003</v>
          </cell>
          <cell r="C2575">
            <v>10.410931506849316</v>
          </cell>
        </row>
        <row r="2576">
          <cell r="B2576">
            <v>7.0548000000000002</v>
          </cell>
          <cell r="C2576">
            <v>10.411506849315069</v>
          </cell>
        </row>
        <row r="2577">
          <cell r="B2577">
            <v>7.0575000000000001</v>
          </cell>
          <cell r="C2577">
            <v>10.412082191780822</v>
          </cell>
        </row>
        <row r="2578">
          <cell r="B2578">
            <v>7.0602999999999998</v>
          </cell>
          <cell r="C2578">
            <v>10.412657534246575</v>
          </cell>
        </row>
        <row r="2579">
          <cell r="B2579">
            <v>7.0629999999999997</v>
          </cell>
          <cell r="C2579">
            <v>10.413232876712328</v>
          </cell>
        </row>
        <row r="2580">
          <cell r="B2580">
            <v>7.0658000000000003</v>
          </cell>
          <cell r="C2580">
            <v>10.413808219178083</v>
          </cell>
        </row>
        <row r="2581">
          <cell r="B2581">
            <v>7.0685000000000002</v>
          </cell>
          <cell r="C2581">
            <v>10.414383561643836</v>
          </cell>
        </row>
        <row r="2582">
          <cell r="B2582">
            <v>7.0712000000000002</v>
          </cell>
          <cell r="C2582">
            <v>10.414958904109589</v>
          </cell>
        </row>
        <row r="2583">
          <cell r="B2583">
            <v>7.0739999999999998</v>
          </cell>
          <cell r="C2583">
            <v>10.415534246575342</v>
          </cell>
        </row>
        <row r="2584">
          <cell r="B2584">
            <v>7.0766999999999998</v>
          </cell>
          <cell r="C2584">
            <v>10.416109589041096</v>
          </cell>
        </row>
        <row r="2585">
          <cell r="B2585">
            <v>7.0795000000000003</v>
          </cell>
          <cell r="C2585">
            <v>10.41668493150685</v>
          </cell>
        </row>
        <row r="2586">
          <cell r="B2586">
            <v>7.0822000000000003</v>
          </cell>
          <cell r="C2586">
            <v>10.417260273972603</v>
          </cell>
        </row>
        <row r="2587">
          <cell r="B2587">
            <v>7.0849000000000002</v>
          </cell>
          <cell r="C2587">
            <v>10.417835616438357</v>
          </cell>
        </row>
        <row r="2588">
          <cell r="B2588">
            <v>7.0876999999999999</v>
          </cell>
          <cell r="C2588">
            <v>10.41841095890411</v>
          </cell>
        </row>
        <row r="2589">
          <cell r="B2589">
            <v>7.0903999999999998</v>
          </cell>
          <cell r="C2589">
            <v>10.418986301369863</v>
          </cell>
        </row>
        <row r="2590">
          <cell r="B2590">
            <v>7.0932000000000004</v>
          </cell>
          <cell r="C2590">
            <v>10.419561643835618</v>
          </cell>
        </row>
        <row r="2591">
          <cell r="B2591">
            <v>7.0959000000000003</v>
          </cell>
          <cell r="C2591">
            <v>10.420136986301371</v>
          </cell>
        </row>
        <row r="2592">
          <cell r="B2592">
            <v>7.0986000000000002</v>
          </cell>
          <cell r="C2592">
            <v>10.420712328767124</v>
          </cell>
        </row>
        <row r="2593">
          <cell r="B2593">
            <v>7.1013999999999999</v>
          </cell>
          <cell r="C2593">
            <v>10.421287671232877</v>
          </cell>
        </row>
        <row r="2594">
          <cell r="B2594">
            <v>7.1040999999999999</v>
          </cell>
          <cell r="C2594">
            <v>10.42186301369863</v>
          </cell>
        </row>
        <row r="2595">
          <cell r="B2595">
            <v>7.1067999999999998</v>
          </cell>
          <cell r="C2595">
            <v>10.422438356164383</v>
          </cell>
        </row>
        <row r="2596">
          <cell r="B2596">
            <v>7.1096000000000004</v>
          </cell>
          <cell r="C2596">
            <v>10.423013698630138</v>
          </cell>
        </row>
        <row r="2597">
          <cell r="B2597">
            <v>7.1123000000000003</v>
          </cell>
          <cell r="C2597">
            <v>10.423589041095891</v>
          </cell>
        </row>
        <row r="2598">
          <cell r="B2598">
            <v>7.1151</v>
          </cell>
          <cell r="C2598">
            <v>10.424164383561644</v>
          </cell>
        </row>
        <row r="2599">
          <cell r="B2599">
            <v>7.1177999999999999</v>
          </cell>
          <cell r="C2599">
            <v>10.424739726027397</v>
          </cell>
        </row>
        <row r="2600">
          <cell r="B2600">
            <v>7.1204999999999998</v>
          </cell>
          <cell r="C2600">
            <v>10.42531506849315</v>
          </cell>
        </row>
        <row r="2601">
          <cell r="B2601">
            <v>7.1233000000000004</v>
          </cell>
          <cell r="C2601">
            <v>10.425890410958905</v>
          </cell>
        </row>
        <row r="2602">
          <cell r="B2602">
            <v>7.1260000000000003</v>
          </cell>
          <cell r="C2602">
            <v>10.426465753424658</v>
          </cell>
        </row>
        <row r="2603">
          <cell r="B2603">
            <v>7.1288</v>
          </cell>
          <cell r="C2603">
            <v>10.427041095890411</v>
          </cell>
        </row>
        <row r="2604">
          <cell r="B2604">
            <v>7.1315</v>
          </cell>
          <cell r="C2604">
            <v>10.427616438356164</v>
          </cell>
        </row>
        <row r="2605">
          <cell r="B2605">
            <v>7.1341999999999999</v>
          </cell>
          <cell r="C2605">
            <v>10.428191780821917</v>
          </cell>
        </row>
        <row r="2606">
          <cell r="B2606">
            <v>7.1369999999999996</v>
          </cell>
          <cell r="C2606">
            <v>10.428767123287672</v>
          </cell>
        </row>
        <row r="2607">
          <cell r="B2607">
            <v>7.1397000000000004</v>
          </cell>
          <cell r="C2607">
            <v>10.429342465753425</v>
          </cell>
        </row>
        <row r="2608">
          <cell r="B2608">
            <v>7.1425000000000001</v>
          </cell>
          <cell r="C2608">
            <v>10.429917808219178</v>
          </cell>
        </row>
        <row r="2609">
          <cell r="B2609">
            <v>7.1452</v>
          </cell>
          <cell r="C2609">
            <v>10.430493150684931</v>
          </cell>
        </row>
        <row r="2610">
          <cell r="B2610">
            <v>7.1478999999999999</v>
          </cell>
          <cell r="C2610">
            <v>10.431068493150685</v>
          </cell>
        </row>
        <row r="2611">
          <cell r="B2611">
            <v>7.1506999999999996</v>
          </cell>
          <cell r="C2611">
            <v>10.431643835616439</v>
          </cell>
        </row>
        <row r="2612">
          <cell r="B2612">
            <v>7.1534000000000004</v>
          </cell>
          <cell r="C2612">
            <v>10.432219178082192</v>
          </cell>
        </row>
        <row r="2613">
          <cell r="B2613">
            <v>7.1562000000000001</v>
          </cell>
          <cell r="C2613">
            <v>10.432794520547946</v>
          </cell>
        </row>
        <row r="2614">
          <cell r="B2614">
            <v>7.1589</v>
          </cell>
          <cell r="C2614">
            <v>10.433369863013699</v>
          </cell>
        </row>
        <row r="2615">
          <cell r="B2615">
            <v>7.1616</v>
          </cell>
          <cell r="C2615">
            <v>10.433945205479452</v>
          </cell>
        </row>
        <row r="2616">
          <cell r="B2616">
            <v>7.1643999999999997</v>
          </cell>
          <cell r="C2616">
            <v>10.434520547945207</v>
          </cell>
        </row>
        <row r="2617">
          <cell r="B2617">
            <v>7.1670999999999996</v>
          </cell>
          <cell r="C2617">
            <v>10.43509589041096</v>
          </cell>
        </row>
        <row r="2618">
          <cell r="B2618">
            <v>7.1699000000000002</v>
          </cell>
          <cell r="C2618">
            <v>10.435671232876713</v>
          </cell>
        </row>
        <row r="2619">
          <cell r="B2619">
            <v>7.1726000000000001</v>
          </cell>
          <cell r="C2619">
            <v>10.436246575342466</v>
          </cell>
        </row>
        <row r="2620">
          <cell r="B2620">
            <v>7.1753</v>
          </cell>
          <cell r="C2620">
            <v>10.436821917808219</v>
          </cell>
        </row>
        <row r="2621">
          <cell r="B2621">
            <v>7.1780999999999997</v>
          </cell>
          <cell r="C2621">
            <v>10.437397260273972</v>
          </cell>
        </row>
        <row r="2622">
          <cell r="B2622">
            <v>7.1807999999999996</v>
          </cell>
          <cell r="C2622">
            <v>10.437972602739727</v>
          </cell>
        </row>
        <row r="2623">
          <cell r="B2623">
            <v>7.1836000000000002</v>
          </cell>
          <cell r="C2623">
            <v>10.43854794520548</v>
          </cell>
        </row>
        <row r="2624">
          <cell r="B2624">
            <v>7.1863000000000001</v>
          </cell>
          <cell r="C2624">
            <v>10.439123287671233</v>
          </cell>
        </row>
        <row r="2625">
          <cell r="B2625">
            <v>7.1890000000000001</v>
          </cell>
          <cell r="C2625">
            <v>10.439698630136986</v>
          </cell>
        </row>
        <row r="2626">
          <cell r="B2626">
            <v>7.1917999999999997</v>
          </cell>
          <cell r="C2626">
            <v>10.440273972602739</v>
          </cell>
        </row>
        <row r="2627">
          <cell r="B2627">
            <v>7.1944999999999997</v>
          </cell>
          <cell r="C2627">
            <v>10.440849315068494</v>
          </cell>
        </row>
        <row r="2628">
          <cell r="B2628">
            <v>7.1973000000000003</v>
          </cell>
          <cell r="C2628">
            <v>10.441424657534247</v>
          </cell>
        </row>
        <row r="2629">
          <cell r="B2629">
            <v>7.2</v>
          </cell>
          <cell r="C2629">
            <v>10.442</v>
          </cell>
        </row>
        <row r="2630">
          <cell r="B2630">
            <v>7.2027000000000001</v>
          </cell>
          <cell r="C2630">
            <v>10.442575342465753</v>
          </cell>
        </row>
        <row r="2631">
          <cell r="B2631">
            <v>7.2054999999999998</v>
          </cell>
          <cell r="C2631">
            <v>10.443150684931506</v>
          </cell>
        </row>
        <row r="2632">
          <cell r="B2632">
            <v>7.2081999999999997</v>
          </cell>
          <cell r="C2632">
            <v>10.443726027397261</v>
          </cell>
        </row>
        <row r="2633">
          <cell r="B2633">
            <v>7.2110000000000003</v>
          </cell>
          <cell r="C2633">
            <v>10.444301369863014</v>
          </cell>
        </row>
        <row r="2634">
          <cell r="B2634">
            <v>7.2137000000000002</v>
          </cell>
          <cell r="C2634">
            <v>10.444876712328767</v>
          </cell>
        </row>
        <row r="2635">
          <cell r="B2635">
            <v>7.2164000000000001</v>
          </cell>
          <cell r="C2635">
            <v>10.44545205479452</v>
          </cell>
        </row>
        <row r="2636">
          <cell r="B2636">
            <v>7.2191999999999998</v>
          </cell>
          <cell r="C2636">
            <v>10.446027397260274</v>
          </cell>
        </row>
        <row r="2637">
          <cell r="B2637">
            <v>7.2218999999999998</v>
          </cell>
          <cell r="C2637">
            <v>10.446602739726028</v>
          </cell>
        </row>
        <row r="2638">
          <cell r="B2638">
            <v>7.2247000000000003</v>
          </cell>
          <cell r="C2638">
            <v>10.447178082191781</v>
          </cell>
        </row>
        <row r="2639">
          <cell r="B2639">
            <v>7.2274000000000003</v>
          </cell>
          <cell r="C2639">
            <v>10.447753424657535</v>
          </cell>
        </row>
        <row r="2640">
          <cell r="B2640">
            <v>7.2301000000000002</v>
          </cell>
          <cell r="C2640">
            <v>10.448328767123288</v>
          </cell>
        </row>
        <row r="2641">
          <cell r="B2641">
            <v>7.2328999999999999</v>
          </cell>
          <cell r="C2641">
            <v>10.448904109589041</v>
          </cell>
        </row>
        <row r="2642">
          <cell r="B2642">
            <v>7.2355999999999998</v>
          </cell>
          <cell r="C2642">
            <v>10.449479452054794</v>
          </cell>
        </row>
        <row r="2643">
          <cell r="B2643">
            <v>7.2384000000000004</v>
          </cell>
          <cell r="C2643">
            <v>10.450054794520549</v>
          </cell>
        </row>
        <row r="2644">
          <cell r="B2644">
            <v>7.2411000000000003</v>
          </cell>
          <cell r="C2644">
            <v>10.450630136986302</v>
          </cell>
        </row>
        <row r="2645">
          <cell r="B2645">
            <v>7.2438000000000002</v>
          </cell>
          <cell r="C2645">
            <v>10.451205479452055</v>
          </cell>
        </row>
        <row r="2646">
          <cell r="B2646">
            <v>7.2465999999999999</v>
          </cell>
          <cell r="C2646">
            <v>10.451780821917808</v>
          </cell>
        </row>
        <row r="2647">
          <cell r="B2647">
            <v>7.2492999999999999</v>
          </cell>
          <cell r="C2647">
            <v>10.452356164383561</v>
          </cell>
        </row>
        <row r="2648">
          <cell r="B2648">
            <v>7.2521000000000004</v>
          </cell>
          <cell r="C2648">
            <v>10.452931506849316</v>
          </cell>
        </row>
        <row r="2649">
          <cell r="B2649">
            <v>7.2548000000000004</v>
          </cell>
          <cell r="C2649">
            <v>10.453506849315069</v>
          </cell>
        </row>
        <row r="2650">
          <cell r="B2650">
            <v>7.2575000000000003</v>
          </cell>
          <cell r="C2650">
            <v>10.454082191780822</v>
          </cell>
        </row>
        <row r="2651">
          <cell r="B2651">
            <v>7.2603</v>
          </cell>
          <cell r="C2651">
            <v>10.454657534246575</v>
          </cell>
        </row>
        <row r="2652">
          <cell r="B2652">
            <v>7.2629999999999999</v>
          </cell>
          <cell r="C2652">
            <v>10.455232876712328</v>
          </cell>
        </row>
        <row r="2653">
          <cell r="B2653">
            <v>7.2657999999999996</v>
          </cell>
          <cell r="C2653">
            <v>10.455808219178083</v>
          </cell>
        </row>
        <row r="2654">
          <cell r="B2654">
            <v>7.2685000000000004</v>
          </cell>
          <cell r="C2654">
            <v>10.456383561643836</v>
          </cell>
        </row>
        <row r="2655">
          <cell r="B2655">
            <v>7.2712000000000003</v>
          </cell>
          <cell r="C2655">
            <v>10.456958904109589</v>
          </cell>
        </row>
        <row r="2656">
          <cell r="B2656">
            <v>7.274</v>
          </cell>
          <cell r="C2656">
            <v>10.457534246575342</v>
          </cell>
        </row>
        <row r="2657">
          <cell r="B2657">
            <v>7.2766999999999999</v>
          </cell>
          <cell r="C2657">
            <v>10.458109589041095</v>
          </cell>
        </row>
        <row r="2658">
          <cell r="B2658">
            <v>7.2794999999999996</v>
          </cell>
          <cell r="C2658">
            <v>10.45868493150685</v>
          </cell>
        </row>
        <row r="2659">
          <cell r="B2659">
            <v>7.2821999999999996</v>
          </cell>
          <cell r="C2659">
            <v>10.459260273972603</v>
          </cell>
        </row>
        <row r="2660">
          <cell r="B2660">
            <v>7.2849000000000004</v>
          </cell>
          <cell r="C2660">
            <v>10.459835616438356</v>
          </cell>
        </row>
        <row r="2661">
          <cell r="B2661">
            <v>7.2877000000000001</v>
          </cell>
          <cell r="C2661">
            <v>10.460410958904109</v>
          </cell>
        </row>
        <row r="2662">
          <cell r="B2662">
            <v>7.2904</v>
          </cell>
          <cell r="C2662">
            <v>10.460986301369863</v>
          </cell>
        </row>
        <row r="2663">
          <cell r="B2663">
            <v>7.2931999999999997</v>
          </cell>
          <cell r="C2663">
            <v>10.461561643835617</v>
          </cell>
        </row>
        <row r="2664">
          <cell r="B2664">
            <v>7.2958999999999996</v>
          </cell>
          <cell r="C2664">
            <v>10.46213698630137</v>
          </cell>
        </row>
        <row r="2665">
          <cell r="B2665">
            <v>7.2986000000000004</v>
          </cell>
          <cell r="C2665">
            <v>10.462712328767124</v>
          </cell>
        </row>
        <row r="2666">
          <cell r="B2666">
            <v>7.3014000000000001</v>
          </cell>
          <cell r="C2666">
            <v>10.463287671232877</v>
          </cell>
        </row>
        <row r="2667">
          <cell r="B2667">
            <v>7.3041</v>
          </cell>
          <cell r="C2667">
            <v>10.46386301369863</v>
          </cell>
        </row>
        <row r="2668">
          <cell r="B2668">
            <v>7.3068</v>
          </cell>
          <cell r="C2668">
            <v>10.464438356164383</v>
          </cell>
        </row>
        <row r="2669">
          <cell r="B2669">
            <v>7.3095999999999997</v>
          </cell>
          <cell r="C2669">
            <v>10.465013698630138</v>
          </cell>
        </row>
        <row r="2670">
          <cell r="B2670">
            <v>7.3122999999999996</v>
          </cell>
          <cell r="C2670">
            <v>10.465589041095891</v>
          </cell>
        </row>
        <row r="2671">
          <cell r="B2671">
            <v>7.3151000000000002</v>
          </cell>
          <cell r="C2671">
            <v>10.466164383561644</v>
          </cell>
        </row>
        <row r="2672">
          <cell r="B2672">
            <v>7.3178000000000001</v>
          </cell>
          <cell r="C2672">
            <v>10.466739726027397</v>
          </cell>
        </row>
        <row r="2673">
          <cell r="B2673">
            <v>7.3205</v>
          </cell>
          <cell r="C2673">
            <v>10.46731506849315</v>
          </cell>
        </row>
        <row r="2674">
          <cell r="B2674">
            <v>7.3232999999999997</v>
          </cell>
          <cell r="C2674">
            <v>10.467890410958905</v>
          </cell>
        </row>
        <row r="2675">
          <cell r="B2675">
            <v>7.3259999999999996</v>
          </cell>
          <cell r="C2675">
            <v>10.468465753424658</v>
          </cell>
        </row>
        <row r="2676">
          <cell r="B2676">
            <v>7.3288000000000002</v>
          </cell>
          <cell r="C2676">
            <v>10.469041095890411</v>
          </cell>
        </row>
        <row r="2677">
          <cell r="B2677">
            <v>7.3315000000000001</v>
          </cell>
          <cell r="C2677">
            <v>10.469616438356164</v>
          </cell>
        </row>
        <row r="2678">
          <cell r="B2678">
            <v>7.3342000000000001</v>
          </cell>
          <cell r="C2678">
            <v>10.470191780821917</v>
          </cell>
        </row>
        <row r="2679">
          <cell r="B2679">
            <v>7.3369999999999997</v>
          </cell>
          <cell r="C2679">
            <v>10.470767123287672</v>
          </cell>
        </row>
        <row r="2680">
          <cell r="B2680">
            <v>7.3396999999999997</v>
          </cell>
          <cell r="C2680">
            <v>10.471342465753425</v>
          </cell>
        </row>
        <row r="2681">
          <cell r="B2681">
            <v>7.3425000000000002</v>
          </cell>
          <cell r="C2681">
            <v>10.471917808219178</v>
          </cell>
        </row>
        <row r="2682">
          <cell r="B2682">
            <v>7.3452000000000002</v>
          </cell>
          <cell r="C2682">
            <v>10.472493150684931</v>
          </cell>
        </row>
        <row r="2683">
          <cell r="B2683">
            <v>7.3479000000000001</v>
          </cell>
          <cell r="C2683">
            <v>10.473068493150684</v>
          </cell>
        </row>
        <row r="2684">
          <cell r="B2684">
            <v>7.3506999999999998</v>
          </cell>
          <cell r="C2684">
            <v>10.473643835616439</v>
          </cell>
        </row>
        <row r="2685">
          <cell r="B2685">
            <v>7.3533999999999997</v>
          </cell>
          <cell r="C2685">
            <v>10.474219178082192</v>
          </cell>
        </row>
        <row r="2686">
          <cell r="B2686">
            <v>7.3562000000000003</v>
          </cell>
          <cell r="C2686">
            <v>10.474794520547945</v>
          </cell>
        </row>
        <row r="2687">
          <cell r="B2687">
            <v>7.3589000000000002</v>
          </cell>
          <cell r="C2687">
            <v>10.475369863013698</v>
          </cell>
        </row>
        <row r="2688">
          <cell r="B2688">
            <v>7.3616000000000001</v>
          </cell>
          <cell r="C2688">
            <v>10.475945205479452</v>
          </cell>
        </row>
        <row r="2689">
          <cell r="B2689">
            <v>7.3643999999999998</v>
          </cell>
          <cell r="C2689">
            <v>10.476520547945206</v>
          </cell>
        </row>
        <row r="2690">
          <cell r="B2690">
            <v>7.3670999999999998</v>
          </cell>
          <cell r="C2690">
            <v>10.477095890410959</v>
          </cell>
        </row>
        <row r="2691">
          <cell r="B2691">
            <v>7.3699000000000003</v>
          </cell>
          <cell r="C2691">
            <v>10.477671232876713</v>
          </cell>
        </row>
        <row r="2692">
          <cell r="B2692">
            <v>7.3726000000000003</v>
          </cell>
          <cell r="C2692">
            <v>10.478246575342466</v>
          </cell>
        </row>
        <row r="2693">
          <cell r="B2693">
            <v>7.3753000000000002</v>
          </cell>
          <cell r="C2693">
            <v>10.478821917808219</v>
          </cell>
        </row>
        <row r="2694">
          <cell r="B2694">
            <v>7.3780999999999999</v>
          </cell>
          <cell r="C2694">
            <v>10.479397260273972</v>
          </cell>
        </row>
        <row r="2695">
          <cell r="B2695">
            <v>7.3807999999999998</v>
          </cell>
          <cell r="C2695">
            <v>10.479972602739727</v>
          </cell>
        </row>
        <row r="2696">
          <cell r="B2696">
            <v>7.3836000000000004</v>
          </cell>
          <cell r="C2696">
            <v>10.48054794520548</v>
          </cell>
        </row>
        <row r="2697">
          <cell r="B2697">
            <v>7.3863000000000003</v>
          </cell>
          <cell r="C2697">
            <v>10.481123287671233</v>
          </cell>
        </row>
        <row r="2698">
          <cell r="B2698">
            <v>7.3890000000000002</v>
          </cell>
          <cell r="C2698">
            <v>10.481698630136986</v>
          </cell>
        </row>
        <row r="2699">
          <cell r="B2699">
            <v>7.3917999999999999</v>
          </cell>
          <cell r="C2699">
            <v>10.482273972602739</v>
          </cell>
        </row>
        <row r="2700">
          <cell r="B2700">
            <v>7.3944999999999999</v>
          </cell>
          <cell r="C2700">
            <v>10.482849315068494</v>
          </cell>
        </row>
        <row r="2701">
          <cell r="B2701">
            <v>7.3973000000000004</v>
          </cell>
          <cell r="C2701">
            <v>10.483424657534247</v>
          </cell>
        </row>
        <row r="2702">
          <cell r="B2702">
            <v>7.4</v>
          </cell>
          <cell r="C2702">
            <v>10.484</v>
          </cell>
        </row>
        <row r="2703">
          <cell r="B2703">
            <v>7.4027000000000003</v>
          </cell>
          <cell r="C2703">
            <v>10.484575342465753</v>
          </cell>
        </row>
        <row r="2704">
          <cell r="B2704">
            <v>7.4055</v>
          </cell>
          <cell r="C2704">
            <v>10.485150684931506</v>
          </cell>
        </row>
        <row r="2705">
          <cell r="B2705">
            <v>7.4081999999999999</v>
          </cell>
          <cell r="C2705">
            <v>10.485726027397261</v>
          </cell>
        </row>
        <row r="2706">
          <cell r="B2706">
            <v>7.4109999999999996</v>
          </cell>
          <cell r="C2706">
            <v>10.486301369863014</v>
          </cell>
        </row>
        <row r="2707">
          <cell r="B2707">
            <v>7.4137000000000004</v>
          </cell>
          <cell r="C2707">
            <v>10.486876712328767</v>
          </cell>
        </row>
        <row r="2708">
          <cell r="B2708">
            <v>7.4164000000000003</v>
          </cell>
          <cell r="C2708">
            <v>10.48745205479452</v>
          </cell>
        </row>
        <row r="2709">
          <cell r="B2709">
            <v>7.4192</v>
          </cell>
          <cell r="C2709">
            <v>10.488027397260273</v>
          </cell>
        </row>
        <row r="2710">
          <cell r="B2710">
            <v>7.4218999999999999</v>
          </cell>
          <cell r="C2710">
            <v>10.488602739726028</v>
          </cell>
        </row>
        <row r="2711">
          <cell r="B2711">
            <v>7.4246999999999996</v>
          </cell>
          <cell r="C2711">
            <v>10.489178082191781</v>
          </cell>
        </row>
        <row r="2712">
          <cell r="B2712">
            <v>7.4273999999999996</v>
          </cell>
          <cell r="C2712">
            <v>10.489753424657534</v>
          </cell>
        </row>
        <row r="2713">
          <cell r="B2713">
            <v>7.4301000000000004</v>
          </cell>
          <cell r="C2713">
            <v>10.490328767123287</v>
          </cell>
        </row>
        <row r="2714">
          <cell r="B2714">
            <v>7.4329000000000001</v>
          </cell>
          <cell r="C2714">
            <v>10.490904109589041</v>
          </cell>
        </row>
        <row r="2715">
          <cell r="B2715">
            <v>7.4356</v>
          </cell>
          <cell r="C2715">
            <v>10.491479452054794</v>
          </cell>
        </row>
        <row r="2716">
          <cell r="B2716">
            <v>7.4383999999999997</v>
          </cell>
          <cell r="C2716">
            <v>10.492054794520548</v>
          </cell>
        </row>
        <row r="2717">
          <cell r="B2717">
            <v>7.4410999999999996</v>
          </cell>
          <cell r="C2717">
            <v>10.492630136986302</v>
          </cell>
        </row>
        <row r="2718">
          <cell r="B2718">
            <v>7.4438000000000004</v>
          </cell>
          <cell r="C2718">
            <v>10.493205479452055</v>
          </cell>
        </row>
        <row r="2719">
          <cell r="B2719">
            <v>7.4466000000000001</v>
          </cell>
          <cell r="C2719">
            <v>10.493780821917808</v>
          </cell>
        </row>
        <row r="2720">
          <cell r="B2720">
            <v>7.4493</v>
          </cell>
          <cell r="C2720">
            <v>10.494356164383561</v>
          </cell>
        </row>
        <row r="2721">
          <cell r="B2721">
            <v>7.4520999999999997</v>
          </cell>
          <cell r="C2721">
            <v>10.494931506849316</v>
          </cell>
        </row>
        <row r="2722">
          <cell r="B2722">
            <v>7.4547999999999996</v>
          </cell>
          <cell r="C2722">
            <v>10.495506849315069</v>
          </cell>
        </row>
        <row r="2723">
          <cell r="B2723">
            <v>7.4574999999999996</v>
          </cell>
          <cell r="C2723">
            <v>10.496082191780822</v>
          </cell>
        </row>
        <row r="2724">
          <cell r="B2724">
            <v>7.4603000000000002</v>
          </cell>
          <cell r="C2724">
            <v>10.496657534246575</v>
          </cell>
        </row>
        <row r="2725">
          <cell r="B2725">
            <v>7.4630000000000001</v>
          </cell>
          <cell r="C2725">
            <v>10.497232876712328</v>
          </cell>
        </row>
        <row r="2726">
          <cell r="B2726">
            <v>7.4657999999999998</v>
          </cell>
          <cell r="C2726">
            <v>10.497808219178083</v>
          </cell>
        </row>
        <row r="2727">
          <cell r="B2727">
            <v>7.4684999999999997</v>
          </cell>
          <cell r="C2727">
            <v>10.498383561643836</v>
          </cell>
        </row>
        <row r="2728">
          <cell r="B2728">
            <v>7.4711999999999996</v>
          </cell>
          <cell r="C2728">
            <v>10.498958904109589</v>
          </cell>
        </row>
        <row r="2729">
          <cell r="B2729">
            <v>7.4740000000000002</v>
          </cell>
          <cell r="C2729">
            <v>10.499534246575342</v>
          </cell>
        </row>
        <row r="2730">
          <cell r="B2730">
            <v>7.4767000000000001</v>
          </cell>
          <cell r="C2730">
            <v>10.500109589041095</v>
          </cell>
        </row>
        <row r="2731">
          <cell r="B2731">
            <v>7.4794999999999998</v>
          </cell>
          <cell r="C2731">
            <v>10.50068493150685</v>
          </cell>
        </row>
        <row r="2732">
          <cell r="B2732">
            <v>7.4821999999999997</v>
          </cell>
          <cell r="C2732">
            <v>10.501260273972603</v>
          </cell>
        </row>
        <row r="2733">
          <cell r="B2733">
            <v>7.4848999999999997</v>
          </cell>
          <cell r="C2733">
            <v>10.501835616438356</v>
          </cell>
        </row>
        <row r="2734">
          <cell r="B2734">
            <v>7.4877000000000002</v>
          </cell>
          <cell r="C2734">
            <v>10.502410958904109</v>
          </cell>
        </row>
        <row r="2735">
          <cell r="B2735">
            <v>7.4904000000000002</v>
          </cell>
          <cell r="C2735">
            <v>10.502986301369862</v>
          </cell>
        </row>
        <row r="2736">
          <cell r="B2736">
            <v>7.4931999999999999</v>
          </cell>
          <cell r="C2736">
            <v>10.503561643835617</v>
          </cell>
        </row>
        <row r="2737">
          <cell r="B2737">
            <v>7.4958999999999998</v>
          </cell>
          <cell r="C2737">
            <v>10.50413698630137</v>
          </cell>
        </row>
        <row r="2738">
          <cell r="B2738">
            <v>7.4985999999999997</v>
          </cell>
          <cell r="C2738">
            <v>10.504712328767123</v>
          </cell>
        </row>
        <row r="2739">
          <cell r="B2739">
            <v>7.5014000000000003</v>
          </cell>
          <cell r="C2739">
            <v>10.505287671232876</v>
          </cell>
        </row>
        <row r="2740">
          <cell r="B2740">
            <v>7.5041000000000002</v>
          </cell>
          <cell r="C2740">
            <v>10.50586301369863</v>
          </cell>
        </row>
        <row r="2741">
          <cell r="B2741">
            <v>7.5068000000000001</v>
          </cell>
          <cell r="C2741">
            <v>10.506438356164383</v>
          </cell>
        </row>
        <row r="2742">
          <cell r="B2742">
            <v>7.5095999999999998</v>
          </cell>
          <cell r="C2742">
            <v>10.507013698630137</v>
          </cell>
        </row>
        <row r="2743">
          <cell r="B2743">
            <v>7.5122999999999998</v>
          </cell>
          <cell r="C2743">
            <v>10.507589041095891</v>
          </cell>
        </row>
        <row r="2744">
          <cell r="B2744">
            <v>7.5151000000000003</v>
          </cell>
          <cell r="C2744">
            <v>10.508164383561644</v>
          </cell>
        </row>
        <row r="2745">
          <cell r="B2745">
            <v>7.5178000000000003</v>
          </cell>
          <cell r="C2745">
            <v>10.508739726027397</v>
          </cell>
        </row>
        <row r="2746">
          <cell r="B2746">
            <v>7.5205000000000002</v>
          </cell>
          <cell r="C2746">
            <v>10.50931506849315</v>
          </cell>
        </row>
        <row r="2747">
          <cell r="B2747">
            <v>7.5232999999999999</v>
          </cell>
          <cell r="C2747">
            <v>10.509890410958905</v>
          </cell>
        </row>
        <row r="2748">
          <cell r="B2748">
            <v>7.5259999999999998</v>
          </cell>
          <cell r="C2748">
            <v>10.510465753424658</v>
          </cell>
        </row>
        <row r="2749">
          <cell r="B2749">
            <v>7.5288000000000004</v>
          </cell>
          <cell r="C2749">
            <v>10.511041095890411</v>
          </cell>
        </row>
        <row r="2750">
          <cell r="B2750">
            <v>7.5315000000000003</v>
          </cell>
          <cell r="C2750">
            <v>10.511616438356164</v>
          </cell>
        </row>
        <row r="2751">
          <cell r="B2751">
            <v>7.5342000000000002</v>
          </cell>
          <cell r="C2751">
            <v>10.512191780821917</v>
          </cell>
        </row>
        <row r="2752">
          <cell r="B2752">
            <v>7.5369999999999999</v>
          </cell>
          <cell r="C2752">
            <v>10.512767123287672</v>
          </cell>
        </row>
        <row r="2753">
          <cell r="B2753">
            <v>7.5396999999999998</v>
          </cell>
          <cell r="C2753">
            <v>10.513342465753425</v>
          </cell>
        </row>
        <row r="2754">
          <cell r="B2754">
            <v>7.5425000000000004</v>
          </cell>
          <cell r="C2754">
            <v>10.513917808219178</v>
          </cell>
        </row>
        <row r="2755">
          <cell r="B2755">
            <v>7.5452000000000004</v>
          </cell>
          <cell r="C2755">
            <v>10.514493150684931</v>
          </cell>
        </row>
        <row r="2756">
          <cell r="B2756">
            <v>7.5479000000000003</v>
          </cell>
          <cell r="C2756">
            <v>10.515068493150684</v>
          </cell>
        </row>
        <row r="2757">
          <cell r="B2757">
            <v>7.5507</v>
          </cell>
          <cell r="C2757">
            <v>10.515643835616439</v>
          </cell>
        </row>
        <row r="2758">
          <cell r="B2758">
            <v>7.5533999999999999</v>
          </cell>
          <cell r="C2758">
            <v>10.516219178082192</v>
          </cell>
        </row>
        <row r="2759">
          <cell r="B2759">
            <v>7.5561999999999996</v>
          </cell>
          <cell r="C2759">
            <v>10.516794520547945</v>
          </cell>
        </row>
        <row r="2760">
          <cell r="B2760">
            <v>7.5589000000000004</v>
          </cell>
          <cell r="C2760">
            <v>10.517369863013698</v>
          </cell>
        </row>
        <row r="2761">
          <cell r="B2761">
            <v>7.5616000000000003</v>
          </cell>
          <cell r="C2761">
            <v>10.517945205479451</v>
          </cell>
        </row>
        <row r="2762">
          <cell r="B2762">
            <v>7.5644</v>
          </cell>
          <cell r="C2762">
            <v>10.518520547945206</v>
          </cell>
        </row>
        <row r="2763">
          <cell r="B2763">
            <v>7.5670999999999999</v>
          </cell>
          <cell r="C2763">
            <v>10.519095890410959</v>
          </cell>
        </row>
        <row r="2764">
          <cell r="B2764">
            <v>7.5698999999999996</v>
          </cell>
          <cell r="C2764">
            <v>10.519671232876712</v>
          </cell>
        </row>
        <row r="2765">
          <cell r="B2765">
            <v>7.5726000000000004</v>
          </cell>
          <cell r="C2765">
            <v>10.520246575342465</v>
          </cell>
        </row>
        <row r="2766">
          <cell r="B2766">
            <v>7.5753000000000004</v>
          </cell>
          <cell r="C2766">
            <v>10.520821917808219</v>
          </cell>
        </row>
        <row r="2767">
          <cell r="B2767">
            <v>7.5781000000000001</v>
          </cell>
          <cell r="C2767">
            <v>10.521397260273972</v>
          </cell>
        </row>
        <row r="2768">
          <cell r="B2768">
            <v>7.5808</v>
          </cell>
          <cell r="C2768">
            <v>10.521972602739726</v>
          </cell>
        </row>
        <row r="2769">
          <cell r="B2769">
            <v>7.5835999999999997</v>
          </cell>
          <cell r="C2769">
            <v>10.52254794520548</v>
          </cell>
        </row>
        <row r="2770">
          <cell r="B2770">
            <v>7.5862999999999996</v>
          </cell>
          <cell r="C2770">
            <v>10.523123287671233</v>
          </cell>
        </row>
        <row r="2771">
          <cell r="B2771">
            <v>7.5890000000000004</v>
          </cell>
          <cell r="C2771">
            <v>10.523698630136986</v>
          </cell>
        </row>
        <row r="2772">
          <cell r="B2772">
            <v>7.5918000000000001</v>
          </cell>
          <cell r="C2772">
            <v>10.524273972602739</v>
          </cell>
        </row>
        <row r="2773">
          <cell r="B2773">
            <v>7.5945</v>
          </cell>
          <cell r="C2773">
            <v>10.524849315068494</v>
          </cell>
        </row>
        <row r="2774">
          <cell r="B2774">
            <v>7.5972999999999997</v>
          </cell>
          <cell r="C2774">
            <v>10.525424657534247</v>
          </cell>
        </row>
        <row r="2775">
          <cell r="B2775">
            <v>7.6</v>
          </cell>
          <cell r="C2775">
            <v>10.526</v>
          </cell>
        </row>
        <row r="2776">
          <cell r="B2776">
            <v>7.6026999999999996</v>
          </cell>
          <cell r="C2776">
            <v>10.526575342465753</v>
          </cell>
        </row>
        <row r="2777">
          <cell r="B2777">
            <v>7.6055000000000001</v>
          </cell>
          <cell r="C2777">
            <v>10.527150684931506</v>
          </cell>
        </row>
        <row r="2778">
          <cell r="B2778">
            <v>7.6082000000000001</v>
          </cell>
          <cell r="C2778">
            <v>10.527726027397261</v>
          </cell>
        </row>
        <row r="2779">
          <cell r="B2779">
            <v>7.6109999999999998</v>
          </cell>
          <cell r="C2779">
            <v>10.528301369863014</v>
          </cell>
        </row>
        <row r="2780">
          <cell r="B2780">
            <v>7.6136999999999997</v>
          </cell>
          <cell r="C2780">
            <v>10.528876712328767</v>
          </cell>
        </row>
        <row r="2781">
          <cell r="B2781">
            <v>7.6163999999999996</v>
          </cell>
          <cell r="C2781">
            <v>10.52945205479452</v>
          </cell>
        </row>
        <row r="2782">
          <cell r="B2782">
            <v>7.6192000000000002</v>
          </cell>
          <cell r="C2782">
            <v>10.530027397260273</v>
          </cell>
        </row>
        <row r="2783">
          <cell r="B2783">
            <v>7.6219000000000001</v>
          </cell>
          <cell r="C2783">
            <v>10.530602739726028</v>
          </cell>
        </row>
        <row r="2784">
          <cell r="B2784">
            <v>7.6246999999999998</v>
          </cell>
          <cell r="C2784">
            <v>10.531178082191781</v>
          </cell>
        </row>
        <row r="2785">
          <cell r="B2785">
            <v>7.6273999999999997</v>
          </cell>
          <cell r="C2785">
            <v>10.531753424657534</v>
          </cell>
        </row>
        <row r="2786">
          <cell r="B2786">
            <v>7.6300999999999997</v>
          </cell>
          <cell r="C2786">
            <v>10.532328767123287</v>
          </cell>
        </row>
        <row r="2787">
          <cell r="B2787">
            <v>7.6329000000000002</v>
          </cell>
          <cell r="C2787">
            <v>10.53290410958904</v>
          </cell>
        </row>
        <row r="2788">
          <cell r="B2788">
            <v>7.6356000000000002</v>
          </cell>
          <cell r="C2788">
            <v>10.533479452054793</v>
          </cell>
        </row>
        <row r="2789">
          <cell r="B2789">
            <v>7.6383999999999999</v>
          </cell>
          <cell r="C2789">
            <v>10.534054794520548</v>
          </cell>
        </row>
        <row r="2790">
          <cell r="B2790">
            <v>7.6410999999999998</v>
          </cell>
          <cell r="C2790">
            <v>10.534630136986301</v>
          </cell>
        </row>
        <row r="2791">
          <cell r="B2791">
            <v>7.6437999999999997</v>
          </cell>
          <cell r="C2791">
            <v>10.535205479452054</v>
          </cell>
        </row>
        <row r="2792">
          <cell r="B2792">
            <v>7.6466000000000003</v>
          </cell>
          <cell r="C2792">
            <v>10.535780821917808</v>
          </cell>
        </row>
        <row r="2793">
          <cell r="B2793">
            <v>7.6493000000000002</v>
          </cell>
          <cell r="C2793">
            <v>10.536356164383561</v>
          </cell>
        </row>
        <row r="2794">
          <cell r="B2794">
            <v>7.6520999999999999</v>
          </cell>
          <cell r="C2794">
            <v>10.536931506849315</v>
          </cell>
        </row>
        <row r="2795">
          <cell r="B2795">
            <v>7.6547999999999998</v>
          </cell>
          <cell r="C2795">
            <v>10.537506849315069</v>
          </cell>
        </row>
        <row r="2796">
          <cell r="B2796">
            <v>7.6574999999999998</v>
          </cell>
          <cell r="C2796">
            <v>10.538082191780822</v>
          </cell>
        </row>
        <row r="2797">
          <cell r="B2797">
            <v>7.6603000000000003</v>
          </cell>
          <cell r="C2797">
            <v>10.538657534246575</v>
          </cell>
        </row>
        <row r="2798">
          <cell r="B2798">
            <v>7.6630000000000003</v>
          </cell>
          <cell r="C2798">
            <v>10.539232876712328</v>
          </cell>
        </row>
        <row r="2799">
          <cell r="B2799">
            <v>7.6657999999999999</v>
          </cell>
          <cell r="C2799">
            <v>10.539808219178083</v>
          </cell>
        </row>
        <row r="2800">
          <cell r="B2800">
            <v>7.6684999999999999</v>
          </cell>
          <cell r="C2800">
            <v>10.540383561643836</v>
          </cell>
        </row>
        <row r="2801">
          <cell r="B2801">
            <v>7.6711999999999998</v>
          </cell>
          <cell r="C2801">
            <v>10.540958904109589</v>
          </cell>
        </row>
        <row r="2802">
          <cell r="B2802">
            <v>7.6740000000000004</v>
          </cell>
          <cell r="C2802">
            <v>10.541534246575342</v>
          </cell>
        </row>
        <row r="2803">
          <cell r="B2803">
            <v>7.6767000000000003</v>
          </cell>
          <cell r="C2803">
            <v>10.542109589041095</v>
          </cell>
        </row>
        <row r="2804">
          <cell r="B2804">
            <v>7.6795</v>
          </cell>
          <cell r="C2804">
            <v>10.54268493150685</v>
          </cell>
        </row>
        <row r="2805">
          <cell r="B2805">
            <v>7.6821999999999999</v>
          </cell>
          <cell r="C2805">
            <v>10.543260273972603</v>
          </cell>
        </row>
        <row r="2806">
          <cell r="B2806">
            <v>7.6848999999999998</v>
          </cell>
          <cell r="C2806">
            <v>10.543835616438356</v>
          </cell>
        </row>
        <row r="2807">
          <cell r="B2807">
            <v>7.6877000000000004</v>
          </cell>
          <cell r="C2807">
            <v>10.544410958904109</v>
          </cell>
        </row>
        <row r="2808">
          <cell r="B2808">
            <v>7.6904000000000003</v>
          </cell>
          <cell r="C2808">
            <v>10.544986301369862</v>
          </cell>
        </row>
        <row r="2809">
          <cell r="B2809">
            <v>7.6932</v>
          </cell>
          <cell r="C2809">
            <v>10.545561643835617</v>
          </cell>
        </row>
        <row r="2810">
          <cell r="B2810">
            <v>7.6959</v>
          </cell>
          <cell r="C2810">
            <v>10.54613698630137</v>
          </cell>
        </row>
        <row r="2811">
          <cell r="B2811">
            <v>7.6985999999999999</v>
          </cell>
          <cell r="C2811">
            <v>10.546712328767123</v>
          </cell>
        </row>
        <row r="2812">
          <cell r="B2812">
            <v>7.7013999999999996</v>
          </cell>
          <cell r="C2812">
            <v>10.547287671232876</v>
          </cell>
        </row>
        <row r="2813">
          <cell r="B2813">
            <v>7.7041000000000004</v>
          </cell>
          <cell r="C2813">
            <v>10.547863013698629</v>
          </cell>
        </row>
        <row r="2814">
          <cell r="B2814">
            <v>7.7068000000000003</v>
          </cell>
          <cell r="C2814">
            <v>10.548438356164382</v>
          </cell>
        </row>
        <row r="2815">
          <cell r="B2815">
            <v>7.7096</v>
          </cell>
          <cell r="C2815">
            <v>10.549013698630137</v>
          </cell>
        </row>
        <row r="2816">
          <cell r="B2816">
            <v>7.7122999999999999</v>
          </cell>
          <cell r="C2816">
            <v>10.54958904109589</v>
          </cell>
        </row>
        <row r="2817">
          <cell r="B2817">
            <v>7.7150999999999996</v>
          </cell>
          <cell r="C2817">
            <v>10.550164383561643</v>
          </cell>
        </row>
        <row r="2818">
          <cell r="B2818">
            <v>7.7178000000000004</v>
          </cell>
          <cell r="C2818">
            <v>10.550739726027397</v>
          </cell>
        </row>
        <row r="2819">
          <cell r="B2819">
            <v>7.7205000000000004</v>
          </cell>
          <cell r="C2819">
            <v>10.55131506849315</v>
          </cell>
        </row>
        <row r="2820">
          <cell r="B2820">
            <v>7.7233000000000001</v>
          </cell>
          <cell r="C2820">
            <v>10.551890410958904</v>
          </cell>
        </row>
        <row r="2821">
          <cell r="B2821">
            <v>7.726</v>
          </cell>
          <cell r="C2821">
            <v>10.552465753424658</v>
          </cell>
        </row>
        <row r="2822">
          <cell r="B2822">
            <v>7.7287999999999997</v>
          </cell>
          <cell r="C2822">
            <v>10.553041095890411</v>
          </cell>
        </row>
        <row r="2823">
          <cell r="B2823">
            <v>7.7314999999999996</v>
          </cell>
          <cell r="C2823">
            <v>10.553616438356164</v>
          </cell>
        </row>
        <row r="2824">
          <cell r="B2824">
            <v>7.7342000000000004</v>
          </cell>
          <cell r="C2824">
            <v>10.554191780821917</v>
          </cell>
        </row>
        <row r="2825">
          <cell r="B2825">
            <v>7.7370000000000001</v>
          </cell>
          <cell r="C2825">
            <v>10.554767123287672</v>
          </cell>
        </row>
        <row r="2826">
          <cell r="B2826">
            <v>7.7397</v>
          </cell>
          <cell r="C2826">
            <v>10.555342465753425</v>
          </cell>
        </row>
        <row r="2827">
          <cell r="B2827">
            <v>7.7424999999999997</v>
          </cell>
          <cell r="C2827">
            <v>10.555917808219178</v>
          </cell>
        </row>
        <row r="2828">
          <cell r="B2828">
            <v>7.7451999999999996</v>
          </cell>
          <cell r="C2828">
            <v>10.556493150684931</v>
          </cell>
        </row>
        <row r="2829">
          <cell r="B2829">
            <v>7.7478999999999996</v>
          </cell>
          <cell r="C2829">
            <v>10.557068493150684</v>
          </cell>
        </row>
        <row r="2830">
          <cell r="B2830">
            <v>7.7507000000000001</v>
          </cell>
          <cell r="C2830">
            <v>10.557643835616439</v>
          </cell>
        </row>
        <row r="2831">
          <cell r="B2831">
            <v>7.7534000000000001</v>
          </cell>
          <cell r="C2831">
            <v>10.558219178082192</v>
          </cell>
        </row>
        <row r="2832">
          <cell r="B2832">
            <v>7.7561999999999998</v>
          </cell>
          <cell r="C2832">
            <v>10.558794520547945</v>
          </cell>
        </row>
        <row r="2833">
          <cell r="B2833">
            <v>7.7588999999999997</v>
          </cell>
          <cell r="C2833">
            <v>10.559369863013698</v>
          </cell>
        </row>
        <row r="2834">
          <cell r="B2834">
            <v>7.7615999999999996</v>
          </cell>
          <cell r="C2834">
            <v>10.559945205479451</v>
          </cell>
        </row>
        <row r="2835">
          <cell r="B2835">
            <v>7.7644000000000002</v>
          </cell>
          <cell r="C2835">
            <v>10.560520547945206</v>
          </cell>
        </row>
        <row r="2836">
          <cell r="B2836">
            <v>7.7671000000000001</v>
          </cell>
          <cell r="C2836">
            <v>10.561095890410959</v>
          </cell>
        </row>
        <row r="2837">
          <cell r="B2837">
            <v>7.7698999999999998</v>
          </cell>
          <cell r="C2837">
            <v>10.561671232876712</v>
          </cell>
        </row>
        <row r="2838">
          <cell r="B2838">
            <v>7.7725999999999997</v>
          </cell>
          <cell r="C2838">
            <v>10.562246575342465</v>
          </cell>
        </row>
        <row r="2839">
          <cell r="B2839">
            <v>7.7752999999999997</v>
          </cell>
          <cell r="C2839">
            <v>10.562821917808218</v>
          </cell>
        </row>
        <row r="2840">
          <cell r="B2840">
            <v>7.7781000000000002</v>
          </cell>
          <cell r="C2840">
            <v>10.563397260273971</v>
          </cell>
        </row>
        <row r="2841">
          <cell r="B2841">
            <v>7.7808000000000002</v>
          </cell>
          <cell r="C2841">
            <v>10.563972602739726</v>
          </cell>
        </row>
        <row r="2842">
          <cell r="B2842">
            <v>7.7835999999999999</v>
          </cell>
          <cell r="C2842">
            <v>10.564547945205479</v>
          </cell>
        </row>
        <row r="2843">
          <cell r="B2843">
            <v>7.7862999999999998</v>
          </cell>
          <cell r="C2843">
            <v>10.565123287671232</v>
          </cell>
        </row>
        <row r="2844">
          <cell r="B2844">
            <v>7.7889999999999997</v>
          </cell>
          <cell r="C2844">
            <v>10.565698630136986</v>
          </cell>
        </row>
        <row r="2845">
          <cell r="B2845">
            <v>7.7918000000000003</v>
          </cell>
          <cell r="C2845">
            <v>10.566273972602739</v>
          </cell>
        </row>
        <row r="2846">
          <cell r="B2846">
            <v>7.7945000000000002</v>
          </cell>
          <cell r="C2846">
            <v>10.566849315068493</v>
          </cell>
        </row>
        <row r="2847">
          <cell r="B2847">
            <v>7.7972999999999999</v>
          </cell>
          <cell r="C2847">
            <v>10.567424657534247</v>
          </cell>
        </row>
        <row r="2848">
          <cell r="B2848">
            <v>7.8</v>
          </cell>
          <cell r="C2848">
            <v>10.568</v>
          </cell>
        </row>
        <row r="2849">
          <cell r="B2849">
            <v>7.8026999999999997</v>
          </cell>
          <cell r="C2849">
            <v>10.568575342465753</v>
          </cell>
        </row>
        <row r="2850">
          <cell r="B2850">
            <v>7.8055000000000003</v>
          </cell>
          <cell r="C2850">
            <v>10.569150684931506</v>
          </cell>
        </row>
        <row r="2851">
          <cell r="B2851">
            <v>7.8082000000000003</v>
          </cell>
          <cell r="C2851">
            <v>10.569726027397261</v>
          </cell>
        </row>
        <row r="2852">
          <cell r="B2852">
            <v>7.8109999999999999</v>
          </cell>
          <cell r="C2852">
            <v>10.570301369863014</v>
          </cell>
        </row>
        <row r="2853">
          <cell r="B2853">
            <v>7.8136999999999999</v>
          </cell>
          <cell r="C2853">
            <v>10.570876712328767</v>
          </cell>
        </row>
        <row r="2854">
          <cell r="B2854">
            <v>7.8163999999999998</v>
          </cell>
          <cell r="C2854">
            <v>10.57145205479452</v>
          </cell>
        </row>
        <row r="2855">
          <cell r="B2855">
            <v>7.8192000000000004</v>
          </cell>
          <cell r="C2855">
            <v>10.572027397260273</v>
          </cell>
        </row>
        <row r="2856">
          <cell r="B2856">
            <v>7.8219000000000003</v>
          </cell>
          <cell r="C2856">
            <v>10.572602739726028</v>
          </cell>
        </row>
        <row r="2857">
          <cell r="B2857">
            <v>7.8247</v>
          </cell>
          <cell r="C2857">
            <v>10.573178082191781</v>
          </cell>
        </row>
        <row r="2858">
          <cell r="B2858">
            <v>7.8273999999999999</v>
          </cell>
          <cell r="C2858">
            <v>10.573753424657534</v>
          </cell>
        </row>
        <row r="2859">
          <cell r="B2859">
            <v>7.8300999999999998</v>
          </cell>
          <cell r="C2859">
            <v>10.574328767123287</v>
          </cell>
        </row>
        <row r="2860">
          <cell r="B2860">
            <v>7.8329000000000004</v>
          </cell>
          <cell r="C2860">
            <v>10.57490410958904</v>
          </cell>
        </row>
        <row r="2861">
          <cell r="B2861">
            <v>7.8356000000000003</v>
          </cell>
          <cell r="C2861">
            <v>10.575479452054793</v>
          </cell>
        </row>
        <row r="2862">
          <cell r="B2862">
            <v>7.8384</v>
          </cell>
          <cell r="C2862">
            <v>10.576054794520548</v>
          </cell>
        </row>
        <row r="2863">
          <cell r="B2863">
            <v>7.8411</v>
          </cell>
          <cell r="C2863">
            <v>10.576630136986301</v>
          </cell>
        </row>
        <row r="2864">
          <cell r="B2864">
            <v>7.8437999999999999</v>
          </cell>
          <cell r="C2864">
            <v>10.577205479452054</v>
          </cell>
        </row>
        <row r="2865">
          <cell r="B2865">
            <v>7.8465999999999996</v>
          </cell>
          <cell r="C2865">
            <v>10.577780821917807</v>
          </cell>
        </row>
        <row r="2866">
          <cell r="B2866">
            <v>7.8493000000000004</v>
          </cell>
          <cell r="C2866">
            <v>10.57835616438356</v>
          </cell>
        </row>
        <row r="2867">
          <cell r="B2867">
            <v>7.8521000000000001</v>
          </cell>
          <cell r="C2867">
            <v>10.578931506849315</v>
          </cell>
        </row>
        <row r="2868">
          <cell r="B2868">
            <v>7.8548</v>
          </cell>
          <cell r="C2868">
            <v>10.579506849315068</v>
          </cell>
        </row>
        <row r="2869">
          <cell r="B2869">
            <v>7.8574999999999999</v>
          </cell>
          <cell r="C2869">
            <v>10.580082191780821</v>
          </cell>
        </row>
        <row r="2870">
          <cell r="B2870">
            <v>7.8602999999999996</v>
          </cell>
          <cell r="C2870">
            <v>10.580657534246575</v>
          </cell>
        </row>
        <row r="2871">
          <cell r="B2871">
            <v>7.8630000000000004</v>
          </cell>
          <cell r="C2871">
            <v>10.581232876712328</v>
          </cell>
        </row>
        <row r="2872">
          <cell r="B2872">
            <v>7.8658000000000001</v>
          </cell>
          <cell r="C2872">
            <v>10.581808219178082</v>
          </cell>
        </row>
        <row r="2873">
          <cell r="B2873">
            <v>7.8685</v>
          </cell>
          <cell r="C2873">
            <v>10.582383561643836</v>
          </cell>
        </row>
        <row r="2874">
          <cell r="B2874">
            <v>7.8712</v>
          </cell>
          <cell r="C2874">
            <v>10.582958904109589</v>
          </cell>
        </row>
        <row r="2875">
          <cell r="B2875">
            <v>7.8739999999999997</v>
          </cell>
          <cell r="C2875">
            <v>10.583534246575342</v>
          </cell>
        </row>
        <row r="2876">
          <cell r="B2876">
            <v>7.8766999999999996</v>
          </cell>
          <cell r="C2876">
            <v>10.584109589041095</v>
          </cell>
        </row>
        <row r="2877">
          <cell r="B2877">
            <v>7.8795000000000002</v>
          </cell>
          <cell r="C2877">
            <v>10.58468493150685</v>
          </cell>
        </row>
        <row r="2878">
          <cell r="B2878">
            <v>7.8822000000000001</v>
          </cell>
          <cell r="C2878">
            <v>10.585260273972603</v>
          </cell>
        </row>
        <row r="2879">
          <cell r="B2879">
            <v>7.8849</v>
          </cell>
          <cell r="C2879">
            <v>10.585835616438356</v>
          </cell>
        </row>
        <row r="2880">
          <cell r="B2880">
            <v>7.8876999999999997</v>
          </cell>
          <cell r="C2880">
            <v>10.586410958904109</v>
          </cell>
        </row>
        <row r="2881">
          <cell r="B2881">
            <v>7.8903999999999996</v>
          </cell>
          <cell r="C2881">
            <v>10.586986301369862</v>
          </cell>
        </row>
        <row r="2882">
          <cell r="B2882">
            <v>7.8932000000000002</v>
          </cell>
          <cell r="C2882">
            <v>10.587561643835617</v>
          </cell>
        </row>
        <row r="2883">
          <cell r="B2883">
            <v>7.8959000000000001</v>
          </cell>
          <cell r="C2883">
            <v>10.58813698630137</v>
          </cell>
        </row>
        <row r="2884">
          <cell r="B2884">
            <v>7.8986000000000001</v>
          </cell>
          <cell r="C2884">
            <v>10.588712328767123</v>
          </cell>
        </row>
        <row r="2885">
          <cell r="B2885">
            <v>7.9013999999999998</v>
          </cell>
          <cell r="C2885">
            <v>10.589287671232876</v>
          </cell>
        </row>
        <row r="2886">
          <cell r="B2886">
            <v>7.9040999999999997</v>
          </cell>
          <cell r="C2886">
            <v>10.589863013698629</v>
          </cell>
        </row>
        <row r="2887">
          <cell r="B2887">
            <v>7.9067999999999996</v>
          </cell>
          <cell r="C2887">
            <v>10.590438356164382</v>
          </cell>
        </row>
        <row r="2888">
          <cell r="B2888">
            <v>7.9096000000000002</v>
          </cell>
          <cell r="C2888">
            <v>10.591013698630137</v>
          </cell>
        </row>
        <row r="2889">
          <cell r="B2889">
            <v>7.9123000000000001</v>
          </cell>
          <cell r="C2889">
            <v>10.59158904109589</v>
          </cell>
        </row>
        <row r="2890">
          <cell r="B2890">
            <v>7.9150999999999998</v>
          </cell>
          <cell r="C2890">
            <v>10.592164383561643</v>
          </cell>
        </row>
        <row r="2891">
          <cell r="B2891">
            <v>7.9177999999999997</v>
          </cell>
          <cell r="C2891">
            <v>10.592739726027396</v>
          </cell>
        </row>
        <row r="2892">
          <cell r="B2892">
            <v>7.9204999999999997</v>
          </cell>
          <cell r="C2892">
            <v>10.593315068493149</v>
          </cell>
        </row>
        <row r="2893">
          <cell r="B2893">
            <v>7.9233000000000002</v>
          </cell>
          <cell r="C2893">
            <v>10.593890410958904</v>
          </cell>
        </row>
        <row r="2894">
          <cell r="B2894">
            <v>7.9260000000000002</v>
          </cell>
          <cell r="C2894">
            <v>10.594465753424657</v>
          </cell>
        </row>
        <row r="2895">
          <cell r="B2895">
            <v>7.9287999999999998</v>
          </cell>
          <cell r="C2895">
            <v>10.59504109589041</v>
          </cell>
        </row>
        <row r="2896">
          <cell r="B2896">
            <v>7.9314999999999998</v>
          </cell>
          <cell r="C2896">
            <v>10.595616438356164</v>
          </cell>
        </row>
        <row r="2897">
          <cell r="B2897">
            <v>7.9341999999999997</v>
          </cell>
          <cell r="C2897">
            <v>10.596191780821917</v>
          </cell>
        </row>
        <row r="2898">
          <cell r="B2898">
            <v>7.9370000000000003</v>
          </cell>
          <cell r="C2898">
            <v>10.596767123287671</v>
          </cell>
        </row>
        <row r="2899">
          <cell r="B2899">
            <v>7.9397000000000002</v>
          </cell>
          <cell r="C2899">
            <v>10.597342465753425</v>
          </cell>
        </row>
        <row r="2900">
          <cell r="B2900">
            <v>7.9424999999999999</v>
          </cell>
          <cell r="C2900">
            <v>10.597917808219178</v>
          </cell>
        </row>
        <row r="2901">
          <cell r="B2901">
            <v>7.9451999999999998</v>
          </cell>
          <cell r="C2901">
            <v>10.598493150684931</v>
          </cell>
        </row>
        <row r="2902">
          <cell r="B2902">
            <v>7.9478999999999997</v>
          </cell>
          <cell r="C2902">
            <v>10.599068493150684</v>
          </cell>
        </row>
        <row r="2903">
          <cell r="B2903">
            <v>7.9507000000000003</v>
          </cell>
          <cell r="C2903">
            <v>10.599643835616439</v>
          </cell>
        </row>
        <row r="2904">
          <cell r="B2904">
            <v>7.9534000000000002</v>
          </cell>
          <cell r="C2904">
            <v>10.600219178082192</v>
          </cell>
        </row>
        <row r="2905">
          <cell r="B2905">
            <v>7.9561999999999999</v>
          </cell>
          <cell r="C2905">
            <v>10.600794520547945</v>
          </cell>
        </row>
        <row r="2906">
          <cell r="B2906">
            <v>7.9588999999999999</v>
          </cell>
          <cell r="C2906">
            <v>10.601369863013698</v>
          </cell>
        </row>
        <row r="2907">
          <cell r="B2907">
            <v>7.9615999999999998</v>
          </cell>
          <cell r="C2907">
            <v>10.601945205479451</v>
          </cell>
        </row>
        <row r="2908">
          <cell r="B2908">
            <v>7.9644000000000004</v>
          </cell>
          <cell r="C2908">
            <v>10.602520547945204</v>
          </cell>
        </row>
        <row r="2909">
          <cell r="B2909">
            <v>7.9671000000000003</v>
          </cell>
          <cell r="C2909">
            <v>10.603095890410959</v>
          </cell>
        </row>
        <row r="2910">
          <cell r="B2910">
            <v>7.9699</v>
          </cell>
          <cell r="C2910">
            <v>10.603671232876712</v>
          </cell>
        </row>
        <row r="2911">
          <cell r="B2911">
            <v>7.9725999999999999</v>
          </cell>
          <cell r="C2911">
            <v>10.604246575342465</v>
          </cell>
        </row>
        <row r="2912">
          <cell r="B2912">
            <v>7.9752999999999998</v>
          </cell>
          <cell r="C2912">
            <v>10.604821917808218</v>
          </cell>
        </row>
        <row r="2913">
          <cell r="B2913">
            <v>7.9781000000000004</v>
          </cell>
          <cell r="C2913">
            <v>10.605397260273971</v>
          </cell>
        </row>
        <row r="2914">
          <cell r="B2914">
            <v>7.9808000000000003</v>
          </cell>
          <cell r="C2914">
            <v>10.605972602739726</v>
          </cell>
        </row>
        <row r="2915">
          <cell r="B2915">
            <v>7.9836</v>
          </cell>
          <cell r="C2915">
            <v>10.606547945205479</v>
          </cell>
        </row>
        <row r="2916">
          <cell r="B2916">
            <v>7.9863</v>
          </cell>
          <cell r="C2916">
            <v>10.607123287671232</v>
          </cell>
        </row>
        <row r="2917">
          <cell r="B2917">
            <v>7.9889999999999999</v>
          </cell>
          <cell r="C2917">
            <v>10.607698630136985</v>
          </cell>
        </row>
        <row r="2918">
          <cell r="B2918">
            <v>7.9917999999999996</v>
          </cell>
          <cell r="C2918">
            <v>10.608273972602738</v>
          </cell>
        </row>
        <row r="2919">
          <cell r="B2919">
            <v>7.9945000000000004</v>
          </cell>
          <cell r="C2919">
            <v>10.608849315068493</v>
          </cell>
        </row>
        <row r="2920">
          <cell r="B2920">
            <v>7.9973000000000001</v>
          </cell>
          <cell r="C2920">
            <v>10.609424657534246</v>
          </cell>
        </row>
        <row r="2921">
          <cell r="B2921">
            <v>8</v>
          </cell>
          <cell r="C2921">
            <v>10.61</v>
          </cell>
        </row>
        <row r="2922">
          <cell r="B2922">
            <v>8.0027000000000008</v>
          </cell>
          <cell r="C2922">
            <v>10.610246575342465</v>
          </cell>
        </row>
        <row r="2923">
          <cell r="B2923">
            <v>8.0054999999999996</v>
          </cell>
          <cell r="C2923">
            <v>10.610493150684931</v>
          </cell>
        </row>
        <row r="2924">
          <cell r="B2924">
            <v>8.0082000000000004</v>
          </cell>
          <cell r="C2924">
            <v>10.610739726027397</v>
          </cell>
        </row>
        <row r="2925">
          <cell r="B2925">
            <v>8.0109999999999992</v>
          </cell>
          <cell r="C2925">
            <v>10.610986301369863</v>
          </cell>
        </row>
        <row r="2926">
          <cell r="B2926">
            <v>8.0137</v>
          </cell>
          <cell r="C2926">
            <v>10.611232876712329</v>
          </cell>
        </row>
        <row r="2927">
          <cell r="B2927">
            <v>8.0164000000000009</v>
          </cell>
          <cell r="C2927">
            <v>10.611479452054795</v>
          </cell>
        </row>
        <row r="2928">
          <cell r="B2928">
            <v>8.0191999999999997</v>
          </cell>
          <cell r="C2928">
            <v>10.61172602739726</v>
          </cell>
        </row>
        <row r="2929">
          <cell r="B2929">
            <v>8.0219000000000005</v>
          </cell>
          <cell r="C2929">
            <v>10.611972602739726</v>
          </cell>
        </row>
        <row r="2930">
          <cell r="B2930">
            <v>8.0246999999999993</v>
          </cell>
          <cell r="C2930">
            <v>10.61221917808219</v>
          </cell>
        </row>
        <row r="2931">
          <cell r="B2931">
            <v>8.0274000000000001</v>
          </cell>
          <cell r="C2931">
            <v>10.612465753424656</v>
          </cell>
        </row>
        <row r="2932">
          <cell r="B2932">
            <v>8.0300999999999991</v>
          </cell>
          <cell r="C2932">
            <v>10.612712328767122</v>
          </cell>
        </row>
        <row r="2933">
          <cell r="B2933">
            <v>8.0328999999999997</v>
          </cell>
          <cell r="C2933">
            <v>10.612958904109588</v>
          </cell>
        </row>
        <row r="2934">
          <cell r="B2934">
            <v>8.0356000000000005</v>
          </cell>
          <cell r="C2934">
            <v>10.613205479452054</v>
          </cell>
        </row>
        <row r="2935">
          <cell r="B2935">
            <v>8.0383999999999993</v>
          </cell>
          <cell r="C2935">
            <v>10.61345205479452</v>
          </cell>
        </row>
        <row r="2936">
          <cell r="B2936">
            <v>8.0411000000000001</v>
          </cell>
          <cell r="C2936">
            <v>10.613698630136986</v>
          </cell>
        </row>
        <row r="2937">
          <cell r="B2937">
            <v>8.0437999999999992</v>
          </cell>
          <cell r="C2937">
            <v>10.613945205479451</v>
          </cell>
        </row>
        <row r="2938">
          <cell r="B2938">
            <v>8.0465999999999998</v>
          </cell>
          <cell r="C2938">
            <v>10.614191780821917</v>
          </cell>
        </row>
        <row r="2939">
          <cell r="B2939">
            <v>8.0493000000000006</v>
          </cell>
          <cell r="C2939">
            <v>10.614438356164383</v>
          </cell>
        </row>
        <row r="2940">
          <cell r="B2940">
            <v>8.0520999999999994</v>
          </cell>
          <cell r="C2940">
            <v>10.614684931506849</v>
          </cell>
        </row>
        <row r="2941">
          <cell r="B2941">
            <v>8.0548000000000002</v>
          </cell>
          <cell r="C2941">
            <v>10.614931506849315</v>
          </cell>
        </row>
        <row r="2942">
          <cell r="B2942">
            <v>8.0574999999999992</v>
          </cell>
          <cell r="C2942">
            <v>10.615178082191781</v>
          </cell>
        </row>
        <row r="2943">
          <cell r="B2943">
            <v>8.0602999999999998</v>
          </cell>
          <cell r="C2943">
            <v>10.615424657534247</v>
          </cell>
        </row>
        <row r="2944">
          <cell r="B2944">
            <v>8.0630000000000006</v>
          </cell>
          <cell r="C2944">
            <v>10.615671232876712</v>
          </cell>
        </row>
        <row r="2945">
          <cell r="B2945">
            <v>8.0657999999999994</v>
          </cell>
          <cell r="C2945">
            <v>10.615917808219178</v>
          </cell>
        </row>
        <row r="2946">
          <cell r="B2946">
            <v>8.0685000000000002</v>
          </cell>
          <cell r="C2946">
            <v>10.616164383561642</v>
          </cell>
        </row>
        <row r="2947">
          <cell r="B2947">
            <v>8.0711999999999993</v>
          </cell>
          <cell r="C2947">
            <v>10.616410958904108</v>
          </cell>
        </row>
        <row r="2948">
          <cell r="B2948">
            <v>8.0739999999999998</v>
          </cell>
          <cell r="C2948">
            <v>10.616657534246574</v>
          </cell>
        </row>
        <row r="2949">
          <cell r="B2949">
            <v>8.0767000000000007</v>
          </cell>
          <cell r="C2949">
            <v>10.61690410958904</v>
          </cell>
        </row>
        <row r="2950">
          <cell r="B2950">
            <v>8.0794999999999995</v>
          </cell>
          <cell r="C2950">
            <v>10.617150684931506</v>
          </cell>
        </row>
        <row r="2951">
          <cell r="B2951">
            <v>8.0822000000000003</v>
          </cell>
          <cell r="C2951">
            <v>10.617397260273972</v>
          </cell>
        </row>
        <row r="2952">
          <cell r="B2952">
            <v>8.0848999999999993</v>
          </cell>
          <cell r="C2952">
            <v>10.617643835616438</v>
          </cell>
        </row>
        <row r="2953">
          <cell r="B2953">
            <v>8.0876999999999999</v>
          </cell>
          <cell r="C2953">
            <v>10.617890410958903</v>
          </cell>
        </row>
        <row r="2954">
          <cell r="B2954">
            <v>8.0904000000000007</v>
          </cell>
          <cell r="C2954">
            <v>10.618136986301369</v>
          </cell>
        </row>
        <row r="2955">
          <cell r="B2955">
            <v>8.0931999999999995</v>
          </cell>
          <cell r="C2955">
            <v>10.618383561643835</v>
          </cell>
        </row>
        <row r="2956">
          <cell r="B2956">
            <v>8.0959000000000003</v>
          </cell>
          <cell r="C2956">
            <v>10.618630136986301</v>
          </cell>
        </row>
        <row r="2957">
          <cell r="B2957">
            <v>8.0985999999999994</v>
          </cell>
          <cell r="C2957">
            <v>10.618876712328767</v>
          </cell>
        </row>
        <row r="2958">
          <cell r="B2958">
            <v>8.1013999999999999</v>
          </cell>
          <cell r="C2958">
            <v>10.619123287671233</v>
          </cell>
        </row>
        <row r="2959">
          <cell r="B2959">
            <v>8.1041000000000007</v>
          </cell>
          <cell r="C2959">
            <v>10.619369863013699</v>
          </cell>
        </row>
        <row r="2960">
          <cell r="B2960">
            <v>8.1067999999999998</v>
          </cell>
          <cell r="C2960">
            <v>10.619616438356164</v>
          </cell>
        </row>
        <row r="2961">
          <cell r="B2961">
            <v>8.1096000000000004</v>
          </cell>
          <cell r="C2961">
            <v>10.61986301369863</v>
          </cell>
        </row>
        <row r="2962">
          <cell r="B2962">
            <v>8.1122999999999994</v>
          </cell>
          <cell r="C2962">
            <v>10.620109589041096</v>
          </cell>
        </row>
        <row r="2963">
          <cell r="B2963">
            <v>8.1151</v>
          </cell>
          <cell r="C2963">
            <v>10.62035616438356</v>
          </cell>
        </row>
        <row r="2964">
          <cell r="B2964">
            <v>8.1178000000000008</v>
          </cell>
          <cell r="C2964">
            <v>10.620602739726026</v>
          </cell>
        </row>
        <row r="2965">
          <cell r="B2965">
            <v>8.1204999999999998</v>
          </cell>
          <cell r="C2965">
            <v>10.620849315068492</v>
          </cell>
        </row>
        <row r="2966">
          <cell r="B2966">
            <v>8.1233000000000004</v>
          </cell>
          <cell r="C2966">
            <v>10.621095890410958</v>
          </cell>
        </row>
        <row r="2967">
          <cell r="B2967">
            <v>8.1259999999999994</v>
          </cell>
          <cell r="C2967">
            <v>10.621342465753424</v>
          </cell>
        </row>
        <row r="2968">
          <cell r="B2968">
            <v>8.1288</v>
          </cell>
          <cell r="C2968">
            <v>10.62158904109589</v>
          </cell>
        </row>
        <row r="2969">
          <cell r="B2969">
            <v>8.1315000000000008</v>
          </cell>
          <cell r="C2969">
            <v>10.621835616438355</v>
          </cell>
        </row>
        <row r="2970">
          <cell r="B2970">
            <v>8.1341999999999999</v>
          </cell>
          <cell r="C2970">
            <v>10.622082191780821</v>
          </cell>
        </row>
        <row r="2971">
          <cell r="B2971">
            <v>8.1370000000000005</v>
          </cell>
          <cell r="C2971">
            <v>10.622328767123287</v>
          </cell>
        </row>
        <row r="2972">
          <cell r="B2972">
            <v>8.1396999999999995</v>
          </cell>
          <cell r="C2972">
            <v>10.622575342465753</v>
          </cell>
        </row>
        <row r="2973">
          <cell r="B2973">
            <v>8.1425000000000001</v>
          </cell>
          <cell r="C2973">
            <v>10.622821917808219</v>
          </cell>
        </row>
        <row r="2974">
          <cell r="B2974">
            <v>8.1452000000000009</v>
          </cell>
          <cell r="C2974">
            <v>10.623068493150685</v>
          </cell>
        </row>
        <row r="2975">
          <cell r="B2975">
            <v>8.1478999999999999</v>
          </cell>
          <cell r="C2975">
            <v>10.623315068493151</v>
          </cell>
        </row>
        <row r="2976">
          <cell r="B2976">
            <v>8.1507000000000005</v>
          </cell>
          <cell r="C2976">
            <v>10.623561643835616</v>
          </cell>
        </row>
        <row r="2977">
          <cell r="B2977">
            <v>8.1533999999999995</v>
          </cell>
          <cell r="C2977">
            <v>10.623808219178082</v>
          </cell>
        </row>
        <row r="2978">
          <cell r="B2978">
            <v>8.1562000000000001</v>
          </cell>
          <cell r="C2978">
            <v>10.624054794520548</v>
          </cell>
        </row>
        <row r="2979">
          <cell r="B2979">
            <v>8.1588999999999992</v>
          </cell>
          <cell r="C2979">
            <v>10.624301369863014</v>
          </cell>
        </row>
        <row r="2980">
          <cell r="B2980">
            <v>8.1616</v>
          </cell>
          <cell r="C2980">
            <v>10.624547945205478</v>
          </cell>
        </row>
        <row r="2981">
          <cell r="B2981">
            <v>8.1644000000000005</v>
          </cell>
          <cell r="C2981">
            <v>10.624794520547944</v>
          </cell>
        </row>
        <row r="2982">
          <cell r="B2982">
            <v>8.1670999999999996</v>
          </cell>
          <cell r="C2982">
            <v>10.62504109589041</v>
          </cell>
        </row>
        <row r="2983">
          <cell r="B2983">
            <v>8.1699000000000002</v>
          </cell>
          <cell r="C2983">
            <v>10.625287671232876</v>
          </cell>
        </row>
        <row r="2984">
          <cell r="B2984">
            <v>8.1725999999999992</v>
          </cell>
          <cell r="C2984">
            <v>10.625534246575342</v>
          </cell>
        </row>
        <row r="2985">
          <cell r="B2985">
            <v>8.1753</v>
          </cell>
          <cell r="C2985">
            <v>10.625780821917807</v>
          </cell>
        </row>
        <row r="2986">
          <cell r="B2986">
            <v>8.1781000000000006</v>
          </cell>
          <cell r="C2986">
            <v>10.626027397260273</v>
          </cell>
        </row>
        <row r="2987">
          <cell r="B2987">
            <v>8.1807999999999996</v>
          </cell>
          <cell r="C2987">
            <v>10.626273972602739</v>
          </cell>
        </row>
        <row r="2988">
          <cell r="B2988">
            <v>8.1836000000000002</v>
          </cell>
          <cell r="C2988">
            <v>10.626520547945205</v>
          </cell>
        </row>
        <row r="2989">
          <cell r="B2989">
            <v>8.1862999999999992</v>
          </cell>
          <cell r="C2989">
            <v>10.626767123287671</v>
          </cell>
        </row>
        <row r="2990">
          <cell r="B2990">
            <v>8.1890000000000001</v>
          </cell>
          <cell r="C2990">
            <v>10.627013698630137</v>
          </cell>
        </row>
        <row r="2991">
          <cell r="B2991">
            <v>8.1918000000000006</v>
          </cell>
          <cell r="C2991">
            <v>10.627260273972603</v>
          </cell>
        </row>
        <row r="2992">
          <cell r="B2992">
            <v>8.1944999999999997</v>
          </cell>
          <cell r="C2992">
            <v>10.627506849315068</v>
          </cell>
        </row>
        <row r="2993">
          <cell r="B2993">
            <v>8.1973000000000003</v>
          </cell>
          <cell r="C2993">
            <v>10.627753424657534</v>
          </cell>
        </row>
        <row r="2994">
          <cell r="B2994">
            <v>8.1999999999999993</v>
          </cell>
          <cell r="C2994">
            <v>10.628</v>
          </cell>
        </row>
        <row r="2995">
          <cell r="B2995">
            <v>8.2027000000000001</v>
          </cell>
          <cell r="C2995">
            <v>10.628246575342466</v>
          </cell>
        </row>
        <row r="2996">
          <cell r="B2996">
            <v>8.2055000000000007</v>
          </cell>
          <cell r="C2996">
            <v>10.62849315068493</v>
          </cell>
        </row>
        <row r="2997">
          <cell r="B2997">
            <v>8.2081999999999997</v>
          </cell>
          <cell r="C2997">
            <v>10.628739726027396</v>
          </cell>
        </row>
        <row r="2998">
          <cell r="B2998">
            <v>8.2110000000000003</v>
          </cell>
          <cell r="C2998">
            <v>10.628986301369862</v>
          </cell>
        </row>
        <row r="2999">
          <cell r="B2999">
            <v>8.2136999999999993</v>
          </cell>
          <cell r="C2999">
            <v>10.629232876712328</v>
          </cell>
        </row>
        <row r="3000">
          <cell r="B3000">
            <v>8.2164000000000001</v>
          </cell>
          <cell r="C3000">
            <v>10.629479452054793</v>
          </cell>
        </row>
        <row r="3001">
          <cell r="B3001">
            <v>8.2192000000000007</v>
          </cell>
          <cell r="C3001">
            <v>10.629726027397259</v>
          </cell>
        </row>
        <row r="3002">
          <cell r="B3002">
            <v>8.2218999999999998</v>
          </cell>
          <cell r="C3002">
            <v>10.629972602739725</v>
          </cell>
        </row>
        <row r="3003">
          <cell r="B3003">
            <v>8.2247000000000003</v>
          </cell>
          <cell r="C3003">
            <v>10.630219178082191</v>
          </cell>
        </row>
        <row r="3004">
          <cell r="B3004">
            <v>8.2273999999999994</v>
          </cell>
          <cell r="C3004">
            <v>10.630465753424657</v>
          </cell>
        </row>
        <row r="3005">
          <cell r="B3005">
            <v>8.2301000000000002</v>
          </cell>
          <cell r="C3005">
            <v>10.630712328767123</v>
          </cell>
        </row>
        <row r="3006">
          <cell r="B3006">
            <v>8.2329000000000008</v>
          </cell>
          <cell r="C3006">
            <v>10.630958904109589</v>
          </cell>
        </row>
        <row r="3007">
          <cell r="B3007">
            <v>8.2355999999999998</v>
          </cell>
          <cell r="C3007">
            <v>10.631205479452055</v>
          </cell>
        </row>
        <row r="3008">
          <cell r="B3008">
            <v>8.2384000000000004</v>
          </cell>
          <cell r="C3008">
            <v>10.63145205479452</v>
          </cell>
        </row>
        <row r="3009">
          <cell r="B3009">
            <v>8.2410999999999994</v>
          </cell>
          <cell r="C3009">
            <v>10.631698630136986</v>
          </cell>
        </row>
        <row r="3010">
          <cell r="B3010">
            <v>8.2438000000000002</v>
          </cell>
          <cell r="C3010">
            <v>10.631945205479452</v>
          </cell>
        </row>
        <row r="3011">
          <cell r="B3011">
            <v>8.2466000000000008</v>
          </cell>
          <cell r="C3011">
            <v>10.632191780821918</v>
          </cell>
        </row>
        <row r="3012">
          <cell r="B3012">
            <v>8.2492999999999999</v>
          </cell>
          <cell r="C3012">
            <v>10.632438356164384</v>
          </cell>
        </row>
        <row r="3013">
          <cell r="B3013">
            <v>8.2521000000000004</v>
          </cell>
          <cell r="C3013">
            <v>10.632684931506848</v>
          </cell>
        </row>
        <row r="3014">
          <cell r="B3014">
            <v>8.2547999999999995</v>
          </cell>
          <cell r="C3014">
            <v>10.632931506849314</v>
          </cell>
        </row>
        <row r="3015">
          <cell r="B3015">
            <v>8.2575000000000003</v>
          </cell>
          <cell r="C3015">
            <v>10.63317808219178</v>
          </cell>
        </row>
        <row r="3016">
          <cell r="B3016">
            <v>8.2603000000000009</v>
          </cell>
          <cell r="C3016">
            <v>10.633424657534245</v>
          </cell>
        </row>
        <row r="3017">
          <cell r="B3017">
            <v>8.2629999999999999</v>
          </cell>
          <cell r="C3017">
            <v>10.633671232876711</v>
          </cell>
        </row>
        <row r="3018">
          <cell r="B3018">
            <v>8.2658000000000005</v>
          </cell>
          <cell r="C3018">
            <v>10.633917808219177</v>
          </cell>
        </row>
        <row r="3019">
          <cell r="B3019">
            <v>8.2684999999999995</v>
          </cell>
          <cell r="C3019">
            <v>10.634164383561643</v>
          </cell>
        </row>
        <row r="3020">
          <cell r="B3020">
            <v>8.2712000000000003</v>
          </cell>
          <cell r="C3020">
            <v>10.634410958904109</v>
          </cell>
        </row>
        <row r="3021">
          <cell r="B3021">
            <v>8.2739999999999991</v>
          </cell>
          <cell r="C3021">
            <v>10.634657534246575</v>
          </cell>
        </row>
        <row r="3022">
          <cell r="B3022">
            <v>8.2766999999999999</v>
          </cell>
          <cell r="C3022">
            <v>10.634904109589041</v>
          </cell>
        </row>
        <row r="3023">
          <cell r="B3023">
            <v>8.2795000000000005</v>
          </cell>
          <cell r="C3023">
            <v>10.635150684931507</v>
          </cell>
        </row>
        <row r="3024">
          <cell r="B3024">
            <v>8.2821999999999996</v>
          </cell>
          <cell r="C3024">
            <v>10.635397260273972</v>
          </cell>
        </row>
        <row r="3025">
          <cell r="B3025">
            <v>8.2849000000000004</v>
          </cell>
          <cell r="C3025">
            <v>10.635643835616438</v>
          </cell>
        </row>
        <row r="3026">
          <cell r="B3026">
            <v>8.2876999999999992</v>
          </cell>
          <cell r="C3026">
            <v>10.635890410958904</v>
          </cell>
        </row>
        <row r="3027">
          <cell r="B3027">
            <v>8.2904</v>
          </cell>
          <cell r="C3027">
            <v>10.63613698630137</v>
          </cell>
        </row>
        <row r="3028">
          <cell r="B3028">
            <v>8.2932000000000006</v>
          </cell>
          <cell r="C3028">
            <v>10.636383561643836</v>
          </cell>
        </row>
        <row r="3029">
          <cell r="B3029">
            <v>8.2958999999999996</v>
          </cell>
          <cell r="C3029">
            <v>10.6366301369863</v>
          </cell>
        </row>
        <row r="3030">
          <cell r="B3030">
            <v>8.2986000000000004</v>
          </cell>
          <cell r="C3030">
            <v>10.636876712328766</v>
          </cell>
        </row>
        <row r="3031">
          <cell r="B3031">
            <v>8.3013999999999992</v>
          </cell>
          <cell r="C3031">
            <v>10.637123287671232</v>
          </cell>
        </row>
        <row r="3032">
          <cell r="B3032">
            <v>8.3041</v>
          </cell>
          <cell r="C3032">
            <v>10.637369863013697</v>
          </cell>
        </row>
        <row r="3033">
          <cell r="B3033">
            <v>8.3068000000000008</v>
          </cell>
          <cell r="C3033">
            <v>10.637616438356163</v>
          </cell>
        </row>
        <row r="3034">
          <cell r="B3034">
            <v>8.3095999999999997</v>
          </cell>
          <cell r="C3034">
            <v>10.637863013698629</v>
          </cell>
        </row>
        <row r="3035">
          <cell r="B3035">
            <v>8.3123000000000005</v>
          </cell>
          <cell r="C3035">
            <v>10.638109589041095</v>
          </cell>
        </row>
        <row r="3036">
          <cell r="B3036">
            <v>8.3150999999999993</v>
          </cell>
          <cell r="C3036">
            <v>10.638356164383561</v>
          </cell>
        </row>
        <row r="3037">
          <cell r="B3037">
            <v>8.3178000000000001</v>
          </cell>
          <cell r="C3037">
            <v>10.638602739726027</v>
          </cell>
        </row>
        <row r="3038">
          <cell r="B3038">
            <v>8.3204999999999991</v>
          </cell>
          <cell r="C3038">
            <v>10.638849315068493</v>
          </cell>
        </row>
        <row r="3039">
          <cell r="B3039">
            <v>8.3232999999999997</v>
          </cell>
          <cell r="C3039">
            <v>10.639095890410958</v>
          </cell>
        </row>
        <row r="3040">
          <cell r="B3040">
            <v>8.3260000000000005</v>
          </cell>
          <cell r="C3040">
            <v>10.639342465753424</v>
          </cell>
        </row>
        <row r="3041">
          <cell r="B3041">
            <v>8.3287999999999993</v>
          </cell>
          <cell r="C3041">
            <v>10.63958904109589</v>
          </cell>
        </row>
        <row r="3042">
          <cell r="B3042">
            <v>8.3315000000000001</v>
          </cell>
          <cell r="C3042">
            <v>10.639835616438356</v>
          </cell>
        </row>
        <row r="3043">
          <cell r="B3043">
            <v>8.3341999999999992</v>
          </cell>
          <cell r="C3043">
            <v>10.640082191780822</v>
          </cell>
        </row>
        <row r="3044">
          <cell r="B3044">
            <v>8.3369999999999997</v>
          </cell>
          <cell r="C3044">
            <v>10.640328767123288</v>
          </cell>
        </row>
        <row r="3045">
          <cell r="B3045">
            <v>8.3397000000000006</v>
          </cell>
          <cell r="C3045">
            <v>10.640575342465754</v>
          </cell>
        </row>
        <row r="3046">
          <cell r="B3046">
            <v>8.3424999999999994</v>
          </cell>
          <cell r="C3046">
            <v>10.640821917808218</v>
          </cell>
        </row>
        <row r="3047">
          <cell r="B3047">
            <v>8.3452000000000002</v>
          </cell>
          <cell r="C3047">
            <v>10.641068493150684</v>
          </cell>
        </row>
        <row r="3048">
          <cell r="B3048">
            <v>8.3478999999999992</v>
          </cell>
          <cell r="C3048">
            <v>10.641315068493149</v>
          </cell>
        </row>
        <row r="3049">
          <cell r="B3049">
            <v>8.3506999999999998</v>
          </cell>
          <cell r="C3049">
            <v>10.641561643835615</v>
          </cell>
        </row>
        <row r="3050">
          <cell r="B3050">
            <v>8.3534000000000006</v>
          </cell>
          <cell r="C3050">
            <v>10.641808219178081</v>
          </cell>
        </row>
        <row r="3051">
          <cell r="B3051">
            <v>8.3561999999999994</v>
          </cell>
          <cell r="C3051">
            <v>10.642054794520547</v>
          </cell>
        </row>
        <row r="3052">
          <cell r="B3052">
            <v>8.3589000000000002</v>
          </cell>
          <cell r="C3052">
            <v>10.642301369863013</v>
          </cell>
        </row>
        <row r="3053">
          <cell r="B3053">
            <v>8.3615999999999993</v>
          </cell>
          <cell r="C3053">
            <v>10.642547945205479</v>
          </cell>
        </row>
        <row r="3054">
          <cell r="B3054">
            <v>8.3643999999999998</v>
          </cell>
          <cell r="C3054">
            <v>10.642794520547945</v>
          </cell>
        </row>
        <row r="3055">
          <cell r="B3055">
            <v>8.3671000000000006</v>
          </cell>
          <cell r="C3055">
            <v>10.64304109589041</v>
          </cell>
        </row>
        <row r="3056">
          <cell r="B3056">
            <v>8.3698999999999995</v>
          </cell>
          <cell r="C3056">
            <v>10.643287671232876</v>
          </cell>
        </row>
        <row r="3057">
          <cell r="B3057">
            <v>8.3726000000000003</v>
          </cell>
          <cell r="C3057">
            <v>10.643534246575342</v>
          </cell>
        </row>
        <row r="3058">
          <cell r="B3058">
            <v>8.3752999999999993</v>
          </cell>
          <cell r="C3058">
            <v>10.643780821917808</v>
          </cell>
        </row>
        <row r="3059">
          <cell r="B3059">
            <v>8.3780999999999999</v>
          </cell>
          <cell r="C3059">
            <v>10.644027397260274</v>
          </cell>
        </row>
        <row r="3060">
          <cell r="B3060">
            <v>8.3808000000000007</v>
          </cell>
          <cell r="C3060">
            <v>10.64427397260274</v>
          </cell>
        </row>
        <row r="3061">
          <cell r="B3061">
            <v>8.3835999999999995</v>
          </cell>
          <cell r="C3061">
            <v>10.644520547945206</v>
          </cell>
        </row>
        <row r="3062">
          <cell r="B3062">
            <v>8.3863000000000003</v>
          </cell>
          <cell r="C3062">
            <v>10.644767123287671</v>
          </cell>
        </row>
        <row r="3063">
          <cell r="B3063">
            <v>8.3889999999999993</v>
          </cell>
          <cell r="C3063">
            <v>10.645013698630136</v>
          </cell>
        </row>
        <row r="3064">
          <cell r="B3064">
            <v>8.3917999999999999</v>
          </cell>
          <cell r="C3064">
            <v>10.645260273972601</v>
          </cell>
        </row>
        <row r="3065">
          <cell r="B3065">
            <v>8.3945000000000007</v>
          </cell>
          <cell r="C3065">
            <v>10.645506849315067</v>
          </cell>
        </row>
        <row r="3066">
          <cell r="B3066">
            <v>8.3972999999999995</v>
          </cell>
          <cell r="C3066">
            <v>10.645753424657533</v>
          </cell>
        </row>
        <row r="3067">
          <cell r="B3067">
            <v>8.4</v>
          </cell>
          <cell r="C3067">
            <v>10.645999999999999</v>
          </cell>
        </row>
        <row r="3068">
          <cell r="B3068">
            <v>8.4026999999999994</v>
          </cell>
          <cell r="C3068">
            <v>10.646246575342465</v>
          </cell>
        </row>
        <row r="3069">
          <cell r="B3069">
            <v>8.4055</v>
          </cell>
          <cell r="C3069">
            <v>10.646493150684931</v>
          </cell>
        </row>
        <row r="3070">
          <cell r="B3070">
            <v>8.4082000000000008</v>
          </cell>
          <cell r="C3070">
            <v>10.646739726027397</v>
          </cell>
        </row>
        <row r="3071">
          <cell r="B3071">
            <v>8.4109999999999996</v>
          </cell>
          <cell r="C3071">
            <v>10.646986301369862</v>
          </cell>
        </row>
        <row r="3072">
          <cell r="B3072">
            <v>8.4137000000000004</v>
          </cell>
          <cell r="C3072">
            <v>10.647232876712328</v>
          </cell>
        </row>
        <row r="3073">
          <cell r="B3073">
            <v>8.4163999999999994</v>
          </cell>
          <cell r="C3073">
            <v>10.647479452054794</v>
          </cell>
        </row>
        <row r="3074">
          <cell r="B3074">
            <v>8.4192</v>
          </cell>
          <cell r="C3074">
            <v>10.64772602739726</v>
          </cell>
        </row>
        <row r="3075">
          <cell r="B3075">
            <v>8.4219000000000008</v>
          </cell>
          <cell r="C3075">
            <v>10.647972602739726</v>
          </cell>
        </row>
        <row r="3076">
          <cell r="B3076">
            <v>8.4246999999999996</v>
          </cell>
          <cell r="C3076">
            <v>10.648219178082192</v>
          </cell>
        </row>
        <row r="3077">
          <cell r="B3077">
            <v>8.4274000000000004</v>
          </cell>
          <cell r="C3077">
            <v>10.648465753424658</v>
          </cell>
        </row>
        <row r="3078">
          <cell r="B3078">
            <v>8.4300999999999995</v>
          </cell>
          <cell r="C3078">
            <v>10.648712328767123</v>
          </cell>
        </row>
        <row r="3079">
          <cell r="B3079">
            <v>8.4329000000000001</v>
          </cell>
          <cell r="C3079">
            <v>10.648958904109588</v>
          </cell>
        </row>
        <row r="3080">
          <cell r="B3080">
            <v>8.4356000000000009</v>
          </cell>
          <cell r="C3080">
            <v>10.649205479452053</v>
          </cell>
        </row>
        <row r="3081">
          <cell r="B3081">
            <v>8.4383999999999997</v>
          </cell>
          <cell r="C3081">
            <v>10.649452054794519</v>
          </cell>
        </row>
        <row r="3082">
          <cell r="B3082">
            <v>8.4411000000000005</v>
          </cell>
          <cell r="C3082">
            <v>10.649698630136985</v>
          </cell>
        </row>
        <row r="3083">
          <cell r="B3083">
            <v>8.4437999999999995</v>
          </cell>
          <cell r="C3083">
            <v>10.649945205479451</v>
          </cell>
        </row>
        <row r="3084">
          <cell r="B3084">
            <v>8.4466000000000001</v>
          </cell>
          <cell r="C3084">
            <v>10.650191780821917</v>
          </cell>
        </row>
        <row r="3085">
          <cell r="B3085">
            <v>8.4492999999999991</v>
          </cell>
          <cell r="C3085">
            <v>10.650438356164383</v>
          </cell>
        </row>
        <row r="3086">
          <cell r="B3086">
            <v>8.4520999999999997</v>
          </cell>
          <cell r="C3086">
            <v>10.650684931506849</v>
          </cell>
        </row>
        <row r="3087">
          <cell r="B3087">
            <v>8.4548000000000005</v>
          </cell>
          <cell r="C3087">
            <v>10.650931506849314</v>
          </cell>
        </row>
        <row r="3088">
          <cell r="B3088">
            <v>8.4574999999999996</v>
          </cell>
          <cell r="C3088">
            <v>10.65117808219178</v>
          </cell>
        </row>
        <row r="3089">
          <cell r="B3089">
            <v>8.4603000000000002</v>
          </cell>
          <cell r="C3089">
            <v>10.651424657534246</v>
          </cell>
        </row>
        <row r="3090">
          <cell r="B3090">
            <v>8.4629999999999992</v>
          </cell>
          <cell r="C3090">
            <v>10.651671232876712</v>
          </cell>
        </row>
        <row r="3091">
          <cell r="B3091">
            <v>8.4657999999999998</v>
          </cell>
          <cell r="C3091">
            <v>10.651917808219178</v>
          </cell>
        </row>
        <row r="3092">
          <cell r="B3092">
            <v>8.4685000000000006</v>
          </cell>
          <cell r="C3092">
            <v>10.652164383561644</v>
          </cell>
        </row>
        <row r="3093">
          <cell r="B3093">
            <v>8.4711999999999996</v>
          </cell>
          <cell r="C3093">
            <v>10.65241095890411</v>
          </cell>
        </row>
        <row r="3094">
          <cell r="B3094">
            <v>8.4740000000000002</v>
          </cell>
          <cell r="C3094">
            <v>10.652657534246575</v>
          </cell>
        </row>
        <row r="3095">
          <cell r="B3095">
            <v>8.4766999999999992</v>
          </cell>
          <cell r="C3095">
            <v>10.652904109589041</v>
          </cell>
        </row>
        <row r="3096">
          <cell r="B3096">
            <v>8.4794999999999998</v>
          </cell>
          <cell r="C3096">
            <v>10.653150684931505</v>
          </cell>
        </row>
        <row r="3097">
          <cell r="B3097">
            <v>8.4822000000000006</v>
          </cell>
          <cell r="C3097">
            <v>10.653397260273971</v>
          </cell>
        </row>
        <row r="3098">
          <cell r="B3098">
            <v>8.4848999999999997</v>
          </cell>
          <cell r="C3098">
            <v>10.653643835616437</v>
          </cell>
        </row>
        <row r="3099">
          <cell r="B3099">
            <v>8.4877000000000002</v>
          </cell>
          <cell r="C3099">
            <v>10.653890410958903</v>
          </cell>
        </row>
        <row r="3100">
          <cell r="B3100">
            <v>8.4903999999999993</v>
          </cell>
          <cell r="C3100">
            <v>10.654136986301369</v>
          </cell>
        </row>
        <row r="3101">
          <cell r="B3101">
            <v>8.4931999999999999</v>
          </cell>
          <cell r="C3101">
            <v>10.654383561643835</v>
          </cell>
        </row>
        <row r="3102">
          <cell r="B3102">
            <v>8.4959000000000007</v>
          </cell>
          <cell r="C3102">
            <v>10.654630136986301</v>
          </cell>
        </row>
        <row r="3103">
          <cell r="B3103">
            <v>8.4985999999999997</v>
          </cell>
          <cell r="C3103">
            <v>10.654876712328766</v>
          </cell>
        </row>
        <row r="3104">
          <cell r="B3104">
            <v>8.5014000000000003</v>
          </cell>
          <cell r="C3104">
            <v>10.655123287671232</v>
          </cell>
        </row>
        <row r="3105">
          <cell r="B3105">
            <v>8.5040999999999993</v>
          </cell>
          <cell r="C3105">
            <v>10.655369863013698</v>
          </cell>
        </row>
        <row r="3106">
          <cell r="B3106">
            <v>8.5068000000000001</v>
          </cell>
          <cell r="C3106">
            <v>10.655616438356164</v>
          </cell>
        </row>
        <row r="3107">
          <cell r="B3107">
            <v>8.5096000000000007</v>
          </cell>
          <cell r="C3107">
            <v>10.65586301369863</v>
          </cell>
        </row>
        <row r="3108">
          <cell r="B3108">
            <v>8.5122999999999998</v>
          </cell>
          <cell r="C3108">
            <v>10.656109589041096</v>
          </cell>
        </row>
        <row r="3109">
          <cell r="B3109">
            <v>8.5151000000000003</v>
          </cell>
          <cell r="C3109">
            <v>10.656356164383562</v>
          </cell>
        </row>
        <row r="3110">
          <cell r="B3110">
            <v>8.5177999999999994</v>
          </cell>
          <cell r="C3110">
            <v>10.656602739726027</v>
          </cell>
        </row>
        <row r="3111">
          <cell r="B3111">
            <v>8.5205000000000002</v>
          </cell>
          <cell r="C3111">
            <v>10.656849315068493</v>
          </cell>
        </row>
        <row r="3112">
          <cell r="B3112">
            <v>8.5233000000000008</v>
          </cell>
          <cell r="C3112">
            <v>10.657095890410957</v>
          </cell>
        </row>
        <row r="3113">
          <cell r="B3113">
            <v>8.5259999999999998</v>
          </cell>
          <cell r="C3113">
            <v>10.657342465753423</v>
          </cell>
        </row>
        <row r="3114">
          <cell r="B3114">
            <v>8.5288000000000004</v>
          </cell>
          <cell r="C3114">
            <v>10.657589041095889</v>
          </cell>
        </row>
        <row r="3115">
          <cell r="B3115">
            <v>8.5314999999999994</v>
          </cell>
          <cell r="C3115">
            <v>10.657835616438355</v>
          </cell>
        </row>
        <row r="3116">
          <cell r="B3116">
            <v>8.5342000000000002</v>
          </cell>
          <cell r="C3116">
            <v>10.658082191780821</v>
          </cell>
        </row>
        <row r="3117">
          <cell r="B3117">
            <v>8.5370000000000008</v>
          </cell>
          <cell r="C3117">
            <v>10.658328767123287</v>
          </cell>
        </row>
        <row r="3118">
          <cell r="B3118">
            <v>8.5396999999999998</v>
          </cell>
          <cell r="C3118">
            <v>10.658575342465753</v>
          </cell>
        </row>
        <row r="3119">
          <cell r="B3119">
            <v>8.5425000000000004</v>
          </cell>
          <cell r="C3119">
            <v>10.658821917808218</v>
          </cell>
        </row>
        <row r="3120">
          <cell r="B3120">
            <v>8.5451999999999995</v>
          </cell>
          <cell r="C3120">
            <v>10.659068493150684</v>
          </cell>
        </row>
        <row r="3121">
          <cell r="B3121">
            <v>8.5479000000000003</v>
          </cell>
          <cell r="C3121">
            <v>10.65931506849315</v>
          </cell>
        </row>
        <row r="3122">
          <cell r="B3122">
            <v>8.5507000000000009</v>
          </cell>
          <cell r="C3122">
            <v>10.659561643835616</v>
          </cell>
        </row>
        <row r="3123">
          <cell r="B3123">
            <v>8.5533999999999999</v>
          </cell>
          <cell r="C3123">
            <v>10.659808219178082</v>
          </cell>
        </row>
        <row r="3124">
          <cell r="B3124">
            <v>8.5562000000000005</v>
          </cell>
          <cell r="C3124">
            <v>10.660054794520548</v>
          </cell>
        </row>
        <row r="3125">
          <cell r="B3125">
            <v>8.5588999999999995</v>
          </cell>
          <cell r="C3125">
            <v>10.660301369863014</v>
          </cell>
        </row>
        <row r="3126">
          <cell r="B3126">
            <v>8.5616000000000003</v>
          </cell>
          <cell r="C3126">
            <v>10.660547945205479</v>
          </cell>
        </row>
        <row r="3127">
          <cell r="B3127">
            <v>8.5643999999999991</v>
          </cell>
          <cell r="C3127">
            <v>10.660794520547945</v>
          </cell>
        </row>
        <row r="3128">
          <cell r="B3128">
            <v>8.5670999999999999</v>
          </cell>
          <cell r="C3128">
            <v>10.661041095890411</v>
          </cell>
        </row>
        <row r="3129">
          <cell r="B3129">
            <v>8.5699000000000005</v>
          </cell>
          <cell r="C3129">
            <v>10.661287671232875</v>
          </cell>
        </row>
        <row r="3130">
          <cell r="B3130">
            <v>8.5725999999999996</v>
          </cell>
          <cell r="C3130">
            <v>10.661534246575341</v>
          </cell>
        </row>
        <row r="3131">
          <cell r="B3131">
            <v>8.5753000000000004</v>
          </cell>
          <cell r="C3131">
            <v>10.661780821917807</v>
          </cell>
        </row>
        <row r="3132">
          <cell r="B3132">
            <v>8.5780999999999992</v>
          </cell>
          <cell r="C3132">
            <v>10.662027397260273</v>
          </cell>
        </row>
        <row r="3133">
          <cell r="B3133">
            <v>8.5808</v>
          </cell>
          <cell r="C3133">
            <v>10.662273972602739</v>
          </cell>
        </row>
        <row r="3134">
          <cell r="B3134">
            <v>8.5836000000000006</v>
          </cell>
          <cell r="C3134">
            <v>10.662520547945205</v>
          </cell>
        </row>
        <row r="3135">
          <cell r="B3135">
            <v>8.5862999999999996</v>
          </cell>
          <cell r="C3135">
            <v>10.66276712328767</v>
          </cell>
        </row>
        <row r="3136">
          <cell r="B3136">
            <v>8.5890000000000004</v>
          </cell>
          <cell r="C3136">
            <v>10.663013698630136</v>
          </cell>
        </row>
        <row r="3137">
          <cell r="B3137">
            <v>8.5917999999999992</v>
          </cell>
          <cell r="C3137">
            <v>10.663260273972602</v>
          </cell>
        </row>
        <row r="3138">
          <cell r="B3138">
            <v>8.5945</v>
          </cell>
          <cell r="C3138">
            <v>10.663506849315068</v>
          </cell>
        </row>
        <row r="3139">
          <cell r="B3139">
            <v>8.5973000000000006</v>
          </cell>
          <cell r="C3139">
            <v>10.663753424657534</v>
          </cell>
        </row>
        <row r="3140">
          <cell r="B3140">
            <v>8.6</v>
          </cell>
          <cell r="C3140">
            <v>10.664</v>
          </cell>
        </row>
        <row r="3141">
          <cell r="B3141">
            <v>8.6027000000000005</v>
          </cell>
          <cell r="C3141">
            <v>10.664246575342466</v>
          </cell>
        </row>
        <row r="3142">
          <cell r="B3142">
            <v>8.6054999999999993</v>
          </cell>
          <cell r="C3142">
            <v>10.664493150684931</v>
          </cell>
        </row>
        <row r="3143">
          <cell r="B3143">
            <v>8.6082000000000001</v>
          </cell>
          <cell r="C3143">
            <v>10.664739726027397</v>
          </cell>
        </row>
        <row r="3144">
          <cell r="B3144">
            <v>8.6110000000000007</v>
          </cell>
          <cell r="C3144">
            <v>10.664986301369863</v>
          </cell>
        </row>
        <row r="3145">
          <cell r="B3145">
            <v>8.6136999999999997</v>
          </cell>
          <cell r="C3145">
            <v>10.665232876712327</v>
          </cell>
        </row>
        <row r="3146">
          <cell r="B3146">
            <v>8.6164000000000005</v>
          </cell>
          <cell r="C3146">
            <v>10.665479452054793</v>
          </cell>
        </row>
        <row r="3147">
          <cell r="B3147">
            <v>8.6191999999999993</v>
          </cell>
          <cell r="C3147">
            <v>10.665726027397259</v>
          </cell>
        </row>
        <row r="3148">
          <cell r="B3148">
            <v>8.6219000000000001</v>
          </cell>
          <cell r="C3148">
            <v>10.665972602739725</v>
          </cell>
        </row>
        <row r="3149">
          <cell r="B3149">
            <v>8.6247000000000007</v>
          </cell>
          <cell r="C3149">
            <v>10.666219178082191</v>
          </cell>
        </row>
        <row r="3150">
          <cell r="B3150">
            <v>8.6273999999999997</v>
          </cell>
          <cell r="C3150">
            <v>10.666465753424657</v>
          </cell>
        </row>
        <row r="3151">
          <cell r="B3151">
            <v>8.6301000000000005</v>
          </cell>
          <cell r="C3151">
            <v>10.666712328767122</v>
          </cell>
        </row>
        <row r="3152">
          <cell r="B3152">
            <v>8.6328999999999994</v>
          </cell>
          <cell r="C3152">
            <v>10.666958904109588</v>
          </cell>
        </row>
        <row r="3153">
          <cell r="B3153">
            <v>8.6356000000000002</v>
          </cell>
          <cell r="C3153">
            <v>10.667205479452054</v>
          </cell>
        </row>
        <row r="3154">
          <cell r="B3154">
            <v>8.6384000000000007</v>
          </cell>
          <cell r="C3154">
            <v>10.66745205479452</v>
          </cell>
        </row>
        <row r="3155">
          <cell r="B3155">
            <v>8.6410999999999998</v>
          </cell>
          <cell r="C3155">
            <v>10.667698630136986</v>
          </cell>
        </row>
        <row r="3156">
          <cell r="B3156">
            <v>8.6438000000000006</v>
          </cell>
          <cell r="C3156">
            <v>10.667945205479452</v>
          </cell>
        </row>
        <row r="3157">
          <cell r="B3157">
            <v>8.6465999999999994</v>
          </cell>
          <cell r="C3157">
            <v>10.668191780821918</v>
          </cell>
        </row>
        <row r="3158">
          <cell r="B3158">
            <v>8.6493000000000002</v>
          </cell>
          <cell r="C3158">
            <v>10.668438356164383</v>
          </cell>
        </row>
        <row r="3159">
          <cell r="B3159">
            <v>8.6521000000000008</v>
          </cell>
          <cell r="C3159">
            <v>10.668684931506849</v>
          </cell>
        </row>
        <row r="3160">
          <cell r="B3160">
            <v>8.6547999999999998</v>
          </cell>
          <cell r="C3160">
            <v>10.668931506849315</v>
          </cell>
        </row>
        <row r="3161">
          <cell r="B3161">
            <v>8.6575000000000006</v>
          </cell>
          <cell r="C3161">
            <v>10.669178082191781</v>
          </cell>
        </row>
        <row r="3162">
          <cell r="B3162">
            <v>8.6602999999999994</v>
          </cell>
          <cell r="C3162">
            <v>10.669424657534245</v>
          </cell>
        </row>
        <row r="3163">
          <cell r="B3163">
            <v>8.6630000000000003</v>
          </cell>
          <cell r="C3163">
            <v>10.669671232876711</v>
          </cell>
        </row>
        <row r="3164">
          <cell r="B3164">
            <v>8.6658000000000008</v>
          </cell>
          <cell r="C3164">
            <v>10.669917808219177</v>
          </cell>
        </row>
        <row r="3165">
          <cell r="B3165">
            <v>8.6684999999999999</v>
          </cell>
          <cell r="C3165">
            <v>10.670164383561643</v>
          </cell>
        </row>
        <row r="3166">
          <cell r="B3166">
            <v>8.6712000000000007</v>
          </cell>
          <cell r="C3166">
            <v>10.670410958904109</v>
          </cell>
        </row>
        <row r="3167">
          <cell r="B3167">
            <v>8.6739999999999995</v>
          </cell>
          <cell r="C3167">
            <v>10.670657534246574</v>
          </cell>
        </row>
        <row r="3168">
          <cell r="B3168">
            <v>8.6767000000000003</v>
          </cell>
          <cell r="C3168">
            <v>10.67090410958904</v>
          </cell>
        </row>
        <row r="3169">
          <cell r="B3169">
            <v>8.6795000000000009</v>
          </cell>
          <cell r="C3169">
            <v>10.671150684931506</v>
          </cell>
        </row>
        <row r="3170">
          <cell r="B3170">
            <v>8.6821999999999999</v>
          </cell>
          <cell r="C3170">
            <v>10.671397260273972</v>
          </cell>
        </row>
        <row r="3171">
          <cell r="B3171">
            <v>8.6849000000000007</v>
          </cell>
          <cell r="C3171">
            <v>10.671643835616438</v>
          </cell>
        </row>
        <row r="3172">
          <cell r="B3172">
            <v>8.6876999999999995</v>
          </cell>
          <cell r="C3172">
            <v>10.671890410958904</v>
          </cell>
        </row>
        <row r="3173">
          <cell r="B3173">
            <v>8.6904000000000003</v>
          </cell>
          <cell r="C3173">
            <v>10.67213698630137</v>
          </cell>
        </row>
        <row r="3174">
          <cell r="B3174">
            <v>8.6931999999999992</v>
          </cell>
          <cell r="C3174">
            <v>10.672383561643835</v>
          </cell>
        </row>
        <row r="3175">
          <cell r="B3175">
            <v>8.6959</v>
          </cell>
          <cell r="C3175">
            <v>10.672630136986301</v>
          </cell>
        </row>
        <row r="3176">
          <cell r="B3176">
            <v>8.6986000000000008</v>
          </cell>
          <cell r="C3176">
            <v>10.672876712328767</v>
          </cell>
        </row>
        <row r="3177">
          <cell r="B3177">
            <v>8.7013999999999996</v>
          </cell>
          <cell r="C3177">
            <v>10.673123287671233</v>
          </cell>
        </row>
        <row r="3178">
          <cell r="B3178">
            <v>8.7041000000000004</v>
          </cell>
          <cell r="C3178">
            <v>10.673369863013699</v>
          </cell>
        </row>
        <row r="3179">
          <cell r="B3179">
            <v>8.7067999999999994</v>
          </cell>
          <cell r="C3179">
            <v>10.673616438356163</v>
          </cell>
        </row>
        <row r="3180">
          <cell r="B3180">
            <v>8.7096</v>
          </cell>
          <cell r="C3180">
            <v>10.673863013698629</v>
          </cell>
        </row>
        <row r="3181">
          <cell r="B3181">
            <v>8.7123000000000008</v>
          </cell>
          <cell r="C3181">
            <v>10.674109589041095</v>
          </cell>
        </row>
        <row r="3182">
          <cell r="B3182">
            <v>8.7150999999999996</v>
          </cell>
          <cell r="C3182">
            <v>10.67435616438356</v>
          </cell>
        </row>
        <row r="3183">
          <cell r="B3183">
            <v>8.7178000000000004</v>
          </cell>
          <cell r="C3183">
            <v>10.674602739726026</v>
          </cell>
        </row>
        <row r="3184">
          <cell r="B3184">
            <v>8.7204999999999995</v>
          </cell>
          <cell r="C3184">
            <v>10.674849315068492</v>
          </cell>
        </row>
        <row r="3185">
          <cell r="B3185">
            <v>8.7233000000000001</v>
          </cell>
          <cell r="C3185">
            <v>10.675095890410958</v>
          </cell>
        </row>
        <row r="3186">
          <cell r="B3186">
            <v>8.7260000000000009</v>
          </cell>
          <cell r="C3186">
            <v>10.675342465753424</v>
          </cell>
        </row>
        <row r="3187">
          <cell r="B3187">
            <v>8.7287999999999997</v>
          </cell>
          <cell r="C3187">
            <v>10.67558904109589</v>
          </cell>
        </row>
        <row r="3188">
          <cell r="B3188">
            <v>8.7315000000000005</v>
          </cell>
          <cell r="C3188">
            <v>10.675835616438356</v>
          </cell>
        </row>
        <row r="3189">
          <cell r="B3189">
            <v>8.7341999999999995</v>
          </cell>
          <cell r="C3189">
            <v>10.676082191780822</v>
          </cell>
        </row>
        <row r="3190">
          <cell r="B3190">
            <v>8.7370000000000001</v>
          </cell>
          <cell r="C3190">
            <v>10.676328767123287</v>
          </cell>
        </row>
        <row r="3191">
          <cell r="B3191">
            <v>8.7396999999999991</v>
          </cell>
          <cell r="C3191">
            <v>10.676575342465753</v>
          </cell>
        </row>
        <row r="3192">
          <cell r="B3192">
            <v>8.7424999999999997</v>
          </cell>
          <cell r="C3192">
            <v>10.676821917808219</v>
          </cell>
        </row>
        <row r="3193">
          <cell r="B3193">
            <v>8.7452000000000005</v>
          </cell>
          <cell r="C3193">
            <v>10.677068493150685</v>
          </cell>
        </row>
        <row r="3194">
          <cell r="B3194">
            <v>8.7478999999999996</v>
          </cell>
          <cell r="C3194">
            <v>10.677315068493151</v>
          </cell>
        </row>
        <row r="3195">
          <cell r="B3195">
            <v>8.7507000000000001</v>
          </cell>
          <cell r="C3195">
            <v>10.677561643835615</v>
          </cell>
        </row>
        <row r="3196">
          <cell r="B3196">
            <v>8.7533999999999992</v>
          </cell>
          <cell r="C3196">
            <v>10.677808219178081</v>
          </cell>
        </row>
        <row r="3197">
          <cell r="B3197">
            <v>8.7561999999999998</v>
          </cell>
          <cell r="C3197">
            <v>10.678054794520547</v>
          </cell>
        </row>
        <row r="3198">
          <cell r="B3198">
            <v>8.7589000000000006</v>
          </cell>
          <cell r="C3198">
            <v>10.678301369863012</v>
          </cell>
        </row>
        <row r="3199">
          <cell r="B3199">
            <v>8.7615999999999996</v>
          </cell>
          <cell r="C3199">
            <v>10.678547945205478</v>
          </cell>
        </row>
        <row r="3200">
          <cell r="B3200">
            <v>8.7644000000000002</v>
          </cell>
          <cell r="C3200">
            <v>10.678794520547944</v>
          </cell>
        </row>
        <row r="3201">
          <cell r="B3201">
            <v>8.7670999999999992</v>
          </cell>
          <cell r="C3201">
            <v>10.67904109589041</v>
          </cell>
        </row>
        <row r="3202">
          <cell r="B3202">
            <v>8.7698999999999998</v>
          </cell>
          <cell r="C3202">
            <v>10.679287671232876</v>
          </cell>
        </row>
        <row r="3203">
          <cell r="B3203">
            <v>8.7726000000000006</v>
          </cell>
          <cell r="C3203">
            <v>10.679534246575342</v>
          </cell>
        </row>
        <row r="3204">
          <cell r="B3204">
            <v>8.7752999999999997</v>
          </cell>
          <cell r="C3204">
            <v>10.679780821917808</v>
          </cell>
        </row>
        <row r="3205">
          <cell r="B3205">
            <v>8.7781000000000002</v>
          </cell>
          <cell r="C3205">
            <v>10.680027397260274</v>
          </cell>
        </row>
        <row r="3206">
          <cell r="B3206">
            <v>8.7807999999999993</v>
          </cell>
          <cell r="C3206">
            <v>10.680273972602739</v>
          </cell>
        </row>
        <row r="3207">
          <cell r="B3207">
            <v>8.7835999999999999</v>
          </cell>
          <cell r="C3207">
            <v>10.680520547945205</v>
          </cell>
        </row>
        <row r="3208">
          <cell r="B3208">
            <v>8.7863000000000007</v>
          </cell>
          <cell r="C3208">
            <v>10.680767123287671</v>
          </cell>
        </row>
        <row r="3209">
          <cell r="B3209">
            <v>8.7889999999999997</v>
          </cell>
          <cell r="C3209">
            <v>10.681013698630137</v>
          </cell>
        </row>
        <row r="3210">
          <cell r="B3210">
            <v>8.7918000000000003</v>
          </cell>
          <cell r="C3210">
            <v>10.681260273972603</v>
          </cell>
        </row>
        <row r="3211">
          <cell r="B3211">
            <v>8.7944999999999993</v>
          </cell>
          <cell r="C3211">
            <v>10.681506849315069</v>
          </cell>
        </row>
        <row r="3212">
          <cell r="B3212">
            <v>8.7972999999999999</v>
          </cell>
          <cell r="C3212">
            <v>10.681753424657533</v>
          </cell>
        </row>
        <row r="3213">
          <cell r="B3213">
            <v>8.8000000000000007</v>
          </cell>
          <cell r="C3213">
            <v>10.681999999999999</v>
          </cell>
        </row>
        <row r="3214">
          <cell r="B3214">
            <v>8.8026999999999997</v>
          </cell>
          <cell r="C3214">
            <v>10.682246575342464</v>
          </cell>
        </row>
        <row r="3215">
          <cell r="B3215">
            <v>8.8055000000000003</v>
          </cell>
          <cell r="C3215">
            <v>10.68249315068493</v>
          </cell>
        </row>
        <row r="3216">
          <cell r="B3216">
            <v>8.8081999999999994</v>
          </cell>
          <cell r="C3216">
            <v>10.682739726027396</v>
          </cell>
        </row>
        <row r="3217">
          <cell r="B3217">
            <v>8.8109999999999999</v>
          </cell>
          <cell r="C3217">
            <v>10.682986301369862</v>
          </cell>
        </row>
        <row r="3218">
          <cell r="B3218">
            <v>8.8137000000000008</v>
          </cell>
          <cell r="C3218">
            <v>10.683232876712328</v>
          </cell>
        </row>
        <row r="3219">
          <cell r="B3219">
            <v>8.8163999999999998</v>
          </cell>
          <cell r="C3219">
            <v>10.683479452054794</v>
          </cell>
        </row>
        <row r="3220">
          <cell r="B3220">
            <v>8.8192000000000004</v>
          </cell>
          <cell r="C3220">
            <v>10.68372602739726</v>
          </cell>
        </row>
        <row r="3221">
          <cell r="B3221">
            <v>8.8218999999999994</v>
          </cell>
          <cell r="C3221">
            <v>10.683972602739725</v>
          </cell>
        </row>
        <row r="3222">
          <cell r="B3222">
            <v>8.8247</v>
          </cell>
          <cell r="C3222">
            <v>10.684219178082191</v>
          </cell>
        </row>
        <row r="3223">
          <cell r="B3223">
            <v>8.8274000000000008</v>
          </cell>
          <cell r="C3223">
            <v>10.684465753424657</v>
          </cell>
        </row>
        <row r="3224">
          <cell r="B3224">
            <v>8.8300999999999998</v>
          </cell>
          <cell r="C3224">
            <v>10.684712328767123</v>
          </cell>
        </row>
        <row r="3225">
          <cell r="B3225">
            <v>8.8329000000000004</v>
          </cell>
          <cell r="C3225">
            <v>10.684958904109589</v>
          </cell>
        </row>
        <row r="3226">
          <cell r="B3226">
            <v>8.8355999999999995</v>
          </cell>
          <cell r="C3226">
            <v>10.685205479452055</v>
          </cell>
        </row>
        <row r="3227">
          <cell r="B3227">
            <v>8.8384</v>
          </cell>
          <cell r="C3227">
            <v>10.685452054794521</v>
          </cell>
        </row>
        <row r="3228">
          <cell r="B3228">
            <v>8.8411000000000008</v>
          </cell>
          <cell r="C3228">
            <v>10.685698630136987</v>
          </cell>
        </row>
        <row r="3229">
          <cell r="B3229">
            <v>8.8437999999999999</v>
          </cell>
          <cell r="C3229">
            <v>10.685945205479451</v>
          </cell>
        </row>
        <row r="3230">
          <cell r="B3230">
            <v>8.8466000000000005</v>
          </cell>
          <cell r="C3230">
            <v>10.686191780821916</v>
          </cell>
        </row>
        <row r="3231">
          <cell r="B3231">
            <v>8.8492999999999995</v>
          </cell>
          <cell r="C3231">
            <v>10.686438356164382</v>
          </cell>
        </row>
        <row r="3232">
          <cell r="B3232">
            <v>8.8521000000000001</v>
          </cell>
          <cell r="C3232">
            <v>10.686684931506848</v>
          </cell>
        </row>
        <row r="3233">
          <cell r="B3233">
            <v>8.8547999999999991</v>
          </cell>
          <cell r="C3233">
            <v>10.686931506849314</v>
          </cell>
        </row>
        <row r="3234">
          <cell r="B3234">
            <v>8.8574999999999999</v>
          </cell>
          <cell r="C3234">
            <v>10.68717808219178</v>
          </cell>
        </row>
        <row r="3235">
          <cell r="B3235">
            <v>8.8603000000000005</v>
          </cell>
          <cell r="C3235">
            <v>10.687424657534246</v>
          </cell>
        </row>
        <row r="3236">
          <cell r="B3236">
            <v>8.8629999999999995</v>
          </cell>
          <cell r="C3236">
            <v>10.687671232876712</v>
          </cell>
        </row>
        <row r="3237">
          <cell r="B3237">
            <v>8.8658000000000001</v>
          </cell>
          <cell r="C3237">
            <v>10.687917808219177</v>
          </cell>
        </row>
        <row r="3238">
          <cell r="B3238">
            <v>8.8684999999999992</v>
          </cell>
          <cell r="C3238">
            <v>10.688164383561643</v>
          </cell>
        </row>
        <row r="3239">
          <cell r="B3239">
            <v>8.8712</v>
          </cell>
          <cell r="C3239">
            <v>10.688410958904109</v>
          </cell>
        </row>
        <row r="3240">
          <cell r="B3240">
            <v>8.8740000000000006</v>
          </cell>
          <cell r="C3240">
            <v>10.688657534246575</v>
          </cell>
        </row>
        <row r="3241">
          <cell r="B3241">
            <v>8.8766999999999996</v>
          </cell>
          <cell r="C3241">
            <v>10.688904109589041</v>
          </cell>
        </row>
        <row r="3242">
          <cell r="B3242">
            <v>8.8795000000000002</v>
          </cell>
          <cell r="C3242">
            <v>10.689150684931507</v>
          </cell>
        </row>
        <row r="3243">
          <cell r="B3243">
            <v>8.8821999999999992</v>
          </cell>
          <cell r="C3243">
            <v>10.689397260273973</v>
          </cell>
        </row>
        <row r="3244">
          <cell r="B3244">
            <v>8.8849</v>
          </cell>
          <cell r="C3244">
            <v>10.689643835616438</v>
          </cell>
        </row>
        <row r="3245">
          <cell r="B3245">
            <v>8.8877000000000006</v>
          </cell>
          <cell r="C3245">
            <v>10.689890410958903</v>
          </cell>
        </row>
        <row r="3246">
          <cell r="B3246">
            <v>8.8903999999999996</v>
          </cell>
          <cell r="C3246">
            <v>10.690136986301368</v>
          </cell>
        </row>
        <row r="3247">
          <cell r="B3247">
            <v>8.8932000000000002</v>
          </cell>
          <cell r="C3247">
            <v>10.690383561643834</v>
          </cell>
        </row>
        <row r="3248">
          <cell r="B3248">
            <v>8.8958999999999993</v>
          </cell>
          <cell r="C3248">
            <v>10.6906301369863</v>
          </cell>
        </row>
        <row r="3249">
          <cell r="B3249">
            <v>8.8986000000000001</v>
          </cell>
          <cell r="C3249">
            <v>10.690876712328766</v>
          </cell>
        </row>
        <row r="3250">
          <cell r="B3250">
            <v>8.9014000000000006</v>
          </cell>
          <cell r="C3250">
            <v>10.691123287671232</v>
          </cell>
        </row>
        <row r="3251">
          <cell r="B3251">
            <v>8.9040999999999997</v>
          </cell>
          <cell r="C3251">
            <v>10.691369863013698</v>
          </cell>
        </row>
        <row r="3252">
          <cell r="B3252">
            <v>8.9068000000000005</v>
          </cell>
          <cell r="C3252">
            <v>10.691616438356164</v>
          </cell>
        </row>
        <row r="3253">
          <cell r="B3253">
            <v>8.9095999999999993</v>
          </cell>
          <cell r="C3253">
            <v>10.691863013698629</v>
          </cell>
        </row>
        <row r="3254">
          <cell r="B3254">
            <v>8.9123000000000001</v>
          </cell>
          <cell r="C3254">
            <v>10.692109589041095</v>
          </cell>
        </row>
        <row r="3255">
          <cell r="B3255">
            <v>8.9151000000000007</v>
          </cell>
          <cell r="C3255">
            <v>10.692356164383561</v>
          </cell>
        </row>
        <row r="3256">
          <cell r="B3256">
            <v>8.9177999999999997</v>
          </cell>
          <cell r="C3256">
            <v>10.692602739726027</v>
          </cell>
        </row>
        <row r="3257">
          <cell r="B3257">
            <v>8.9205000000000005</v>
          </cell>
          <cell r="C3257">
            <v>10.692849315068493</v>
          </cell>
        </row>
        <row r="3258">
          <cell r="B3258">
            <v>8.9232999999999993</v>
          </cell>
          <cell r="C3258">
            <v>10.693095890410959</v>
          </cell>
        </row>
        <row r="3259">
          <cell r="B3259">
            <v>8.9260000000000002</v>
          </cell>
          <cell r="C3259">
            <v>10.693342465753425</v>
          </cell>
        </row>
        <row r="3260">
          <cell r="B3260">
            <v>8.9288000000000007</v>
          </cell>
          <cell r="C3260">
            <v>10.69358904109589</v>
          </cell>
        </row>
        <row r="3261">
          <cell r="B3261">
            <v>8.9314999999999998</v>
          </cell>
          <cell r="C3261">
            <v>10.693835616438356</v>
          </cell>
        </row>
        <row r="3262">
          <cell r="B3262">
            <v>8.9342000000000006</v>
          </cell>
          <cell r="C3262">
            <v>10.69408219178082</v>
          </cell>
        </row>
        <row r="3263">
          <cell r="B3263">
            <v>8.9369999999999994</v>
          </cell>
          <cell r="C3263">
            <v>10.694328767123286</v>
          </cell>
        </row>
        <row r="3264">
          <cell r="B3264">
            <v>8.9397000000000002</v>
          </cell>
          <cell r="C3264">
            <v>10.694575342465752</v>
          </cell>
        </row>
        <row r="3265">
          <cell r="B3265">
            <v>8.9425000000000008</v>
          </cell>
          <cell r="C3265">
            <v>10.694821917808218</v>
          </cell>
        </row>
        <row r="3266">
          <cell r="B3266">
            <v>8.9451999999999998</v>
          </cell>
          <cell r="C3266">
            <v>10.695068493150684</v>
          </cell>
        </row>
        <row r="3267">
          <cell r="B3267">
            <v>8.9479000000000006</v>
          </cell>
          <cell r="C3267">
            <v>10.69531506849315</v>
          </cell>
        </row>
        <row r="3268">
          <cell r="B3268">
            <v>8.9506999999999994</v>
          </cell>
          <cell r="C3268">
            <v>10.695561643835616</v>
          </cell>
        </row>
        <row r="3269">
          <cell r="B3269">
            <v>8.9534000000000002</v>
          </cell>
          <cell r="C3269">
            <v>10.695808219178081</v>
          </cell>
        </row>
        <row r="3270">
          <cell r="B3270">
            <v>8.9562000000000008</v>
          </cell>
          <cell r="C3270">
            <v>10.696054794520547</v>
          </cell>
        </row>
        <row r="3271">
          <cell r="B3271">
            <v>8.9588999999999999</v>
          </cell>
          <cell r="C3271">
            <v>10.696301369863013</v>
          </cell>
        </row>
        <row r="3272">
          <cell r="B3272">
            <v>8.9616000000000007</v>
          </cell>
          <cell r="C3272">
            <v>10.696547945205479</v>
          </cell>
        </row>
        <row r="3273">
          <cell r="B3273">
            <v>8.9643999999999995</v>
          </cell>
          <cell r="C3273">
            <v>10.696794520547945</v>
          </cell>
        </row>
        <row r="3274">
          <cell r="B3274">
            <v>8.9671000000000003</v>
          </cell>
          <cell r="C3274">
            <v>10.697041095890411</v>
          </cell>
        </row>
        <row r="3275">
          <cell r="B3275">
            <v>8.9699000000000009</v>
          </cell>
          <cell r="C3275">
            <v>10.697287671232877</v>
          </cell>
        </row>
        <row r="3276">
          <cell r="B3276">
            <v>8.9725999999999999</v>
          </cell>
          <cell r="C3276">
            <v>10.697534246575342</v>
          </cell>
        </row>
        <row r="3277">
          <cell r="B3277">
            <v>8.9753000000000007</v>
          </cell>
          <cell r="C3277">
            <v>10.697780821917808</v>
          </cell>
        </row>
        <row r="3278">
          <cell r="B3278">
            <v>8.9780999999999995</v>
          </cell>
          <cell r="C3278">
            <v>10.698027397260272</v>
          </cell>
        </row>
        <row r="3279">
          <cell r="B3279">
            <v>8.9808000000000003</v>
          </cell>
          <cell r="C3279">
            <v>10.698273972602738</v>
          </cell>
        </row>
        <row r="3280">
          <cell r="B3280">
            <v>8.9835999999999991</v>
          </cell>
          <cell r="C3280">
            <v>10.698520547945204</v>
          </cell>
        </row>
        <row r="3281">
          <cell r="B3281">
            <v>8.9863</v>
          </cell>
          <cell r="C3281">
            <v>10.69876712328767</v>
          </cell>
        </row>
        <row r="3282">
          <cell r="B3282">
            <v>8.9890000000000008</v>
          </cell>
          <cell r="C3282">
            <v>10.699013698630136</v>
          </cell>
        </row>
        <row r="3283">
          <cell r="B3283">
            <v>8.9917999999999996</v>
          </cell>
          <cell r="C3283">
            <v>10.699260273972602</v>
          </cell>
        </row>
        <row r="3284">
          <cell r="B3284">
            <v>8.9945000000000004</v>
          </cell>
          <cell r="C3284">
            <v>10.699506849315068</v>
          </cell>
        </row>
        <row r="3285">
          <cell r="B3285">
            <v>8.9972999999999992</v>
          </cell>
          <cell r="C3285">
            <v>10.699753424657533</v>
          </cell>
        </row>
        <row r="3286">
          <cell r="B3286">
            <v>9</v>
          </cell>
          <cell r="C3286">
            <v>10.7</v>
          </cell>
        </row>
        <row r="3287">
          <cell r="B3287">
            <v>9.0027000000000008</v>
          </cell>
          <cell r="C3287">
            <v>10.700054794520547</v>
          </cell>
        </row>
        <row r="3288">
          <cell r="B3288">
            <v>9.0054999999999996</v>
          </cell>
          <cell r="C3288">
            <v>10.700109589041094</v>
          </cell>
        </row>
        <row r="3289">
          <cell r="B3289">
            <v>9.0082000000000004</v>
          </cell>
          <cell r="C3289">
            <v>10.700164383561644</v>
          </cell>
        </row>
        <row r="3290">
          <cell r="B3290">
            <v>9.0109999999999992</v>
          </cell>
          <cell r="C3290">
            <v>10.700219178082191</v>
          </cell>
        </row>
        <row r="3291">
          <cell r="B3291">
            <v>9.0137</v>
          </cell>
          <cell r="C3291">
            <v>10.700273972602739</v>
          </cell>
        </row>
        <row r="3292">
          <cell r="B3292">
            <v>9.0164000000000009</v>
          </cell>
          <cell r="C3292">
            <v>10.700328767123287</v>
          </cell>
        </row>
        <row r="3293">
          <cell r="B3293">
            <v>9.0191999999999997</v>
          </cell>
          <cell r="C3293">
            <v>10.700383561643834</v>
          </cell>
        </row>
        <row r="3294">
          <cell r="B3294">
            <v>9.0219000000000005</v>
          </cell>
          <cell r="C3294">
            <v>10.700438356164383</v>
          </cell>
        </row>
        <row r="3295">
          <cell r="B3295">
            <v>9.0246999999999993</v>
          </cell>
          <cell r="C3295">
            <v>10.700493150684931</v>
          </cell>
        </row>
        <row r="3296">
          <cell r="B3296">
            <v>9.0274000000000001</v>
          </cell>
          <cell r="C3296">
            <v>10.700547945205479</v>
          </cell>
        </row>
        <row r="3297">
          <cell r="B3297">
            <v>9.0300999999999991</v>
          </cell>
          <cell r="C3297">
            <v>10.700602739726026</v>
          </cell>
        </row>
        <row r="3298">
          <cell r="B3298">
            <v>9.0328999999999997</v>
          </cell>
          <cell r="C3298">
            <v>10.700657534246576</v>
          </cell>
        </row>
        <row r="3299">
          <cell r="B3299">
            <v>9.0356000000000005</v>
          </cell>
          <cell r="C3299">
            <v>10.700712328767123</v>
          </cell>
        </row>
        <row r="3300">
          <cell r="B3300">
            <v>9.0383999999999993</v>
          </cell>
          <cell r="C3300">
            <v>10.700767123287671</v>
          </cell>
        </row>
        <row r="3301">
          <cell r="B3301">
            <v>9.0411000000000001</v>
          </cell>
          <cell r="C3301">
            <v>10.700821917808218</v>
          </cell>
        </row>
        <row r="3302">
          <cell r="B3302">
            <v>9.0437999999999992</v>
          </cell>
          <cell r="C3302">
            <v>10.700876712328766</v>
          </cell>
        </row>
        <row r="3303">
          <cell r="B3303">
            <v>9.0465999999999998</v>
          </cell>
          <cell r="C3303">
            <v>10.700931506849315</v>
          </cell>
        </row>
        <row r="3304">
          <cell r="B3304">
            <v>9.0493000000000006</v>
          </cell>
          <cell r="C3304">
            <v>10.700986301369863</v>
          </cell>
        </row>
        <row r="3305">
          <cell r="B3305">
            <v>9.0520999999999994</v>
          </cell>
          <cell r="C3305">
            <v>10.70104109589041</v>
          </cell>
        </row>
        <row r="3306">
          <cell r="B3306">
            <v>9.0548000000000002</v>
          </cell>
          <cell r="C3306">
            <v>10.701095890410958</v>
          </cell>
        </row>
        <row r="3307">
          <cell r="B3307">
            <v>9.0574999999999992</v>
          </cell>
          <cell r="C3307">
            <v>10.701150684931505</v>
          </cell>
        </row>
        <row r="3308">
          <cell r="B3308">
            <v>9.0602999999999998</v>
          </cell>
          <cell r="C3308">
            <v>10.701205479452055</v>
          </cell>
        </row>
        <row r="3309">
          <cell r="B3309">
            <v>9.0630000000000006</v>
          </cell>
          <cell r="C3309">
            <v>10.701260273972602</v>
          </cell>
        </row>
        <row r="3310">
          <cell r="B3310">
            <v>9.0657999999999994</v>
          </cell>
          <cell r="C3310">
            <v>10.70131506849315</v>
          </cell>
        </row>
        <row r="3311">
          <cell r="B3311">
            <v>9.0685000000000002</v>
          </cell>
          <cell r="C3311">
            <v>10.701369863013698</v>
          </cell>
        </row>
        <row r="3312">
          <cell r="B3312">
            <v>9.0711999999999993</v>
          </cell>
          <cell r="C3312">
            <v>10.701424657534245</v>
          </cell>
        </row>
        <row r="3313">
          <cell r="B3313">
            <v>9.0739999999999998</v>
          </cell>
          <cell r="C3313">
            <v>10.701479452054794</v>
          </cell>
        </row>
        <row r="3314">
          <cell r="B3314">
            <v>9.0767000000000007</v>
          </cell>
          <cell r="C3314">
            <v>10.701534246575342</v>
          </cell>
        </row>
        <row r="3315">
          <cell r="B3315">
            <v>9.0794999999999995</v>
          </cell>
          <cell r="C3315">
            <v>10.70158904109589</v>
          </cell>
        </row>
        <row r="3316">
          <cell r="B3316">
            <v>9.0822000000000003</v>
          </cell>
          <cell r="C3316">
            <v>10.701643835616437</v>
          </cell>
        </row>
        <row r="3317">
          <cell r="B3317">
            <v>9.0848999999999993</v>
          </cell>
          <cell r="C3317">
            <v>10.701698630136987</v>
          </cell>
        </row>
        <row r="3318">
          <cell r="B3318">
            <v>9.0876999999999999</v>
          </cell>
          <cell r="C3318">
            <v>10.701753424657534</v>
          </cell>
        </row>
        <row r="3319">
          <cell r="B3319">
            <v>9.0904000000000007</v>
          </cell>
          <cell r="C3319">
            <v>10.701808219178082</v>
          </cell>
        </row>
        <row r="3320">
          <cell r="B3320">
            <v>9.0931999999999995</v>
          </cell>
          <cell r="C3320">
            <v>10.701863013698629</v>
          </cell>
        </row>
        <row r="3321">
          <cell r="B3321">
            <v>9.0959000000000003</v>
          </cell>
          <cell r="C3321">
            <v>10.701917808219177</v>
          </cell>
        </row>
        <row r="3322">
          <cell r="B3322">
            <v>9.0985999999999994</v>
          </cell>
          <cell r="C3322">
            <v>10.701972602739726</v>
          </cell>
        </row>
        <row r="3323">
          <cell r="B3323">
            <v>9.1013999999999999</v>
          </cell>
          <cell r="C3323">
            <v>10.702027397260274</v>
          </cell>
        </row>
        <row r="3324">
          <cell r="B3324">
            <v>9.1041000000000007</v>
          </cell>
          <cell r="C3324">
            <v>10.702082191780821</v>
          </cell>
        </row>
        <row r="3325">
          <cell r="B3325">
            <v>9.1067999999999998</v>
          </cell>
          <cell r="C3325">
            <v>10.702136986301369</v>
          </cell>
        </row>
        <row r="3326">
          <cell r="B3326">
            <v>9.1096000000000004</v>
          </cell>
          <cell r="C3326">
            <v>10.702191780821916</v>
          </cell>
        </row>
        <row r="3327">
          <cell r="B3327">
            <v>9.1122999999999994</v>
          </cell>
          <cell r="C3327">
            <v>10.702246575342466</v>
          </cell>
        </row>
        <row r="3328">
          <cell r="B3328">
            <v>9.1151</v>
          </cell>
          <cell r="C3328">
            <v>10.702301369863013</v>
          </cell>
        </row>
        <row r="3329">
          <cell r="B3329">
            <v>9.1178000000000008</v>
          </cell>
          <cell r="C3329">
            <v>10.702356164383561</v>
          </cell>
        </row>
        <row r="3330">
          <cell r="B3330">
            <v>9.1204999999999998</v>
          </cell>
          <cell r="C3330">
            <v>10.702410958904109</v>
          </cell>
        </row>
        <row r="3331">
          <cell r="B3331">
            <v>9.1233000000000004</v>
          </cell>
          <cell r="C3331">
            <v>10.702465753424656</v>
          </cell>
        </row>
        <row r="3332">
          <cell r="B3332">
            <v>9.1259999999999994</v>
          </cell>
          <cell r="C3332">
            <v>10.702520547945205</v>
          </cell>
        </row>
        <row r="3333">
          <cell r="B3333">
            <v>9.1288</v>
          </cell>
          <cell r="C3333">
            <v>10.702575342465753</v>
          </cell>
        </row>
        <row r="3334">
          <cell r="B3334">
            <v>9.1315000000000008</v>
          </cell>
          <cell r="C3334">
            <v>10.702630136986301</v>
          </cell>
        </row>
        <row r="3335">
          <cell r="B3335">
            <v>9.1341999999999999</v>
          </cell>
          <cell r="C3335">
            <v>10.702684931506848</v>
          </cell>
        </row>
        <row r="3336">
          <cell r="B3336">
            <v>9.1370000000000005</v>
          </cell>
          <cell r="C3336">
            <v>10.702739726027398</v>
          </cell>
        </row>
        <row r="3337">
          <cell r="B3337">
            <v>9.1396999999999995</v>
          </cell>
          <cell r="C3337">
            <v>10.702794520547945</v>
          </cell>
        </row>
        <row r="3338">
          <cell r="B3338">
            <v>9.1425000000000001</v>
          </cell>
          <cell r="C3338">
            <v>10.702849315068493</v>
          </cell>
        </row>
        <row r="3339">
          <cell r="B3339">
            <v>9.1452000000000009</v>
          </cell>
          <cell r="C3339">
            <v>10.70290410958904</v>
          </cell>
        </row>
        <row r="3340">
          <cell r="B3340">
            <v>9.1478999999999999</v>
          </cell>
          <cell r="C3340">
            <v>10.702958904109588</v>
          </cell>
        </row>
        <row r="3341">
          <cell r="B3341">
            <v>9.1507000000000005</v>
          </cell>
          <cell r="C3341">
            <v>10.703013698630137</v>
          </cell>
        </row>
        <row r="3342">
          <cell r="B3342">
            <v>9.1533999999999995</v>
          </cell>
          <cell r="C3342">
            <v>10.703068493150685</v>
          </cell>
        </row>
        <row r="3343">
          <cell r="B3343">
            <v>9.1562000000000001</v>
          </cell>
          <cell r="C3343">
            <v>10.703123287671232</v>
          </cell>
        </row>
        <row r="3344">
          <cell r="B3344">
            <v>9.1588999999999992</v>
          </cell>
          <cell r="C3344">
            <v>10.70317808219178</v>
          </cell>
        </row>
        <row r="3345">
          <cell r="B3345">
            <v>9.1616</v>
          </cell>
          <cell r="C3345">
            <v>10.703232876712327</v>
          </cell>
        </row>
        <row r="3346">
          <cell r="B3346">
            <v>9.1644000000000005</v>
          </cell>
          <cell r="C3346">
            <v>10.703287671232877</v>
          </cell>
        </row>
        <row r="3347">
          <cell r="B3347">
            <v>9.1670999999999996</v>
          </cell>
          <cell r="C3347">
            <v>10.703342465753424</v>
          </cell>
        </row>
        <row r="3348">
          <cell r="B3348">
            <v>9.1699000000000002</v>
          </cell>
          <cell r="C3348">
            <v>10.703397260273972</v>
          </cell>
        </row>
        <row r="3349">
          <cell r="B3349">
            <v>9.1725999999999992</v>
          </cell>
          <cell r="C3349">
            <v>10.70345205479452</v>
          </cell>
        </row>
        <row r="3350">
          <cell r="B3350">
            <v>9.1753</v>
          </cell>
          <cell r="C3350">
            <v>10.703506849315069</v>
          </cell>
        </row>
        <row r="3351">
          <cell r="B3351">
            <v>9.1781000000000006</v>
          </cell>
          <cell r="C3351">
            <v>10.703561643835616</v>
          </cell>
        </row>
        <row r="3352">
          <cell r="B3352">
            <v>9.1807999999999996</v>
          </cell>
          <cell r="C3352">
            <v>10.703616438356164</v>
          </cell>
        </row>
        <row r="3353">
          <cell r="B3353">
            <v>9.1836000000000002</v>
          </cell>
          <cell r="C3353">
            <v>10.703671232876712</v>
          </cell>
        </row>
        <row r="3354">
          <cell r="B3354">
            <v>9.1862999999999992</v>
          </cell>
          <cell r="C3354">
            <v>10.703726027397259</v>
          </cell>
        </row>
        <row r="3355">
          <cell r="B3355">
            <v>9.1890000000000001</v>
          </cell>
          <cell r="C3355">
            <v>10.703780821917809</v>
          </cell>
        </row>
        <row r="3356">
          <cell r="B3356">
            <v>9.1918000000000006</v>
          </cell>
          <cell r="C3356">
            <v>10.703835616438356</v>
          </cell>
        </row>
        <row r="3357">
          <cell r="B3357">
            <v>9.1944999999999997</v>
          </cell>
          <cell r="C3357">
            <v>10.703890410958904</v>
          </cell>
        </row>
        <row r="3358">
          <cell r="B3358">
            <v>9.1973000000000003</v>
          </cell>
          <cell r="C3358">
            <v>10.703945205479451</v>
          </cell>
        </row>
        <row r="3359">
          <cell r="B3359">
            <v>9.1999999999999993</v>
          </cell>
          <cell r="C3359">
            <v>10.703999999999999</v>
          </cell>
        </row>
        <row r="3360">
          <cell r="B3360">
            <v>9.2027000000000001</v>
          </cell>
          <cell r="C3360">
            <v>10.704054794520548</v>
          </cell>
        </row>
        <row r="3361">
          <cell r="B3361">
            <v>9.2055000000000007</v>
          </cell>
          <cell r="C3361">
            <v>10.704109589041096</v>
          </cell>
        </row>
        <row r="3362">
          <cell r="B3362">
            <v>9.2081999999999997</v>
          </cell>
          <cell r="C3362">
            <v>10.704164383561643</v>
          </cell>
        </row>
        <row r="3363">
          <cell r="B3363">
            <v>9.2110000000000003</v>
          </cell>
          <cell r="C3363">
            <v>10.704219178082191</v>
          </cell>
        </row>
        <row r="3364">
          <cell r="B3364">
            <v>9.2136999999999993</v>
          </cell>
          <cell r="C3364">
            <v>10.704273972602738</v>
          </cell>
        </row>
        <row r="3365">
          <cell r="B3365">
            <v>9.2164000000000001</v>
          </cell>
          <cell r="C3365">
            <v>10.704328767123288</v>
          </cell>
        </row>
        <row r="3366">
          <cell r="B3366">
            <v>9.2192000000000007</v>
          </cell>
          <cell r="C3366">
            <v>10.704383561643835</v>
          </cell>
        </row>
        <row r="3367">
          <cell r="B3367">
            <v>9.2218999999999998</v>
          </cell>
          <cell r="C3367">
            <v>10.704438356164383</v>
          </cell>
        </row>
        <row r="3368">
          <cell r="B3368">
            <v>9.2247000000000003</v>
          </cell>
          <cell r="C3368">
            <v>10.704493150684931</v>
          </cell>
        </row>
        <row r="3369">
          <cell r="B3369">
            <v>9.2273999999999994</v>
          </cell>
          <cell r="C3369">
            <v>10.70454794520548</v>
          </cell>
        </row>
        <row r="3370">
          <cell r="B3370">
            <v>9.2301000000000002</v>
          </cell>
          <cell r="C3370">
            <v>10.704602739726027</v>
          </cell>
        </row>
        <row r="3371">
          <cell r="B3371">
            <v>9.2329000000000008</v>
          </cell>
          <cell r="C3371">
            <v>10.704657534246575</v>
          </cell>
        </row>
        <row r="3372">
          <cell r="B3372">
            <v>9.2355999999999998</v>
          </cell>
          <cell r="C3372">
            <v>10.704712328767123</v>
          </cell>
        </row>
        <row r="3373">
          <cell r="B3373">
            <v>9.2384000000000004</v>
          </cell>
          <cell r="C3373">
            <v>10.70476712328767</v>
          </cell>
        </row>
        <row r="3374">
          <cell r="B3374">
            <v>9.2410999999999994</v>
          </cell>
          <cell r="C3374">
            <v>10.70482191780822</v>
          </cell>
        </row>
        <row r="3375">
          <cell r="B3375">
            <v>9.2438000000000002</v>
          </cell>
          <cell r="C3375">
            <v>10.704876712328767</v>
          </cell>
        </row>
        <row r="3376">
          <cell r="B3376">
            <v>9.2466000000000008</v>
          </cell>
          <cell r="C3376">
            <v>10.704931506849315</v>
          </cell>
        </row>
        <row r="3377">
          <cell r="B3377">
            <v>9.2492999999999999</v>
          </cell>
          <cell r="C3377">
            <v>10.704986301369862</v>
          </cell>
        </row>
        <row r="3378">
          <cell r="B3378">
            <v>9.2521000000000004</v>
          </cell>
          <cell r="C3378">
            <v>10.70504109589041</v>
          </cell>
        </row>
        <row r="3379">
          <cell r="B3379">
            <v>9.2547999999999995</v>
          </cell>
          <cell r="C3379">
            <v>10.705095890410959</v>
          </cell>
        </row>
        <row r="3380">
          <cell r="B3380">
            <v>9.2575000000000003</v>
          </cell>
          <cell r="C3380">
            <v>10.705150684931507</v>
          </cell>
        </row>
        <row r="3381">
          <cell r="B3381">
            <v>9.2603000000000009</v>
          </cell>
          <cell r="C3381">
            <v>10.705205479452054</v>
          </cell>
        </row>
        <row r="3382">
          <cell r="B3382">
            <v>9.2629999999999999</v>
          </cell>
          <cell r="C3382">
            <v>10.705260273972602</v>
          </cell>
        </row>
        <row r="3383">
          <cell r="B3383">
            <v>9.2658000000000005</v>
          </cell>
          <cell r="C3383">
            <v>10.70531506849315</v>
          </cell>
        </row>
        <row r="3384">
          <cell r="B3384">
            <v>9.2684999999999995</v>
          </cell>
          <cell r="C3384">
            <v>10.705369863013699</v>
          </cell>
        </row>
        <row r="3385">
          <cell r="B3385">
            <v>9.2712000000000003</v>
          </cell>
          <cell r="C3385">
            <v>10.705424657534246</v>
          </cell>
        </row>
        <row r="3386">
          <cell r="B3386">
            <v>9.2739999999999991</v>
          </cell>
          <cell r="C3386">
            <v>10.705479452054794</v>
          </cell>
        </row>
        <row r="3387">
          <cell r="B3387">
            <v>9.2766999999999999</v>
          </cell>
          <cell r="C3387">
            <v>10.705534246575342</v>
          </cell>
        </row>
        <row r="3388">
          <cell r="B3388">
            <v>9.2795000000000005</v>
          </cell>
          <cell r="C3388">
            <v>10.705589041095891</v>
          </cell>
        </row>
        <row r="3389">
          <cell r="B3389">
            <v>9.2821999999999996</v>
          </cell>
          <cell r="C3389">
            <v>10.705643835616439</v>
          </cell>
        </row>
        <row r="3390">
          <cell r="B3390">
            <v>9.2849000000000004</v>
          </cell>
          <cell r="C3390">
            <v>10.705698630136986</v>
          </cell>
        </row>
        <row r="3391">
          <cell r="B3391">
            <v>9.2876999999999992</v>
          </cell>
          <cell r="C3391">
            <v>10.705753424657534</v>
          </cell>
        </row>
        <row r="3392">
          <cell r="B3392">
            <v>9.2904</v>
          </cell>
          <cell r="C3392">
            <v>10.705808219178081</v>
          </cell>
        </row>
        <row r="3393">
          <cell r="B3393">
            <v>9.2932000000000006</v>
          </cell>
          <cell r="C3393">
            <v>10.705863013698631</v>
          </cell>
        </row>
        <row r="3394">
          <cell r="B3394">
            <v>9.2958999999999996</v>
          </cell>
          <cell r="C3394">
            <v>10.705917808219178</v>
          </cell>
        </row>
        <row r="3395">
          <cell r="B3395">
            <v>9.2986000000000004</v>
          </cell>
          <cell r="C3395">
            <v>10.705972602739726</v>
          </cell>
        </row>
        <row r="3396">
          <cell r="B3396">
            <v>9.3013999999999992</v>
          </cell>
          <cell r="C3396">
            <v>10.706027397260273</v>
          </cell>
        </row>
        <row r="3397">
          <cell r="B3397">
            <v>9.3041</v>
          </cell>
          <cell r="C3397">
            <v>10.706082191780821</v>
          </cell>
        </row>
        <row r="3398">
          <cell r="B3398">
            <v>9.3068000000000008</v>
          </cell>
          <cell r="C3398">
            <v>10.70613698630137</v>
          </cell>
        </row>
        <row r="3399">
          <cell r="B3399">
            <v>9.3095999999999997</v>
          </cell>
          <cell r="C3399">
            <v>10.706191780821918</v>
          </cell>
        </row>
        <row r="3400">
          <cell r="B3400">
            <v>9.3123000000000005</v>
          </cell>
          <cell r="C3400">
            <v>10.706246575342465</v>
          </cell>
        </row>
        <row r="3401">
          <cell r="B3401">
            <v>9.3150999999999993</v>
          </cell>
          <cell r="C3401">
            <v>10.706301369863013</v>
          </cell>
        </row>
        <row r="3402">
          <cell r="B3402">
            <v>9.3178000000000001</v>
          </cell>
          <cell r="C3402">
            <v>10.706356164383561</v>
          </cell>
        </row>
        <row r="3403">
          <cell r="B3403">
            <v>9.3204999999999991</v>
          </cell>
          <cell r="C3403">
            <v>10.70641095890411</v>
          </cell>
        </row>
        <row r="3404">
          <cell r="B3404">
            <v>9.3232999999999997</v>
          </cell>
          <cell r="C3404">
            <v>10.706465753424657</v>
          </cell>
        </row>
        <row r="3405">
          <cell r="B3405">
            <v>9.3260000000000005</v>
          </cell>
          <cell r="C3405">
            <v>10.706520547945205</v>
          </cell>
        </row>
        <row r="3406">
          <cell r="B3406">
            <v>9.3287999999999993</v>
          </cell>
          <cell r="C3406">
            <v>10.706575342465753</v>
          </cell>
        </row>
        <row r="3407">
          <cell r="B3407">
            <v>9.3315000000000001</v>
          </cell>
          <cell r="C3407">
            <v>10.706630136986302</v>
          </cell>
        </row>
        <row r="3408">
          <cell r="B3408">
            <v>9.3341999999999992</v>
          </cell>
          <cell r="C3408">
            <v>10.70668493150685</v>
          </cell>
        </row>
        <row r="3409">
          <cell r="B3409">
            <v>9.3369999999999997</v>
          </cell>
          <cell r="C3409">
            <v>10.706739726027397</v>
          </cell>
        </row>
        <row r="3410">
          <cell r="B3410">
            <v>9.3397000000000006</v>
          </cell>
          <cell r="C3410">
            <v>10.706794520547945</v>
          </cell>
        </row>
        <row r="3411">
          <cell r="B3411">
            <v>9.3424999999999994</v>
          </cell>
          <cell r="C3411">
            <v>10.706849315068492</v>
          </cell>
        </row>
        <row r="3412">
          <cell r="B3412">
            <v>9.3452000000000002</v>
          </cell>
          <cell r="C3412">
            <v>10.706904109589042</v>
          </cell>
        </row>
        <row r="3413">
          <cell r="B3413">
            <v>9.3478999999999992</v>
          </cell>
          <cell r="C3413">
            <v>10.706958904109589</v>
          </cell>
        </row>
        <row r="3414">
          <cell r="B3414">
            <v>9.3506999999999998</v>
          </cell>
          <cell r="C3414">
            <v>10.707013698630137</v>
          </cell>
        </row>
        <row r="3415">
          <cell r="B3415">
            <v>9.3534000000000006</v>
          </cell>
          <cell r="C3415">
            <v>10.707068493150684</v>
          </cell>
        </row>
        <row r="3416">
          <cell r="B3416">
            <v>9.3561999999999994</v>
          </cell>
          <cell r="C3416">
            <v>10.707123287671232</v>
          </cell>
        </row>
        <row r="3417">
          <cell r="B3417">
            <v>9.3589000000000002</v>
          </cell>
          <cell r="C3417">
            <v>10.707178082191781</v>
          </cell>
        </row>
        <row r="3418">
          <cell r="B3418">
            <v>9.3615999999999993</v>
          </cell>
          <cell r="C3418">
            <v>10.707232876712329</v>
          </cell>
        </row>
        <row r="3419">
          <cell r="B3419">
            <v>9.3643999999999998</v>
          </cell>
          <cell r="C3419">
            <v>10.707287671232876</v>
          </cell>
        </row>
        <row r="3420">
          <cell r="B3420">
            <v>9.3671000000000006</v>
          </cell>
          <cell r="C3420">
            <v>10.707342465753424</v>
          </cell>
        </row>
        <row r="3421">
          <cell r="B3421">
            <v>9.3698999999999995</v>
          </cell>
          <cell r="C3421">
            <v>10.707397260273972</v>
          </cell>
        </row>
        <row r="3422">
          <cell r="B3422">
            <v>9.3726000000000003</v>
          </cell>
          <cell r="C3422">
            <v>10.707452054794521</v>
          </cell>
        </row>
        <row r="3423">
          <cell r="B3423">
            <v>9.3752999999999993</v>
          </cell>
          <cell r="C3423">
            <v>10.707506849315068</v>
          </cell>
        </row>
        <row r="3424">
          <cell r="B3424">
            <v>9.3780999999999999</v>
          </cell>
          <cell r="C3424">
            <v>10.707561643835616</v>
          </cell>
        </row>
        <row r="3425">
          <cell r="B3425">
            <v>9.3808000000000007</v>
          </cell>
          <cell r="C3425">
            <v>10.707616438356164</v>
          </cell>
        </row>
        <row r="3426">
          <cell r="B3426">
            <v>9.3835999999999995</v>
          </cell>
          <cell r="C3426">
            <v>10.707671232876713</v>
          </cell>
        </row>
        <row r="3427">
          <cell r="B3427">
            <v>9.3863000000000003</v>
          </cell>
          <cell r="C3427">
            <v>10.707726027397261</v>
          </cell>
        </row>
        <row r="3428">
          <cell r="B3428">
            <v>9.3889999999999993</v>
          </cell>
          <cell r="C3428">
            <v>10.707780821917808</v>
          </cell>
        </row>
        <row r="3429">
          <cell r="B3429">
            <v>9.3917999999999999</v>
          </cell>
          <cell r="C3429">
            <v>10.707835616438356</v>
          </cell>
        </row>
        <row r="3430">
          <cell r="B3430">
            <v>9.3945000000000007</v>
          </cell>
          <cell r="C3430">
            <v>10.707890410958903</v>
          </cell>
        </row>
        <row r="3431">
          <cell r="B3431">
            <v>9.3972999999999995</v>
          </cell>
          <cell r="C3431">
            <v>10.707945205479453</v>
          </cell>
        </row>
        <row r="3432">
          <cell r="B3432">
            <v>9.4</v>
          </cell>
          <cell r="C3432">
            <v>10.708</v>
          </cell>
        </row>
        <row r="3433">
          <cell r="B3433">
            <v>9.4026999999999994</v>
          </cell>
          <cell r="C3433">
            <v>10.708054794520548</v>
          </cell>
        </row>
        <row r="3434">
          <cell r="B3434">
            <v>9.4055</v>
          </cell>
          <cell r="C3434">
            <v>10.708109589041095</v>
          </cell>
        </row>
        <row r="3435">
          <cell r="B3435">
            <v>9.4082000000000008</v>
          </cell>
          <cell r="C3435">
            <v>10.708164383561643</v>
          </cell>
        </row>
        <row r="3436">
          <cell r="B3436">
            <v>9.4109999999999996</v>
          </cell>
          <cell r="C3436">
            <v>10.708219178082192</v>
          </cell>
        </row>
        <row r="3437">
          <cell r="B3437">
            <v>9.4137000000000004</v>
          </cell>
          <cell r="C3437">
            <v>10.70827397260274</v>
          </cell>
        </row>
        <row r="3438">
          <cell r="B3438">
            <v>9.4163999999999994</v>
          </cell>
          <cell r="C3438">
            <v>10.708328767123287</v>
          </cell>
        </row>
        <row r="3439">
          <cell r="B3439">
            <v>9.4192</v>
          </cell>
          <cell r="C3439">
            <v>10.708383561643835</v>
          </cell>
        </row>
        <row r="3440">
          <cell r="B3440">
            <v>9.4219000000000008</v>
          </cell>
          <cell r="C3440">
            <v>10.708438356164383</v>
          </cell>
        </row>
        <row r="3441">
          <cell r="B3441">
            <v>9.4246999999999996</v>
          </cell>
          <cell r="C3441">
            <v>10.708493150684932</v>
          </cell>
        </row>
        <row r="3442">
          <cell r="B3442">
            <v>9.4274000000000004</v>
          </cell>
          <cell r="C3442">
            <v>10.708547945205479</v>
          </cell>
        </row>
        <row r="3443">
          <cell r="B3443">
            <v>9.4300999999999995</v>
          </cell>
          <cell r="C3443">
            <v>10.708602739726027</v>
          </cell>
        </row>
        <row r="3444">
          <cell r="B3444">
            <v>9.4329000000000001</v>
          </cell>
          <cell r="C3444">
            <v>10.708657534246575</v>
          </cell>
        </row>
        <row r="3445">
          <cell r="B3445">
            <v>9.4356000000000009</v>
          </cell>
          <cell r="C3445">
            <v>10.708712328767124</v>
          </cell>
        </row>
        <row r="3446">
          <cell r="B3446">
            <v>9.4383999999999997</v>
          </cell>
          <cell r="C3446">
            <v>10.708767123287672</v>
          </cell>
        </row>
        <row r="3447">
          <cell r="B3447">
            <v>9.4411000000000005</v>
          </cell>
          <cell r="C3447">
            <v>10.708821917808219</v>
          </cell>
        </row>
        <row r="3448">
          <cell r="B3448">
            <v>9.4437999999999995</v>
          </cell>
          <cell r="C3448">
            <v>10.708876712328767</v>
          </cell>
        </row>
        <row r="3449">
          <cell r="B3449">
            <v>9.4466000000000001</v>
          </cell>
          <cell r="C3449">
            <v>10.708931506849314</v>
          </cell>
        </row>
        <row r="3450">
          <cell r="B3450">
            <v>9.4492999999999991</v>
          </cell>
          <cell r="C3450">
            <v>10.708986301369864</v>
          </cell>
        </row>
        <row r="3451">
          <cell r="B3451">
            <v>9.4520999999999997</v>
          </cell>
          <cell r="C3451">
            <v>10.709041095890411</v>
          </cell>
        </row>
        <row r="3452">
          <cell r="B3452">
            <v>9.4548000000000005</v>
          </cell>
          <cell r="C3452">
            <v>10.709095890410959</v>
          </cell>
        </row>
        <row r="3453">
          <cell r="B3453">
            <v>9.4574999999999996</v>
          </cell>
          <cell r="C3453">
            <v>10.709150684931506</v>
          </cell>
        </row>
        <row r="3454">
          <cell r="B3454">
            <v>9.4603000000000002</v>
          </cell>
          <cell r="C3454">
            <v>10.709205479452054</v>
          </cell>
        </row>
        <row r="3455">
          <cell r="B3455">
            <v>9.4629999999999992</v>
          </cell>
          <cell r="C3455">
            <v>10.709260273972603</v>
          </cell>
        </row>
        <row r="3456">
          <cell r="B3456">
            <v>9.4657999999999998</v>
          </cell>
          <cell r="C3456">
            <v>10.709315068493151</v>
          </cell>
        </row>
        <row r="3457">
          <cell r="B3457">
            <v>9.4685000000000006</v>
          </cell>
          <cell r="C3457">
            <v>10.709369863013698</v>
          </cell>
        </row>
        <row r="3458">
          <cell r="B3458">
            <v>9.4711999999999996</v>
          </cell>
          <cell r="C3458">
            <v>10.709424657534246</v>
          </cell>
        </row>
        <row r="3459">
          <cell r="B3459">
            <v>9.4740000000000002</v>
          </cell>
          <cell r="C3459">
            <v>10.709479452054794</v>
          </cell>
        </row>
        <row r="3460">
          <cell r="B3460">
            <v>9.4766999999999992</v>
          </cell>
          <cell r="C3460">
            <v>10.709534246575343</v>
          </cell>
        </row>
        <row r="3461">
          <cell r="B3461">
            <v>9.4794999999999998</v>
          </cell>
          <cell r="C3461">
            <v>10.70958904109589</v>
          </cell>
        </row>
        <row r="3462">
          <cell r="B3462">
            <v>9.4822000000000006</v>
          </cell>
          <cell r="C3462">
            <v>10.709643835616438</v>
          </cell>
        </row>
        <row r="3463">
          <cell r="B3463">
            <v>9.4848999999999997</v>
          </cell>
          <cell r="C3463">
            <v>10.709698630136986</v>
          </cell>
        </row>
        <row r="3464">
          <cell r="B3464">
            <v>9.4877000000000002</v>
          </cell>
          <cell r="C3464">
            <v>10.709753424657535</v>
          </cell>
        </row>
        <row r="3465">
          <cell r="B3465">
            <v>9.4903999999999993</v>
          </cell>
          <cell r="C3465">
            <v>10.709808219178083</v>
          </cell>
        </row>
        <row r="3466">
          <cell r="B3466">
            <v>9.4931999999999999</v>
          </cell>
          <cell r="C3466">
            <v>10.70986301369863</v>
          </cell>
        </row>
        <row r="3467">
          <cell r="B3467">
            <v>9.4959000000000007</v>
          </cell>
          <cell r="C3467">
            <v>10.709917808219178</v>
          </cell>
        </row>
        <row r="3468">
          <cell r="B3468">
            <v>9.4985999999999997</v>
          </cell>
          <cell r="C3468">
            <v>10.709972602739725</v>
          </cell>
        </row>
        <row r="3469">
          <cell r="B3469">
            <v>9.5014000000000003</v>
          </cell>
          <cell r="C3469">
            <v>10.710027397260275</v>
          </cell>
        </row>
        <row r="3470">
          <cell r="B3470">
            <v>9.5040999999999993</v>
          </cell>
          <cell r="C3470">
            <v>10.710082191780822</v>
          </cell>
        </row>
        <row r="3471">
          <cell r="B3471">
            <v>9.5068000000000001</v>
          </cell>
          <cell r="C3471">
            <v>10.71013698630137</v>
          </cell>
        </row>
        <row r="3472">
          <cell r="B3472">
            <v>9.5096000000000007</v>
          </cell>
          <cell r="C3472">
            <v>10.710191780821917</v>
          </cell>
        </row>
        <row r="3473">
          <cell r="B3473">
            <v>9.5122999999999998</v>
          </cell>
          <cell r="C3473">
            <v>10.710246575342465</v>
          </cell>
        </row>
        <row r="3474">
          <cell r="B3474">
            <v>9.5151000000000003</v>
          </cell>
          <cell r="C3474">
            <v>10.710301369863014</v>
          </cell>
        </row>
        <row r="3475">
          <cell r="B3475">
            <v>9.5177999999999994</v>
          </cell>
          <cell r="C3475">
            <v>10.710356164383562</v>
          </cell>
        </row>
        <row r="3476">
          <cell r="B3476">
            <v>9.5205000000000002</v>
          </cell>
          <cell r="C3476">
            <v>10.710410958904109</v>
          </cell>
        </row>
        <row r="3477">
          <cell r="B3477">
            <v>9.5233000000000008</v>
          </cell>
          <cell r="C3477">
            <v>10.710465753424657</v>
          </cell>
        </row>
        <row r="3478">
          <cell r="B3478">
            <v>9.5259999999999998</v>
          </cell>
          <cell r="C3478">
            <v>10.710520547945206</v>
          </cell>
        </row>
        <row r="3479">
          <cell r="B3479">
            <v>9.5288000000000004</v>
          </cell>
          <cell r="C3479">
            <v>10.710575342465754</v>
          </cell>
        </row>
        <row r="3480">
          <cell r="B3480">
            <v>9.5314999999999994</v>
          </cell>
          <cell r="C3480">
            <v>10.710630136986302</v>
          </cell>
        </row>
        <row r="3481">
          <cell r="B3481">
            <v>9.5342000000000002</v>
          </cell>
          <cell r="C3481">
            <v>10.710684931506849</v>
          </cell>
        </row>
        <row r="3482">
          <cell r="B3482">
            <v>9.5370000000000008</v>
          </cell>
          <cell r="C3482">
            <v>10.710739726027397</v>
          </cell>
        </row>
        <row r="3483">
          <cell r="B3483">
            <v>9.5396999999999998</v>
          </cell>
          <cell r="C3483">
            <v>10.710794520547946</v>
          </cell>
        </row>
        <row r="3484">
          <cell r="B3484">
            <v>9.5425000000000004</v>
          </cell>
          <cell r="C3484">
            <v>10.710849315068494</v>
          </cell>
        </row>
        <row r="3485">
          <cell r="B3485">
            <v>9.5451999999999995</v>
          </cell>
          <cell r="C3485">
            <v>10.710904109589041</v>
          </cell>
        </row>
        <row r="3486">
          <cell r="B3486">
            <v>9.5479000000000003</v>
          </cell>
          <cell r="C3486">
            <v>10.710958904109589</v>
          </cell>
        </row>
        <row r="3487">
          <cell r="B3487">
            <v>9.5507000000000009</v>
          </cell>
          <cell r="C3487">
            <v>10.711013698630136</v>
          </cell>
        </row>
        <row r="3488">
          <cell r="B3488">
            <v>9.5533999999999999</v>
          </cell>
          <cell r="C3488">
            <v>10.711068493150686</v>
          </cell>
        </row>
        <row r="3489">
          <cell r="B3489">
            <v>9.5562000000000005</v>
          </cell>
          <cell r="C3489">
            <v>10.711123287671233</v>
          </cell>
        </row>
        <row r="3490">
          <cell r="B3490">
            <v>9.5588999999999995</v>
          </cell>
          <cell r="C3490">
            <v>10.711178082191781</v>
          </cell>
        </row>
        <row r="3491">
          <cell r="B3491">
            <v>9.5616000000000003</v>
          </cell>
          <cell r="C3491">
            <v>10.711232876712328</v>
          </cell>
        </row>
        <row r="3492">
          <cell r="B3492">
            <v>9.5643999999999991</v>
          </cell>
          <cell r="C3492">
            <v>10.711287671232876</v>
          </cell>
        </row>
        <row r="3493">
          <cell r="B3493">
            <v>9.5670999999999999</v>
          </cell>
          <cell r="C3493">
            <v>10.711342465753425</v>
          </cell>
        </row>
        <row r="3494">
          <cell r="B3494">
            <v>9.5699000000000005</v>
          </cell>
          <cell r="C3494">
            <v>10.711397260273973</v>
          </cell>
        </row>
        <row r="3495">
          <cell r="B3495">
            <v>9.5725999999999996</v>
          </cell>
          <cell r="C3495">
            <v>10.71145205479452</v>
          </cell>
        </row>
        <row r="3496">
          <cell r="B3496">
            <v>9.5753000000000004</v>
          </cell>
          <cell r="C3496">
            <v>10.711506849315068</v>
          </cell>
        </row>
        <row r="3497">
          <cell r="B3497">
            <v>9.5780999999999992</v>
          </cell>
          <cell r="C3497">
            <v>10.711561643835617</v>
          </cell>
        </row>
        <row r="3498">
          <cell r="B3498">
            <v>9.5808</v>
          </cell>
          <cell r="C3498">
            <v>10.711616438356165</v>
          </cell>
        </row>
        <row r="3499">
          <cell r="B3499">
            <v>9.5836000000000006</v>
          </cell>
          <cell r="C3499">
            <v>10.711671232876713</v>
          </cell>
        </row>
        <row r="3500">
          <cell r="B3500">
            <v>9.5862999999999996</v>
          </cell>
          <cell r="C3500">
            <v>10.71172602739726</v>
          </cell>
        </row>
        <row r="3501">
          <cell r="B3501">
            <v>9.5890000000000004</v>
          </cell>
          <cell r="C3501">
            <v>10.711780821917808</v>
          </cell>
        </row>
        <row r="3502">
          <cell r="B3502">
            <v>9.5917999999999992</v>
          </cell>
          <cell r="C3502">
            <v>10.711835616438357</v>
          </cell>
        </row>
        <row r="3503">
          <cell r="B3503">
            <v>9.5945</v>
          </cell>
          <cell r="C3503">
            <v>10.711890410958905</v>
          </cell>
        </row>
        <row r="3504">
          <cell r="B3504">
            <v>9.5973000000000006</v>
          </cell>
          <cell r="C3504">
            <v>10.711945205479452</v>
          </cell>
        </row>
        <row r="3505">
          <cell r="B3505">
            <v>9.6</v>
          </cell>
          <cell r="C3505">
            <v>10.712</v>
          </cell>
        </row>
        <row r="3506">
          <cell r="B3506">
            <v>9.6027000000000005</v>
          </cell>
          <cell r="C3506">
            <v>10.712054794520547</v>
          </cell>
        </row>
        <row r="3507">
          <cell r="B3507">
            <v>9.6054999999999993</v>
          </cell>
          <cell r="C3507">
            <v>10.712109589041097</v>
          </cell>
        </row>
        <row r="3508">
          <cell r="B3508">
            <v>9.6082000000000001</v>
          </cell>
          <cell r="C3508">
            <v>10.712164383561644</v>
          </cell>
        </row>
        <row r="3509">
          <cell r="B3509">
            <v>9.6110000000000007</v>
          </cell>
          <cell r="C3509">
            <v>10.712219178082192</v>
          </cell>
        </row>
        <row r="3510">
          <cell r="B3510">
            <v>9.6136999999999997</v>
          </cell>
          <cell r="C3510">
            <v>10.712273972602739</v>
          </cell>
        </row>
        <row r="3511">
          <cell r="B3511">
            <v>9.6164000000000005</v>
          </cell>
          <cell r="C3511">
            <v>10.712328767123287</v>
          </cell>
        </row>
        <row r="3512">
          <cell r="B3512">
            <v>9.6191999999999993</v>
          </cell>
          <cell r="C3512">
            <v>10.712383561643836</v>
          </cell>
        </row>
        <row r="3513">
          <cell r="B3513">
            <v>9.6219000000000001</v>
          </cell>
          <cell r="C3513">
            <v>10.712438356164384</v>
          </cell>
        </row>
        <row r="3514">
          <cell r="B3514">
            <v>9.6247000000000007</v>
          </cell>
          <cell r="C3514">
            <v>10.712493150684931</v>
          </cell>
        </row>
        <row r="3515">
          <cell r="B3515">
            <v>9.6273999999999997</v>
          </cell>
          <cell r="C3515">
            <v>10.712547945205479</v>
          </cell>
        </row>
        <row r="3516">
          <cell r="B3516">
            <v>9.6301000000000005</v>
          </cell>
          <cell r="C3516">
            <v>10.712602739726028</v>
          </cell>
        </row>
        <row r="3517">
          <cell r="B3517">
            <v>9.6328999999999994</v>
          </cell>
          <cell r="C3517">
            <v>10.712657534246576</v>
          </cell>
        </row>
        <row r="3518">
          <cell r="B3518">
            <v>9.6356000000000002</v>
          </cell>
          <cell r="C3518">
            <v>10.712712328767124</v>
          </cell>
        </row>
        <row r="3519">
          <cell r="B3519">
            <v>9.6384000000000007</v>
          </cell>
          <cell r="C3519">
            <v>10.712767123287671</v>
          </cell>
        </row>
        <row r="3520">
          <cell r="B3520">
            <v>9.6410999999999998</v>
          </cell>
          <cell r="C3520">
            <v>10.712821917808219</v>
          </cell>
        </row>
        <row r="3521">
          <cell r="B3521">
            <v>9.6438000000000006</v>
          </cell>
          <cell r="C3521">
            <v>10.712876712328768</v>
          </cell>
        </row>
        <row r="3522">
          <cell r="B3522">
            <v>9.6465999999999994</v>
          </cell>
          <cell r="C3522">
            <v>10.712931506849316</v>
          </cell>
        </row>
        <row r="3523">
          <cell r="B3523">
            <v>9.6493000000000002</v>
          </cell>
          <cell r="C3523">
            <v>10.712986301369863</v>
          </cell>
        </row>
        <row r="3524">
          <cell r="B3524">
            <v>9.6521000000000008</v>
          </cell>
          <cell r="C3524">
            <v>10.713041095890411</v>
          </cell>
        </row>
        <row r="3525">
          <cell r="B3525">
            <v>9.6547999999999998</v>
          </cell>
          <cell r="C3525">
            <v>10.713095890410958</v>
          </cell>
        </row>
        <row r="3526">
          <cell r="B3526">
            <v>9.6575000000000006</v>
          </cell>
          <cell r="C3526">
            <v>10.713150684931508</v>
          </cell>
        </row>
        <row r="3527">
          <cell r="B3527">
            <v>9.6602999999999994</v>
          </cell>
          <cell r="C3527">
            <v>10.713205479452055</v>
          </cell>
        </row>
        <row r="3528">
          <cell r="B3528">
            <v>9.6630000000000003</v>
          </cell>
          <cell r="C3528">
            <v>10.713260273972603</v>
          </cell>
        </row>
        <row r="3529">
          <cell r="B3529">
            <v>9.6658000000000008</v>
          </cell>
          <cell r="C3529">
            <v>10.71331506849315</v>
          </cell>
        </row>
        <row r="3530">
          <cell r="B3530">
            <v>9.6684999999999999</v>
          </cell>
          <cell r="C3530">
            <v>10.713369863013698</v>
          </cell>
        </row>
        <row r="3531">
          <cell r="B3531">
            <v>9.6712000000000007</v>
          </cell>
          <cell r="C3531">
            <v>10.713424657534247</v>
          </cell>
        </row>
        <row r="3532">
          <cell r="B3532">
            <v>9.6739999999999995</v>
          </cell>
          <cell r="C3532">
            <v>10.713479452054795</v>
          </cell>
        </row>
        <row r="3533">
          <cell r="B3533">
            <v>9.6767000000000003</v>
          </cell>
          <cell r="C3533">
            <v>10.713534246575342</v>
          </cell>
        </row>
        <row r="3534">
          <cell r="B3534">
            <v>9.6795000000000009</v>
          </cell>
          <cell r="C3534">
            <v>10.71358904109589</v>
          </cell>
        </row>
        <row r="3535">
          <cell r="B3535">
            <v>9.6821999999999999</v>
          </cell>
          <cell r="C3535">
            <v>10.713643835616439</v>
          </cell>
        </row>
        <row r="3536">
          <cell r="B3536">
            <v>9.6849000000000007</v>
          </cell>
          <cell r="C3536">
            <v>10.713698630136987</v>
          </cell>
        </row>
        <row r="3537">
          <cell r="B3537">
            <v>9.6876999999999995</v>
          </cell>
          <cell r="C3537">
            <v>10.713753424657535</v>
          </cell>
        </row>
        <row r="3538">
          <cell r="B3538">
            <v>9.6904000000000003</v>
          </cell>
          <cell r="C3538">
            <v>10.713808219178082</v>
          </cell>
        </row>
        <row r="3539">
          <cell r="B3539">
            <v>9.6931999999999992</v>
          </cell>
          <cell r="C3539">
            <v>10.71386301369863</v>
          </cell>
        </row>
        <row r="3540">
          <cell r="B3540">
            <v>9.6959</v>
          </cell>
          <cell r="C3540">
            <v>10.713917808219179</v>
          </cell>
        </row>
        <row r="3541">
          <cell r="B3541">
            <v>9.6986000000000008</v>
          </cell>
          <cell r="C3541">
            <v>10.713972602739727</v>
          </cell>
        </row>
        <row r="3542">
          <cell r="B3542">
            <v>9.7013999999999996</v>
          </cell>
          <cell r="C3542">
            <v>10.714027397260274</v>
          </cell>
        </row>
        <row r="3543">
          <cell r="B3543">
            <v>9.7041000000000004</v>
          </cell>
          <cell r="C3543">
            <v>10.714082191780822</v>
          </cell>
        </row>
        <row r="3544">
          <cell r="B3544">
            <v>9.7067999999999994</v>
          </cell>
          <cell r="C3544">
            <v>10.714136986301369</v>
          </cell>
        </row>
        <row r="3545">
          <cell r="B3545">
            <v>9.7096</v>
          </cell>
          <cell r="C3545">
            <v>10.714191780821919</v>
          </cell>
        </row>
        <row r="3546">
          <cell r="B3546">
            <v>9.7123000000000008</v>
          </cell>
          <cell r="C3546">
            <v>10.714246575342466</v>
          </cell>
        </row>
        <row r="3547">
          <cell r="B3547">
            <v>9.7150999999999996</v>
          </cell>
          <cell r="C3547">
            <v>10.714301369863014</v>
          </cell>
        </row>
        <row r="3548">
          <cell r="B3548">
            <v>9.7178000000000004</v>
          </cell>
          <cell r="C3548">
            <v>10.714356164383561</v>
          </cell>
        </row>
        <row r="3549">
          <cell r="B3549">
            <v>9.7204999999999995</v>
          </cell>
          <cell r="C3549">
            <v>10.714410958904109</v>
          </cell>
        </row>
        <row r="3550">
          <cell r="B3550">
            <v>9.7233000000000001</v>
          </cell>
          <cell r="C3550">
            <v>10.714465753424658</v>
          </cell>
        </row>
        <row r="3551">
          <cell r="B3551">
            <v>9.7260000000000009</v>
          </cell>
          <cell r="C3551">
            <v>10.714520547945206</v>
          </cell>
        </row>
        <row r="3552">
          <cell r="B3552">
            <v>9.7287999999999997</v>
          </cell>
          <cell r="C3552">
            <v>10.714575342465753</v>
          </cell>
        </row>
        <row r="3553">
          <cell r="B3553">
            <v>9.7315000000000005</v>
          </cell>
          <cell r="C3553">
            <v>10.714630136986301</v>
          </cell>
        </row>
        <row r="3554">
          <cell r="B3554">
            <v>9.7341999999999995</v>
          </cell>
          <cell r="C3554">
            <v>10.71468493150685</v>
          </cell>
        </row>
        <row r="3555">
          <cell r="B3555">
            <v>9.7370000000000001</v>
          </cell>
          <cell r="C3555">
            <v>10.714739726027398</v>
          </cell>
        </row>
        <row r="3556">
          <cell r="B3556">
            <v>9.7396999999999991</v>
          </cell>
          <cell r="C3556">
            <v>10.714794520547946</v>
          </cell>
        </row>
        <row r="3557">
          <cell r="B3557">
            <v>9.7424999999999997</v>
          </cell>
          <cell r="C3557">
            <v>10.714849315068493</v>
          </cell>
        </row>
        <row r="3558">
          <cell r="B3558">
            <v>9.7452000000000005</v>
          </cell>
          <cell r="C3558">
            <v>10.714904109589041</v>
          </cell>
        </row>
        <row r="3559">
          <cell r="B3559">
            <v>9.7478999999999996</v>
          </cell>
          <cell r="C3559">
            <v>10.71495890410959</v>
          </cell>
        </row>
        <row r="3560">
          <cell r="B3560">
            <v>9.7507000000000001</v>
          </cell>
          <cell r="C3560">
            <v>10.715013698630138</v>
          </cell>
        </row>
        <row r="3561">
          <cell r="B3561">
            <v>9.7533999999999992</v>
          </cell>
          <cell r="C3561">
            <v>10.715068493150685</v>
          </cell>
        </row>
        <row r="3562">
          <cell r="B3562">
            <v>9.7561999999999998</v>
          </cell>
          <cell r="C3562">
            <v>10.715123287671233</v>
          </cell>
        </row>
        <row r="3563">
          <cell r="B3563">
            <v>9.7589000000000006</v>
          </cell>
          <cell r="C3563">
            <v>10.71517808219178</v>
          </cell>
        </row>
        <row r="3564">
          <cell r="B3564">
            <v>9.7615999999999996</v>
          </cell>
          <cell r="C3564">
            <v>10.71523287671233</v>
          </cell>
        </row>
        <row r="3565">
          <cell r="B3565">
            <v>9.7644000000000002</v>
          </cell>
          <cell r="C3565">
            <v>10.715287671232877</v>
          </cell>
        </row>
        <row r="3566">
          <cell r="B3566">
            <v>9.7670999999999992</v>
          </cell>
          <cell r="C3566">
            <v>10.715342465753425</v>
          </cell>
        </row>
        <row r="3567">
          <cell r="B3567">
            <v>9.7698999999999998</v>
          </cell>
          <cell r="C3567">
            <v>10.715397260273972</v>
          </cell>
        </row>
        <row r="3568">
          <cell r="B3568">
            <v>9.7726000000000006</v>
          </cell>
          <cell r="C3568">
            <v>10.71545205479452</v>
          </cell>
        </row>
        <row r="3569">
          <cell r="B3569">
            <v>9.7752999999999997</v>
          </cell>
          <cell r="C3569">
            <v>10.715506849315069</v>
          </cell>
        </row>
        <row r="3570">
          <cell r="B3570">
            <v>9.7781000000000002</v>
          </cell>
          <cell r="C3570">
            <v>10.715561643835617</v>
          </cell>
        </row>
        <row r="3571">
          <cell r="B3571">
            <v>9.7807999999999993</v>
          </cell>
          <cell r="C3571">
            <v>10.715616438356165</v>
          </cell>
        </row>
        <row r="3572">
          <cell r="B3572">
            <v>9.7835999999999999</v>
          </cell>
          <cell r="C3572">
            <v>10.715671232876712</v>
          </cell>
        </row>
        <row r="3573">
          <cell r="B3573">
            <v>9.7863000000000007</v>
          </cell>
          <cell r="C3573">
            <v>10.715726027397261</v>
          </cell>
        </row>
        <row r="3574">
          <cell r="B3574">
            <v>9.7889999999999997</v>
          </cell>
          <cell r="C3574">
            <v>10.715780821917809</v>
          </cell>
        </row>
        <row r="3575">
          <cell r="B3575">
            <v>9.7918000000000003</v>
          </cell>
          <cell r="C3575">
            <v>10.715835616438357</v>
          </cell>
        </row>
        <row r="3576">
          <cell r="B3576">
            <v>9.7944999999999993</v>
          </cell>
          <cell r="C3576">
            <v>10.715890410958904</v>
          </cell>
        </row>
        <row r="3577">
          <cell r="B3577">
            <v>9.7972999999999999</v>
          </cell>
          <cell r="C3577">
            <v>10.715945205479452</v>
          </cell>
        </row>
        <row r="3578">
          <cell r="B3578">
            <v>9.8000000000000007</v>
          </cell>
          <cell r="C3578">
            <v>10.716000000000001</v>
          </cell>
        </row>
        <row r="3579">
          <cell r="B3579">
            <v>9.8026999999999997</v>
          </cell>
          <cell r="C3579">
            <v>10.716054794520549</v>
          </cell>
        </row>
        <row r="3580">
          <cell r="B3580">
            <v>9.8055000000000003</v>
          </cell>
          <cell r="C3580">
            <v>10.716109589041096</v>
          </cell>
        </row>
        <row r="3581">
          <cell r="B3581">
            <v>9.8081999999999994</v>
          </cell>
          <cell r="C3581">
            <v>10.716164383561644</v>
          </cell>
        </row>
        <row r="3582">
          <cell r="B3582">
            <v>9.8109999999999999</v>
          </cell>
          <cell r="C3582">
            <v>10.716219178082191</v>
          </cell>
        </row>
        <row r="3583">
          <cell r="B3583">
            <v>9.8137000000000008</v>
          </cell>
          <cell r="C3583">
            <v>10.716273972602741</v>
          </cell>
        </row>
        <row r="3584">
          <cell r="B3584">
            <v>9.8163999999999998</v>
          </cell>
          <cell r="C3584">
            <v>10.716328767123288</v>
          </cell>
        </row>
        <row r="3585">
          <cell r="B3585">
            <v>9.8192000000000004</v>
          </cell>
          <cell r="C3585">
            <v>10.716383561643836</v>
          </cell>
        </row>
        <row r="3586">
          <cell r="B3586">
            <v>9.8218999999999994</v>
          </cell>
          <cell r="C3586">
            <v>10.716438356164383</v>
          </cell>
        </row>
        <row r="3587">
          <cell r="B3587">
            <v>9.8247</v>
          </cell>
          <cell r="C3587">
            <v>10.716493150684933</v>
          </cell>
        </row>
        <row r="3588">
          <cell r="B3588">
            <v>9.8274000000000008</v>
          </cell>
          <cell r="C3588">
            <v>10.71654794520548</v>
          </cell>
        </row>
        <row r="3589">
          <cell r="B3589">
            <v>9.8300999999999998</v>
          </cell>
          <cell r="C3589">
            <v>10.716602739726028</v>
          </cell>
        </row>
        <row r="3590">
          <cell r="B3590">
            <v>9.8329000000000004</v>
          </cell>
          <cell r="C3590">
            <v>10.716657534246576</v>
          </cell>
        </row>
        <row r="3591">
          <cell r="B3591">
            <v>9.8355999999999995</v>
          </cell>
          <cell r="C3591">
            <v>10.716712328767123</v>
          </cell>
        </row>
        <row r="3592">
          <cell r="B3592">
            <v>9.8384</v>
          </cell>
          <cell r="C3592">
            <v>10.716767123287672</v>
          </cell>
        </row>
        <row r="3593">
          <cell r="B3593">
            <v>9.8411000000000008</v>
          </cell>
          <cell r="C3593">
            <v>10.71682191780822</v>
          </cell>
        </row>
        <row r="3594">
          <cell r="B3594">
            <v>9.8437999999999999</v>
          </cell>
          <cell r="C3594">
            <v>10.716876712328768</v>
          </cell>
        </row>
        <row r="3595">
          <cell r="B3595">
            <v>9.8466000000000005</v>
          </cell>
          <cell r="C3595">
            <v>10.716931506849315</v>
          </cell>
        </row>
        <row r="3596">
          <cell r="B3596">
            <v>9.8492999999999995</v>
          </cell>
          <cell r="C3596">
            <v>10.716986301369863</v>
          </cell>
        </row>
        <row r="3597">
          <cell r="B3597">
            <v>9.8521000000000001</v>
          </cell>
          <cell r="C3597">
            <v>10.717041095890412</v>
          </cell>
        </row>
        <row r="3598">
          <cell r="B3598">
            <v>9.8547999999999991</v>
          </cell>
          <cell r="C3598">
            <v>10.71709589041096</v>
          </cell>
        </row>
        <row r="3599">
          <cell r="B3599">
            <v>9.8574999999999999</v>
          </cell>
          <cell r="C3599">
            <v>10.717150684931507</v>
          </cell>
        </row>
        <row r="3600">
          <cell r="B3600">
            <v>9.8603000000000005</v>
          </cell>
          <cell r="C3600">
            <v>10.717205479452055</v>
          </cell>
        </row>
        <row r="3601">
          <cell r="B3601">
            <v>9.8629999999999995</v>
          </cell>
          <cell r="C3601">
            <v>10.717260273972602</v>
          </cell>
        </row>
        <row r="3602">
          <cell r="B3602">
            <v>9.8658000000000001</v>
          </cell>
          <cell r="C3602">
            <v>10.717315068493152</v>
          </cell>
        </row>
        <row r="3603">
          <cell r="B3603">
            <v>9.8684999999999992</v>
          </cell>
          <cell r="C3603">
            <v>10.717369863013699</v>
          </cell>
        </row>
        <row r="3604">
          <cell r="B3604">
            <v>9.8712</v>
          </cell>
          <cell r="C3604">
            <v>10.717424657534247</v>
          </cell>
        </row>
        <row r="3605">
          <cell r="B3605">
            <v>9.8740000000000006</v>
          </cell>
          <cell r="C3605">
            <v>10.717479452054794</v>
          </cell>
        </row>
        <row r="3606">
          <cell r="B3606">
            <v>9.8766999999999996</v>
          </cell>
          <cell r="C3606">
            <v>10.717534246575344</v>
          </cell>
        </row>
        <row r="3607">
          <cell r="B3607">
            <v>9.8795000000000002</v>
          </cell>
          <cell r="C3607">
            <v>10.717589041095891</v>
          </cell>
        </row>
        <row r="3608">
          <cell r="B3608">
            <v>9.8821999999999992</v>
          </cell>
          <cell r="C3608">
            <v>10.717643835616439</v>
          </cell>
        </row>
        <row r="3609">
          <cell r="B3609">
            <v>9.8849</v>
          </cell>
          <cell r="C3609">
            <v>10.717698630136987</v>
          </cell>
        </row>
        <row r="3610">
          <cell r="B3610">
            <v>9.8877000000000006</v>
          </cell>
          <cell r="C3610">
            <v>10.717753424657534</v>
          </cell>
        </row>
        <row r="3611">
          <cell r="B3611">
            <v>9.8903999999999996</v>
          </cell>
          <cell r="C3611">
            <v>10.717808219178083</v>
          </cell>
        </row>
        <row r="3612">
          <cell r="B3612">
            <v>9.8932000000000002</v>
          </cell>
          <cell r="C3612">
            <v>10.717863013698631</v>
          </cell>
        </row>
        <row r="3613">
          <cell r="B3613">
            <v>9.8958999999999993</v>
          </cell>
          <cell r="C3613">
            <v>10.717917808219179</v>
          </cell>
        </row>
        <row r="3614">
          <cell r="B3614">
            <v>9.8986000000000001</v>
          </cell>
          <cell r="C3614">
            <v>10.717972602739726</v>
          </cell>
        </row>
        <row r="3615">
          <cell r="B3615">
            <v>9.9014000000000006</v>
          </cell>
          <cell r="C3615">
            <v>10.718027397260274</v>
          </cell>
        </row>
        <row r="3616">
          <cell r="B3616">
            <v>9.9040999999999997</v>
          </cell>
          <cell r="C3616">
            <v>10.718082191780823</v>
          </cell>
        </row>
        <row r="3617">
          <cell r="B3617">
            <v>9.9068000000000005</v>
          </cell>
          <cell r="C3617">
            <v>10.718136986301371</v>
          </cell>
        </row>
        <row r="3618">
          <cell r="B3618">
            <v>9.9095999999999993</v>
          </cell>
          <cell r="C3618">
            <v>10.718191780821918</v>
          </cell>
        </row>
        <row r="3619">
          <cell r="B3619">
            <v>9.9123000000000001</v>
          </cell>
          <cell r="C3619">
            <v>10.718246575342466</v>
          </cell>
        </row>
        <row r="3620">
          <cell r="B3620">
            <v>9.9151000000000007</v>
          </cell>
          <cell r="C3620">
            <v>10.718301369863013</v>
          </cell>
        </row>
        <row r="3621">
          <cell r="B3621">
            <v>9.9177999999999997</v>
          </cell>
          <cell r="C3621">
            <v>10.718356164383563</v>
          </cell>
        </row>
        <row r="3622">
          <cell r="B3622">
            <v>9.9205000000000005</v>
          </cell>
          <cell r="C3622">
            <v>10.71841095890411</v>
          </cell>
        </row>
        <row r="3623">
          <cell r="B3623">
            <v>9.9232999999999993</v>
          </cell>
          <cell r="C3623">
            <v>10.718465753424658</v>
          </cell>
        </row>
        <row r="3624">
          <cell r="B3624">
            <v>9.9260000000000002</v>
          </cell>
          <cell r="C3624">
            <v>10.718520547945205</v>
          </cell>
        </row>
        <row r="3625">
          <cell r="B3625">
            <v>9.9288000000000007</v>
          </cell>
          <cell r="C3625">
            <v>10.718575342465755</v>
          </cell>
        </row>
        <row r="3626">
          <cell r="B3626">
            <v>9.9314999999999998</v>
          </cell>
          <cell r="C3626">
            <v>10.718630136986302</v>
          </cell>
        </row>
        <row r="3627">
          <cell r="B3627">
            <v>9.9342000000000006</v>
          </cell>
          <cell r="C3627">
            <v>10.71868493150685</v>
          </cell>
        </row>
        <row r="3628">
          <cell r="B3628">
            <v>9.9369999999999994</v>
          </cell>
          <cell r="C3628">
            <v>10.718739726027398</v>
          </cell>
        </row>
        <row r="3629">
          <cell r="B3629">
            <v>9.9397000000000002</v>
          </cell>
          <cell r="C3629">
            <v>10.718794520547945</v>
          </cell>
        </row>
        <row r="3630">
          <cell r="B3630">
            <v>9.9425000000000008</v>
          </cell>
          <cell r="C3630">
            <v>10.718849315068494</v>
          </cell>
        </row>
        <row r="3631">
          <cell r="B3631">
            <v>9.9451999999999998</v>
          </cell>
          <cell r="C3631">
            <v>10.718904109589042</v>
          </cell>
        </row>
        <row r="3632">
          <cell r="B3632">
            <v>9.9479000000000006</v>
          </cell>
          <cell r="C3632">
            <v>10.71895890410959</v>
          </cell>
        </row>
        <row r="3633">
          <cell r="B3633">
            <v>9.9506999999999994</v>
          </cell>
          <cell r="C3633">
            <v>10.719013698630137</v>
          </cell>
        </row>
        <row r="3634">
          <cell r="B3634">
            <v>9.9534000000000002</v>
          </cell>
          <cell r="C3634">
            <v>10.719068493150685</v>
          </cell>
        </row>
        <row r="3635">
          <cell r="B3635">
            <v>9.9562000000000008</v>
          </cell>
          <cell r="C3635">
            <v>10.719123287671234</v>
          </cell>
        </row>
        <row r="3636">
          <cell r="B3636">
            <v>9.9588999999999999</v>
          </cell>
          <cell r="C3636">
            <v>10.719178082191782</v>
          </cell>
        </row>
        <row r="3637">
          <cell r="B3637">
            <v>9.9616000000000007</v>
          </cell>
          <cell r="C3637">
            <v>10.719232876712329</v>
          </cell>
        </row>
        <row r="3638">
          <cell r="B3638">
            <v>9.9643999999999995</v>
          </cell>
          <cell r="C3638">
            <v>10.719287671232877</v>
          </cell>
        </row>
        <row r="3639">
          <cell r="B3639">
            <v>9.9671000000000003</v>
          </cell>
          <cell r="C3639">
            <v>10.719342465753424</v>
          </cell>
        </row>
        <row r="3640">
          <cell r="B3640">
            <v>9.9699000000000009</v>
          </cell>
          <cell r="C3640">
            <v>10.719397260273974</v>
          </cell>
        </row>
        <row r="3641">
          <cell r="B3641">
            <v>9.9725999999999999</v>
          </cell>
          <cell r="C3641">
            <v>10.719452054794521</v>
          </cell>
        </row>
        <row r="3642">
          <cell r="B3642">
            <v>9.9753000000000007</v>
          </cell>
          <cell r="C3642">
            <v>10.719506849315069</v>
          </cell>
        </row>
        <row r="3643">
          <cell r="B3643">
            <v>9.9780999999999995</v>
          </cell>
          <cell r="C3643">
            <v>10.719561643835616</v>
          </cell>
        </row>
        <row r="3644">
          <cell r="B3644">
            <v>9.9808000000000003</v>
          </cell>
          <cell r="C3644">
            <v>10.719616438356166</v>
          </cell>
        </row>
        <row r="3645">
          <cell r="B3645">
            <v>9.9835999999999991</v>
          </cell>
          <cell r="C3645">
            <v>10.719671232876713</v>
          </cell>
        </row>
        <row r="3646">
          <cell r="B3646">
            <v>9.9863</v>
          </cell>
          <cell r="C3646">
            <v>10.719726027397261</v>
          </cell>
        </row>
        <row r="3647">
          <cell r="B3647">
            <v>9.9890000000000008</v>
          </cell>
          <cell r="C3647">
            <v>10.719780821917809</v>
          </cell>
        </row>
        <row r="3648">
          <cell r="B3648">
            <v>9.9917999999999996</v>
          </cell>
          <cell r="C3648">
            <v>10.719835616438356</v>
          </cell>
        </row>
        <row r="3649">
          <cell r="B3649">
            <v>9.9945000000000004</v>
          </cell>
          <cell r="C3649">
            <v>10.719890410958905</v>
          </cell>
        </row>
        <row r="3650">
          <cell r="B3650">
            <v>9.9972999999999992</v>
          </cell>
          <cell r="C3650">
            <v>10.719945205479453</v>
          </cell>
        </row>
        <row r="3651">
          <cell r="B3651">
            <v>10</v>
          </cell>
          <cell r="C3651">
            <v>10.72</v>
          </cell>
        </row>
        <row r="3652">
          <cell r="B3652">
            <v>10.002700000000001</v>
          </cell>
          <cell r="C3652">
            <v>10.720542465753425</v>
          </cell>
        </row>
        <row r="3653">
          <cell r="B3653">
            <v>10.0055</v>
          </cell>
          <cell r="C3653">
            <v>10.72108493150685</v>
          </cell>
        </row>
        <row r="3654">
          <cell r="B3654">
            <v>10.0082</v>
          </cell>
          <cell r="C3654">
            <v>10.721627397260274</v>
          </cell>
        </row>
        <row r="3655">
          <cell r="B3655">
            <v>10.010999999999999</v>
          </cell>
          <cell r="C3655">
            <v>10.722169863013699</v>
          </cell>
        </row>
        <row r="3656">
          <cell r="B3656">
            <v>10.0137</v>
          </cell>
          <cell r="C3656">
            <v>10.722712328767123</v>
          </cell>
        </row>
        <row r="3657">
          <cell r="B3657">
            <v>10.016400000000001</v>
          </cell>
          <cell r="C3657">
            <v>10.723254794520548</v>
          </cell>
        </row>
        <row r="3658">
          <cell r="B3658">
            <v>10.0192</v>
          </cell>
          <cell r="C3658">
            <v>10.723797260273972</v>
          </cell>
        </row>
        <row r="3659">
          <cell r="B3659">
            <v>10.0219</v>
          </cell>
          <cell r="C3659">
            <v>10.724339726027399</v>
          </cell>
        </row>
        <row r="3660">
          <cell r="B3660">
            <v>10.024699999999999</v>
          </cell>
          <cell r="C3660">
            <v>10.724882191780823</v>
          </cell>
        </row>
        <row r="3661">
          <cell r="B3661">
            <v>10.0274</v>
          </cell>
          <cell r="C3661">
            <v>10.725424657534248</v>
          </cell>
        </row>
        <row r="3662">
          <cell r="B3662">
            <v>10.030099999999999</v>
          </cell>
          <cell r="C3662">
            <v>10.725967123287672</v>
          </cell>
        </row>
        <row r="3663">
          <cell r="B3663">
            <v>10.0329</v>
          </cell>
          <cell r="C3663">
            <v>10.726509589041097</v>
          </cell>
        </row>
        <row r="3664">
          <cell r="B3664">
            <v>10.035600000000001</v>
          </cell>
          <cell r="C3664">
            <v>10.727052054794521</v>
          </cell>
        </row>
        <row r="3665">
          <cell r="B3665">
            <v>10.038399999999999</v>
          </cell>
          <cell r="C3665">
            <v>10.727594520547946</v>
          </cell>
        </row>
        <row r="3666">
          <cell r="B3666">
            <v>10.0411</v>
          </cell>
          <cell r="C3666">
            <v>10.72813698630137</v>
          </cell>
        </row>
        <row r="3667">
          <cell r="B3667">
            <v>10.043799999999999</v>
          </cell>
          <cell r="C3667">
            <v>10.728679452054795</v>
          </cell>
        </row>
        <row r="3668">
          <cell r="B3668">
            <v>10.0466</v>
          </cell>
          <cell r="C3668">
            <v>10.72922191780822</v>
          </cell>
        </row>
        <row r="3669">
          <cell r="B3669">
            <v>10.049300000000001</v>
          </cell>
          <cell r="C3669">
            <v>10.729764383561644</v>
          </cell>
        </row>
        <row r="3670">
          <cell r="B3670">
            <v>10.052099999999999</v>
          </cell>
          <cell r="C3670">
            <v>10.730306849315069</v>
          </cell>
        </row>
        <row r="3671">
          <cell r="B3671">
            <v>10.0548</v>
          </cell>
          <cell r="C3671">
            <v>10.730849315068493</v>
          </cell>
        </row>
        <row r="3672">
          <cell r="B3672">
            <v>10.057499999999999</v>
          </cell>
          <cell r="C3672">
            <v>10.731391780821918</v>
          </cell>
        </row>
        <row r="3673">
          <cell r="B3673">
            <v>10.0603</v>
          </cell>
          <cell r="C3673">
            <v>10.731934246575342</v>
          </cell>
        </row>
        <row r="3674">
          <cell r="B3674">
            <v>10.063000000000001</v>
          </cell>
          <cell r="C3674">
            <v>10.732476712328769</v>
          </cell>
        </row>
        <row r="3675">
          <cell r="B3675">
            <v>10.065799999999999</v>
          </cell>
          <cell r="C3675">
            <v>10.733019178082193</v>
          </cell>
        </row>
        <row r="3676">
          <cell r="B3676">
            <v>10.0685</v>
          </cell>
          <cell r="C3676">
            <v>10.733561643835618</v>
          </cell>
        </row>
        <row r="3677">
          <cell r="B3677">
            <v>10.071199999999999</v>
          </cell>
          <cell r="C3677">
            <v>10.734104109589042</v>
          </cell>
        </row>
        <row r="3678">
          <cell r="B3678">
            <v>10.074</v>
          </cell>
          <cell r="C3678">
            <v>10.734646575342467</v>
          </cell>
        </row>
        <row r="3679">
          <cell r="B3679">
            <v>10.076700000000001</v>
          </cell>
          <cell r="C3679">
            <v>10.735189041095891</v>
          </cell>
        </row>
        <row r="3680">
          <cell r="B3680">
            <v>10.079499999999999</v>
          </cell>
          <cell r="C3680">
            <v>10.735731506849316</v>
          </cell>
        </row>
        <row r="3681">
          <cell r="B3681">
            <v>10.0822</v>
          </cell>
          <cell r="C3681">
            <v>10.73627397260274</v>
          </cell>
        </row>
        <row r="3682">
          <cell r="B3682">
            <v>10.084899999999999</v>
          </cell>
          <cell r="C3682">
            <v>10.736816438356165</v>
          </cell>
        </row>
        <row r="3683">
          <cell r="B3683">
            <v>10.0877</v>
          </cell>
          <cell r="C3683">
            <v>10.737358904109589</v>
          </cell>
        </row>
        <row r="3684">
          <cell r="B3684">
            <v>10.090400000000001</v>
          </cell>
          <cell r="C3684">
            <v>10.737901369863014</v>
          </cell>
        </row>
        <row r="3685">
          <cell r="B3685">
            <v>10.0932</v>
          </cell>
          <cell r="C3685">
            <v>10.738443835616438</v>
          </cell>
        </row>
        <row r="3686">
          <cell r="B3686">
            <v>10.0959</v>
          </cell>
          <cell r="C3686">
            <v>10.738986301369863</v>
          </cell>
        </row>
        <row r="3687">
          <cell r="B3687">
            <v>10.098599999999999</v>
          </cell>
          <cell r="C3687">
            <v>10.739528767123288</v>
          </cell>
        </row>
        <row r="3688">
          <cell r="B3688">
            <v>10.1014</v>
          </cell>
          <cell r="C3688">
            <v>10.740071232876714</v>
          </cell>
        </row>
        <row r="3689">
          <cell r="B3689">
            <v>10.104100000000001</v>
          </cell>
          <cell r="C3689">
            <v>10.740613698630138</v>
          </cell>
        </row>
        <row r="3690">
          <cell r="B3690">
            <v>10.1068</v>
          </cell>
          <cell r="C3690">
            <v>10.741156164383563</v>
          </cell>
        </row>
        <row r="3691">
          <cell r="B3691">
            <v>10.1096</v>
          </cell>
          <cell r="C3691">
            <v>10.741698630136987</v>
          </cell>
        </row>
        <row r="3692">
          <cell r="B3692">
            <v>10.112299999999999</v>
          </cell>
          <cell r="C3692">
            <v>10.742241095890412</v>
          </cell>
        </row>
        <row r="3693">
          <cell r="B3693">
            <v>10.1151</v>
          </cell>
          <cell r="C3693">
            <v>10.742783561643837</v>
          </cell>
        </row>
        <row r="3694">
          <cell r="B3694">
            <v>10.117800000000001</v>
          </cell>
          <cell r="C3694">
            <v>10.743326027397261</v>
          </cell>
        </row>
        <row r="3695">
          <cell r="B3695">
            <v>10.1205</v>
          </cell>
          <cell r="C3695">
            <v>10.743868493150686</v>
          </cell>
        </row>
        <row r="3696">
          <cell r="B3696">
            <v>10.1233</v>
          </cell>
          <cell r="C3696">
            <v>10.74441095890411</v>
          </cell>
        </row>
        <row r="3697">
          <cell r="B3697">
            <v>10.125999999999999</v>
          </cell>
          <cell r="C3697">
            <v>10.744953424657535</v>
          </cell>
        </row>
        <row r="3698">
          <cell r="B3698">
            <v>10.1288</v>
          </cell>
          <cell r="C3698">
            <v>10.745495890410959</v>
          </cell>
        </row>
        <row r="3699">
          <cell r="B3699">
            <v>10.131500000000001</v>
          </cell>
          <cell r="C3699">
            <v>10.746038356164384</v>
          </cell>
        </row>
        <row r="3700">
          <cell r="B3700">
            <v>10.1342</v>
          </cell>
          <cell r="C3700">
            <v>10.746580821917808</v>
          </cell>
        </row>
        <row r="3701">
          <cell r="B3701">
            <v>10.137</v>
          </cell>
          <cell r="C3701">
            <v>10.747123287671233</v>
          </cell>
        </row>
        <row r="3702">
          <cell r="B3702">
            <v>10.139699999999999</v>
          </cell>
          <cell r="C3702">
            <v>10.747665753424657</v>
          </cell>
        </row>
        <row r="3703">
          <cell r="B3703">
            <v>10.1425</v>
          </cell>
          <cell r="C3703">
            <v>10.748208219178084</v>
          </cell>
        </row>
        <row r="3704">
          <cell r="B3704">
            <v>10.145200000000001</v>
          </cell>
          <cell r="C3704">
            <v>10.748750684931508</v>
          </cell>
        </row>
        <row r="3705">
          <cell r="B3705">
            <v>10.1479</v>
          </cell>
          <cell r="C3705">
            <v>10.749293150684933</v>
          </cell>
        </row>
        <row r="3706">
          <cell r="B3706">
            <v>10.150700000000001</v>
          </cell>
          <cell r="C3706">
            <v>10.749835616438357</v>
          </cell>
        </row>
        <row r="3707">
          <cell r="B3707">
            <v>10.1534</v>
          </cell>
          <cell r="C3707">
            <v>10.750378082191782</v>
          </cell>
        </row>
        <row r="3708">
          <cell r="B3708">
            <v>10.1562</v>
          </cell>
          <cell r="C3708">
            <v>10.750920547945206</v>
          </cell>
        </row>
        <row r="3709">
          <cell r="B3709">
            <v>10.158899999999999</v>
          </cell>
          <cell r="C3709">
            <v>10.751463013698631</v>
          </cell>
        </row>
        <row r="3710">
          <cell r="B3710">
            <v>10.1616</v>
          </cell>
          <cell r="C3710">
            <v>10.752005479452055</v>
          </cell>
        </row>
        <row r="3711">
          <cell r="B3711">
            <v>10.164400000000001</v>
          </cell>
          <cell r="C3711">
            <v>10.75254794520548</v>
          </cell>
        </row>
        <row r="3712">
          <cell r="B3712">
            <v>10.1671</v>
          </cell>
          <cell r="C3712">
            <v>10.753090410958904</v>
          </cell>
        </row>
        <row r="3713">
          <cell r="B3713">
            <v>10.1699</v>
          </cell>
          <cell r="C3713">
            <v>10.753632876712329</v>
          </cell>
        </row>
        <row r="3714">
          <cell r="B3714">
            <v>10.172599999999999</v>
          </cell>
          <cell r="C3714">
            <v>10.754175342465754</v>
          </cell>
        </row>
        <row r="3715">
          <cell r="B3715">
            <v>10.1753</v>
          </cell>
          <cell r="C3715">
            <v>10.754717808219178</v>
          </cell>
        </row>
        <row r="3716">
          <cell r="B3716">
            <v>10.178100000000001</v>
          </cell>
          <cell r="C3716">
            <v>10.755260273972603</v>
          </cell>
        </row>
        <row r="3717">
          <cell r="B3717">
            <v>10.1808</v>
          </cell>
          <cell r="C3717">
            <v>10.755802739726027</v>
          </cell>
        </row>
        <row r="3718">
          <cell r="B3718">
            <v>10.1836</v>
          </cell>
          <cell r="C3718">
            <v>10.756345205479453</v>
          </cell>
        </row>
        <row r="3719">
          <cell r="B3719">
            <v>10.186299999999999</v>
          </cell>
          <cell r="C3719">
            <v>10.756887671232878</v>
          </cell>
        </row>
        <row r="3720">
          <cell r="B3720">
            <v>10.189</v>
          </cell>
          <cell r="C3720">
            <v>10.757430136986303</v>
          </cell>
        </row>
        <row r="3721">
          <cell r="B3721">
            <v>10.191800000000001</v>
          </cell>
          <cell r="C3721">
            <v>10.757972602739727</v>
          </cell>
        </row>
        <row r="3722">
          <cell r="B3722">
            <v>10.1945</v>
          </cell>
          <cell r="C3722">
            <v>10.758515068493152</v>
          </cell>
        </row>
        <row r="3723">
          <cell r="B3723">
            <v>10.1973</v>
          </cell>
          <cell r="C3723">
            <v>10.759057534246576</v>
          </cell>
        </row>
        <row r="3724">
          <cell r="B3724">
            <v>10.199999999999999</v>
          </cell>
          <cell r="C3724">
            <v>10.759600000000001</v>
          </cell>
        </row>
        <row r="3725">
          <cell r="B3725">
            <v>10.2027</v>
          </cell>
          <cell r="C3725">
            <v>10.760142465753425</v>
          </cell>
        </row>
        <row r="3726">
          <cell r="B3726">
            <v>10.205500000000001</v>
          </cell>
          <cell r="C3726">
            <v>10.76068493150685</v>
          </cell>
        </row>
        <row r="3727">
          <cell r="B3727">
            <v>10.2082</v>
          </cell>
          <cell r="C3727">
            <v>10.761227397260274</v>
          </cell>
        </row>
        <row r="3728">
          <cell r="B3728">
            <v>10.211</v>
          </cell>
          <cell r="C3728">
            <v>10.761769863013699</v>
          </cell>
        </row>
        <row r="3729">
          <cell r="B3729">
            <v>10.213699999999999</v>
          </cell>
          <cell r="C3729">
            <v>10.762312328767123</v>
          </cell>
        </row>
        <row r="3730">
          <cell r="B3730">
            <v>10.2164</v>
          </cell>
          <cell r="C3730">
            <v>10.762854794520548</v>
          </cell>
        </row>
        <row r="3731">
          <cell r="B3731">
            <v>10.219200000000001</v>
          </cell>
          <cell r="C3731">
            <v>10.763397260273972</v>
          </cell>
        </row>
        <row r="3732">
          <cell r="B3732">
            <v>10.2219</v>
          </cell>
          <cell r="C3732">
            <v>10.763939726027399</v>
          </cell>
        </row>
        <row r="3733">
          <cell r="B3733">
            <v>10.2247</v>
          </cell>
          <cell r="C3733">
            <v>10.764482191780823</v>
          </cell>
        </row>
        <row r="3734">
          <cell r="B3734">
            <v>10.227399999999999</v>
          </cell>
          <cell r="C3734">
            <v>10.765024657534248</v>
          </cell>
        </row>
        <row r="3735">
          <cell r="B3735">
            <v>10.2301</v>
          </cell>
          <cell r="C3735">
            <v>10.765567123287672</v>
          </cell>
        </row>
        <row r="3736">
          <cell r="B3736">
            <v>10.232900000000001</v>
          </cell>
          <cell r="C3736">
            <v>10.766109589041097</v>
          </cell>
        </row>
        <row r="3737">
          <cell r="B3737">
            <v>10.2356</v>
          </cell>
          <cell r="C3737">
            <v>10.766652054794521</v>
          </cell>
        </row>
        <row r="3738">
          <cell r="B3738">
            <v>10.2384</v>
          </cell>
          <cell r="C3738">
            <v>10.767194520547946</v>
          </cell>
        </row>
        <row r="3739">
          <cell r="B3739">
            <v>10.241099999999999</v>
          </cell>
          <cell r="C3739">
            <v>10.767736986301371</v>
          </cell>
        </row>
        <row r="3740">
          <cell r="B3740">
            <v>10.2438</v>
          </cell>
          <cell r="C3740">
            <v>10.768279452054795</v>
          </cell>
        </row>
        <row r="3741">
          <cell r="B3741">
            <v>10.246600000000001</v>
          </cell>
          <cell r="C3741">
            <v>10.76882191780822</v>
          </cell>
        </row>
        <row r="3742">
          <cell r="B3742">
            <v>10.2493</v>
          </cell>
          <cell r="C3742">
            <v>10.769364383561644</v>
          </cell>
        </row>
        <row r="3743">
          <cell r="B3743">
            <v>10.2521</v>
          </cell>
          <cell r="C3743">
            <v>10.769906849315069</v>
          </cell>
        </row>
        <row r="3744">
          <cell r="B3744">
            <v>10.254799999999999</v>
          </cell>
          <cell r="C3744">
            <v>10.770449315068493</v>
          </cell>
        </row>
        <row r="3745">
          <cell r="B3745">
            <v>10.2575</v>
          </cell>
          <cell r="C3745">
            <v>10.770991780821918</v>
          </cell>
        </row>
        <row r="3746">
          <cell r="B3746">
            <v>10.260300000000001</v>
          </cell>
          <cell r="C3746">
            <v>10.771534246575342</v>
          </cell>
        </row>
        <row r="3747">
          <cell r="B3747">
            <v>10.263</v>
          </cell>
          <cell r="C3747">
            <v>10.772076712328769</v>
          </cell>
        </row>
        <row r="3748">
          <cell r="B3748">
            <v>10.2658</v>
          </cell>
          <cell r="C3748">
            <v>10.772619178082193</v>
          </cell>
        </row>
        <row r="3749">
          <cell r="B3749">
            <v>10.2685</v>
          </cell>
          <cell r="C3749">
            <v>10.773161643835618</v>
          </cell>
        </row>
        <row r="3750">
          <cell r="B3750">
            <v>10.2712</v>
          </cell>
          <cell r="C3750">
            <v>10.773704109589042</v>
          </cell>
        </row>
        <row r="3751">
          <cell r="B3751">
            <v>10.273999999999999</v>
          </cell>
          <cell r="C3751">
            <v>10.774246575342467</v>
          </cell>
        </row>
        <row r="3752">
          <cell r="B3752">
            <v>10.2767</v>
          </cell>
          <cell r="C3752">
            <v>10.774789041095891</v>
          </cell>
        </row>
        <row r="3753">
          <cell r="B3753">
            <v>10.279500000000001</v>
          </cell>
          <cell r="C3753">
            <v>10.775331506849316</v>
          </cell>
        </row>
        <row r="3754">
          <cell r="B3754">
            <v>10.2822</v>
          </cell>
          <cell r="C3754">
            <v>10.77587397260274</v>
          </cell>
        </row>
        <row r="3755">
          <cell r="B3755">
            <v>10.2849</v>
          </cell>
          <cell r="C3755">
            <v>10.776416438356165</v>
          </cell>
        </row>
        <row r="3756">
          <cell r="B3756">
            <v>10.287699999999999</v>
          </cell>
          <cell r="C3756">
            <v>10.776958904109589</v>
          </cell>
        </row>
        <row r="3757">
          <cell r="B3757">
            <v>10.2904</v>
          </cell>
          <cell r="C3757">
            <v>10.777501369863014</v>
          </cell>
        </row>
        <row r="3758">
          <cell r="B3758">
            <v>10.293200000000001</v>
          </cell>
          <cell r="C3758">
            <v>10.778043835616439</v>
          </cell>
        </row>
        <row r="3759">
          <cell r="B3759">
            <v>10.2959</v>
          </cell>
          <cell r="C3759">
            <v>10.778586301369863</v>
          </cell>
        </row>
        <row r="3760">
          <cell r="B3760">
            <v>10.2986</v>
          </cell>
          <cell r="C3760">
            <v>10.779128767123288</v>
          </cell>
        </row>
        <row r="3761">
          <cell r="B3761">
            <v>10.301399999999999</v>
          </cell>
          <cell r="C3761">
            <v>10.779671232876712</v>
          </cell>
        </row>
        <row r="3762">
          <cell r="B3762">
            <v>10.3041</v>
          </cell>
          <cell r="C3762">
            <v>10.780213698630138</v>
          </cell>
        </row>
        <row r="3763">
          <cell r="B3763">
            <v>10.306800000000001</v>
          </cell>
          <cell r="C3763">
            <v>10.780756164383563</v>
          </cell>
        </row>
        <row r="3764">
          <cell r="B3764">
            <v>10.3096</v>
          </cell>
          <cell r="C3764">
            <v>10.781298630136988</v>
          </cell>
        </row>
        <row r="3765">
          <cell r="B3765">
            <v>10.3123</v>
          </cell>
          <cell r="C3765">
            <v>10.781841095890412</v>
          </cell>
        </row>
        <row r="3766">
          <cell r="B3766">
            <v>10.315099999999999</v>
          </cell>
          <cell r="C3766">
            <v>10.782383561643837</v>
          </cell>
        </row>
        <row r="3767">
          <cell r="B3767">
            <v>10.3178</v>
          </cell>
          <cell r="C3767">
            <v>10.782926027397261</v>
          </cell>
        </row>
        <row r="3768">
          <cell r="B3768">
            <v>10.320499999999999</v>
          </cell>
          <cell r="C3768">
            <v>10.783468493150686</v>
          </cell>
        </row>
        <row r="3769">
          <cell r="B3769">
            <v>10.3233</v>
          </cell>
          <cell r="C3769">
            <v>10.78401095890411</v>
          </cell>
        </row>
        <row r="3770">
          <cell r="B3770">
            <v>10.326000000000001</v>
          </cell>
          <cell r="C3770">
            <v>10.784553424657535</v>
          </cell>
        </row>
        <row r="3771">
          <cell r="B3771">
            <v>10.328799999999999</v>
          </cell>
          <cell r="C3771">
            <v>10.785095890410959</v>
          </cell>
        </row>
        <row r="3772">
          <cell r="B3772">
            <v>10.3315</v>
          </cell>
          <cell r="C3772">
            <v>10.785638356164384</v>
          </cell>
        </row>
        <row r="3773">
          <cell r="B3773">
            <v>10.334199999999999</v>
          </cell>
          <cell r="C3773">
            <v>10.786180821917808</v>
          </cell>
        </row>
        <row r="3774">
          <cell r="B3774">
            <v>10.337</v>
          </cell>
          <cell r="C3774">
            <v>10.786723287671233</v>
          </cell>
        </row>
        <row r="3775">
          <cell r="B3775">
            <v>10.339700000000001</v>
          </cell>
          <cell r="C3775">
            <v>10.787265753424657</v>
          </cell>
        </row>
        <row r="3776">
          <cell r="B3776">
            <v>10.342499999999999</v>
          </cell>
          <cell r="C3776">
            <v>10.787808219178082</v>
          </cell>
        </row>
        <row r="3777">
          <cell r="B3777">
            <v>10.3452</v>
          </cell>
          <cell r="C3777">
            <v>10.788350684931508</v>
          </cell>
        </row>
        <row r="3778">
          <cell r="B3778">
            <v>10.347899999999999</v>
          </cell>
          <cell r="C3778">
            <v>10.788893150684933</v>
          </cell>
        </row>
        <row r="3779">
          <cell r="B3779">
            <v>10.3507</v>
          </cell>
          <cell r="C3779">
            <v>10.789435616438357</v>
          </cell>
        </row>
        <row r="3780">
          <cell r="B3780">
            <v>10.353400000000001</v>
          </cell>
          <cell r="C3780">
            <v>10.789978082191782</v>
          </cell>
        </row>
        <row r="3781">
          <cell r="B3781">
            <v>10.356199999999999</v>
          </cell>
          <cell r="C3781">
            <v>10.790520547945206</v>
          </cell>
        </row>
        <row r="3782">
          <cell r="B3782">
            <v>10.3589</v>
          </cell>
          <cell r="C3782">
            <v>10.791063013698631</v>
          </cell>
        </row>
        <row r="3783">
          <cell r="B3783">
            <v>10.361599999999999</v>
          </cell>
          <cell r="C3783">
            <v>10.791605479452056</v>
          </cell>
        </row>
        <row r="3784">
          <cell r="B3784">
            <v>10.3644</v>
          </cell>
          <cell r="C3784">
            <v>10.79214794520548</v>
          </cell>
        </row>
        <row r="3785">
          <cell r="B3785">
            <v>10.367100000000001</v>
          </cell>
          <cell r="C3785">
            <v>10.792690410958905</v>
          </cell>
        </row>
        <row r="3786">
          <cell r="B3786">
            <v>10.369899999999999</v>
          </cell>
          <cell r="C3786">
            <v>10.793232876712329</v>
          </cell>
        </row>
        <row r="3787">
          <cell r="B3787">
            <v>10.3726</v>
          </cell>
          <cell r="C3787">
            <v>10.793775342465754</v>
          </cell>
        </row>
        <row r="3788">
          <cell r="B3788">
            <v>10.375299999999999</v>
          </cell>
          <cell r="C3788">
            <v>10.794317808219178</v>
          </cell>
        </row>
        <row r="3789">
          <cell r="B3789">
            <v>10.3781</v>
          </cell>
          <cell r="C3789">
            <v>10.794860273972603</v>
          </cell>
        </row>
        <row r="3790">
          <cell r="B3790">
            <v>10.380800000000001</v>
          </cell>
          <cell r="C3790">
            <v>10.795402739726027</v>
          </cell>
        </row>
        <row r="3791">
          <cell r="B3791">
            <v>10.383599999999999</v>
          </cell>
          <cell r="C3791">
            <v>10.795945205479454</v>
          </cell>
        </row>
        <row r="3792">
          <cell r="B3792">
            <v>10.3863</v>
          </cell>
          <cell r="C3792">
            <v>10.796487671232878</v>
          </cell>
        </row>
        <row r="3793">
          <cell r="B3793">
            <v>10.388999999999999</v>
          </cell>
          <cell r="C3793">
            <v>10.797030136986303</v>
          </cell>
        </row>
        <row r="3794">
          <cell r="B3794">
            <v>10.3918</v>
          </cell>
          <cell r="C3794">
            <v>10.797572602739727</v>
          </cell>
        </row>
        <row r="3795">
          <cell r="B3795">
            <v>10.394500000000001</v>
          </cell>
          <cell r="C3795">
            <v>10.798115068493152</v>
          </cell>
        </row>
        <row r="3796">
          <cell r="B3796">
            <v>10.3973</v>
          </cell>
          <cell r="C3796">
            <v>10.798657534246576</v>
          </cell>
        </row>
        <row r="3797">
          <cell r="B3797">
            <v>10.4</v>
          </cell>
          <cell r="C3797">
            <v>10.799200000000001</v>
          </cell>
        </row>
        <row r="3798">
          <cell r="B3798">
            <v>10.402699999999999</v>
          </cell>
          <cell r="C3798">
            <v>10.799742465753425</v>
          </cell>
        </row>
        <row r="3799">
          <cell r="B3799">
            <v>10.4055</v>
          </cell>
          <cell r="C3799">
            <v>10.80028493150685</v>
          </cell>
        </row>
        <row r="3800">
          <cell r="B3800">
            <v>10.408200000000001</v>
          </cell>
          <cell r="C3800">
            <v>10.800827397260274</v>
          </cell>
        </row>
        <row r="3801">
          <cell r="B3801">
            <v>10.411</v>
          </cell>
          <cell r="C3801">
            <v>10.801369863013699</v>
          </cell>
        </row>
        <row r="3802">
          <cell r="B3802">
            <v>10.4137</v>
          </cell>
          <cell r="C3802">
            <v>10.801912328767123</v>
          </cell>
        </row>
        <row r="3803">
          <cell r="B3803">
            <v>10.416399999999999</v>
          </cell>
          <cell r="C3803">
            <v>10.802454794520548</v>
          </cell>
        </row>
        <row r="3804">
          <cell r="B3804">
            <v>10.4192</v>
          </cell>
          <cell r="C3804">
            <v>10.802997260273973</v>
          </cell>
        </row>
        <row r="3805">
          <cell r="B3805">
            <v>10.421900000000001</v>
          </cell>
          <cell r="C3805">
            <v>10.803539726027397</v>
          </cell>
        </row>
        <row r="3806">
          <cell r="B3806">
            <v>10.4247</v>
          </cell>
          <cell r="C3806">
            <v>10.804082191780823</v>
          </cell>
        </row>
        <row r="3807">
          <cell r="B3807">
            <v>10.4274</v>
          </cell>
          <cell r="C3807">
            <v>10.804624657534248</v>
          </cell>
        </row>
        <row r="3808">
          <cell r="B3808">
            <v>10.430099999999999</v>
          </cell>
          <cell r="C3808">
            <v>10.805167123287672</v>
          </cell>
        </row>
        <row r="3809">
          <cell r="B3809">
            <v>10.4329</v>
          </cell>
          <cell r="C3809">
            <v>10.805709589041097</v>
          </cell>
        </row>
        <row r="3810">
          <cell r="B3810">
            <v>10.435600000000001</v>
          </cell>
          <cell r="C3810">
            <v>10.806252054794522</v>
          </cell>
        </row>
        <row r="3811">
          <cell r="B3811">
            <v>10.4384</v>
          </cell>
          <cell r="C3811">
            <v>10.806794520547946</v>
          </cell>
        </row>
        <row r="3812">
          <cell r="B3812">
            <v>10.4411</v>
          </cell>
          <cell r="C3812">
            <v>10.807336986301371</v>
          </cell>
        </row>
        <row r="3813">
          <cell r="B3813">
            <v>10.4438</v>
          </cell>
          <cell r="C3813">
            <v>10.807879452054795</v>
          </cell>
        </row>
        <row r="3814">
          <cell r="B3814">
            <v>10.4466</v>
          </cell>
          <cell r="C3814">
            <v>10.80842191780822</v>
          </cell>
        </row>
        <row r="3815">
          <cell r="B3815">
            <v>10.449299999999999</v>
          </cell>
          <cell r="C3815">
            <v>10.808964383561644</v>
          </cell>
        </row>
        <row r="3816">
          <cell r="B3816">
            <v>10.4521</v>
          </cell>
          <cell r="C3816">
            <v>10.809506849315069</v>
          </cell>
        </row>
        <row r="3817">
          <cell r="B3817">
            <v>10.454800000000001</v>
          </cell>
          <cell r="C3817">
            <v>10.810049315068493</v>
          </cell>
        </row>
        <row r="3818">
          <cell r="B3818">
            <v>10.4575</v>
          </cell>
          <cell r="C3818">
            <v>10.810591780821918</v>
          </cell>
        </row>
        <row r="3819">
          <cell r="B3819">
            <v>10.4603</v>
          </cell>
          <cell r="C3819">
            <v>10.811134246575342</v>
          </cell>
        </row>
        <row r="3820">
          <cell r="B3820">
            <v>10.462999999999999</v>
          </cell>
          <cell r="C3820">
            <v>10.811676712328767</v>
          </cell>
        </row>
        <row r="3821">
          <cell r="B3821">
            <v>10.4658</v>
          </cell>
          <cell r="C3821">
            <v>10.812219178082193</v>
          </cell>
        </row>
        <row r="3822">
          <cell r="B3822">
            <v>10.468500000000001</v>
          </cell>
          <cell r="C3822">
            <v>10.812761643835618</v>
          </cell>
        </row>
        <row r="3823">
          <cell r="B3823">
            <v>10.4712</v>
          </cell>
          <cell r="C3823">
            <v>10.813304109589042</v>
          </cell>
        </row>
        <row r="3824">
          <cell r="B3824">
            <v>10.474</v>
          </cell>
          <cell r="C3824">
            <v>10.813846575342467</v>
          </cell>
        </row>
        <row r="3825">
          <cell r="B3825">
            <v>10.476699999999999</v>
          </cell>
          <cell r="C3825">
            <v>10.814389041095891</v>
          </cell>
        </row>
        <row r="3826">
          <cell r="B3826">
            <v>10.4795</v>
          </cell>
          <cell r="C3826">
            <v>10.814931506849316</v>
          </cell>
        </row>
        <row r="3827">
          <cell r="B3827">
            <v>10.482200000000001</v>
          </cell>
          <cell r="C3827">
            <v>10.81547397260274</v>
          </cell>
        </row>
        <row r="3828">
          <cell r="B3828">
            <v>10.4849</v>
          </cell>
          <cell r="C3828">
            <v>10.816016438356165</v>
          </cell>
        </row>
        <row r="3829">
          <cell r="B3829">
            <v>10.4877</v>
          </cell>
          <cell r="C3829">
            <v>10.81655890410959</v>
          </cell>
        </row>
        <row r="3830">
          <cell r="B3830">
            <v>10.490399999999999</v>
          </cell>
          <cell r="C3830">
            <v>10.817101369863014</v>
          </cell>
        </row>
        <row r="3831">
          <cell r="B3831">
            <v>10.4932</v>
          </cell>
          <cell r="C3831">
            <v>10.817643835616439</v>
          </cell>
        </row>
        <row r="3832">
          <cell r="B3832">
            <v>10.495900000000001</v>
          </cell>
          <cell r="C3832">
            <v>10.818186301369863</v>
          </cell>
        </row>
        <row r="3833">
          <cell r="B3833">
            <v>10.4986</v>
          </cell>
          <cell r="C3833">
            <v>10.818728767123288</v>
          </cell>
        </row>
        <row r="3834">
          <cell r="B3834">
            <v>10.5014</v>
          </cell>
          <cell r="C3834">
            <v>10.819271232876712</v>
          </cell>
        </row>
        <row r="3835">
          <cell r="B3835">
            <v>10.504099999999999</v>
          </cell>
          <cell r="C3835">
            <v>10.819813698630139</v>
          </cell>
        </row>
        <row r="3836">
          <cell r="B3836">
            <v>10.5068</v>
          </cell>
          <cell r="C3836">
            <v>10.820356164383563</v>
          </cell>
        </row>
        <row r="3837">
          <cell r="B3837">
            <v>10.509600000000001</v>
          </cell>
          <cell r="C3837">
            <v>10.820898630136988</v>
          </cell>
        </row>
        <row r="3838">
          <cell r="B3838">
            <v>10.5123</v>
          </cell>
          <cell r="C3838">
            <v>10.821441095890412</v>
          </cell>
        </row>
        <row r="3839">
          <cell r="B3839">
            <v>10.5151</v>
          </cell>
          <cell r="C3839">
            <v>10.821983561643837</v>
          </cell>
        </row>
        <row r="3840">
          <cell r="B3840">
            <v>10.517799999999999</v>
          </cell>
          <cell r="C3840">
            <v>10.822526027397261</v>
          </cell>
        </row>
        <row r="3841">
          <cell r="B3841">
            <v>10.5205</v>
          </cell>
          <cell r="C3841">
            <v>10.823068493150686</v>
          </cell>
        </row>
        <row r="3842">
          <cell r="B3842">
            <v>10.523300000000001</v>
          </cell>
          <cell r="C3842">
            <v>10.82361095890411</v>
          </cell>
        </row>
        <row r="3843">
          <cell r="B3843">
            <v>10.526</v>
          </cell>
          <cell r="C3843">
            <v>10.824153424657535</v>
          </cell>
        </row>
        <row r="3844">
          <cell r="B3844">
            <v>10.5288</v>
          </cell>
          <cell r="C3844">
            <v>10.824695890410959</v>
          </cell>
        </row>
        <row r="3845">
          <cell r="B3845">
            <v>10.531499999999999</v>
          </cell>
          <cell r="C3845">
            <v>10.825238356164384</v>
          </cell>
        </row>
        <row r="3846">
          <cell r="B3846">
            <v>10.5342</v>
          </cell>
          <cell r="C3846">
            <v>10.825780821917808</v>
          </cell>
        </row>
        <row r="3847">
          <cell r="B3847">
            <v>10.537000000000001</v>
          </cell>
          <cell r="C3847">
            <v>10.826323287671233</v>
          </cell>
        </row>
        <row r="3848">
          <cell r="B3848">
            <v>10.5397</v>
          </cell>
          <cell r="C3848">
            <v>10.826865753424658</v>
          </cell>
        </row>
        <row r="3849">
          <cell r="B3849">
            <v>10.5425</v>
          </cell>
          <cell r="C3849">
            <v>10.827408219178082</v>
          </cell>
        </row>
        <row r="3850">
          <cell r="B3850">
            <v>10.545199999999999</v>
          </cell>
          <cell r="C3850">
            <v>10.827950684931508</v>
          </cell>
        </row>
        <row r="3851">
          <cell r="B3851">
            <v>10.5479</v>
          </cell>
          <cell r="C3851">
            <v>10.828493150684933</v>
          </cell>
        </row>
        <row r="3852">
          <cell r="B3852">
            <v>10.550700000000001</v>
          </cell>
          <cell r="C3852">
            <v>10.829035616438357</v>
          </cell>
        </row>
        <row r="3853">
          <cell r="B3853">
            <v>10.5534</v>
          </cell>
          <cell r="C3853">
            <v>10.829578082191782</v>
          </cell>
        </row>
        <row r="3854">
          <cell r="B3854">
            <v>10.5562</v>
          </cell>
          <cell r="C3854">
            <v>10.830120547945207</v>
          </cell>
        </row>
        <row r="3855">
          <cell r="B3855">
            <v>10.5589</v>
          </cell>
          <cell r="C3855">
            <v>10.830663013698631</v>
          </cell>
        </row>
        <row r="3856">
          <cell r="B3856">
            <v>10.5616</v>
          </cell>
          <cell r="C3856">
            <v>10.831205479452056</v>
          </cell>
        </row>
        <row r="3857">
          <cell r="B3857">
            <v>10.564399999999999</v>
          </cell>
          <cell r="C3857">
            <v>10.83174794520548</v>
          </cell>
        </row>
        <row r="3858">
          <cell r="B3858">
            <v>10.5671</v>
          </cell>
          <cell r="C3858">
            <v>10.832290410958905</v>
          </cell>
        </row>
        <row r="3859">
          <cell r="B3859">
            <v>10.569900000000001</v>
          </cell>
          <cell r="C3859">
            <v>10.832832876712329</v>
          </cell>
        </row>
        <row r="3860">
          <cell r="B3860">
            <v>10.5726</v>
          </cell>
          <cell r="C3860">
            <v>10.833375342465754</v>
          </cell>
        </row>
        <row r="3861">
          <cell r="B3861">
            <v>10.5753</v>
          </cell>
          <cell r="C3861">
            <v>10.833917808219178</v>
          </cell>
        </row>
        <row r="3862">
          <cell r="B3862">
            <v>10.578099999999999</v>
          </cell>
          <cell r="C3862">
            <v>10.834460273972603</v>
          </cell>
        </row>
        <row r="3863">
          <cell r="B3863">
            <v>10.5808</v>
          </cell>
          <cell r="C3863">
            <v>10.835002739726027</v>
          </cell>
        </row>
        <row r="3864">
          <cell r="B3864">
            <v>10.583600000000001</v>
          </cell>
          <cell r="C3864">
            <v>10.835545205479452</v>
          </cell>
        </row>
        <row r="3865">
          <cell r="B3865">
            <v>10.5863</v>
          </cell>
          <cell r="C3865">
            <v>10.836087671232878</v>
          </cell>
        </row>
        <row r="3866">
          <cell r="B3866">
            <v>10.589</v>
          </cell>
          <cell r="C3866">
            <v>10.836630136986303</v>
          </cell>
        </row>
        <row r="3867">
          <cell r="B3867">
            <v>10.591799999999999</v>
          </cell>
          <cell r="C3867">
            <v>10.837172602739727</v>
          </cell>
        </row>
        <row r="3868">
          <cell r="B3868">
            <v>10.5945</v>
          </cell>
          <cell r="C3868">
            <v>10.837715068493152</v>
          </cell>
        </row>
        <row r="3869">
          <cell r="B3869">
            <v>10.597300000000001</v>
          </cell>
          <cell r="C3869">
            <v>10.838257534246576</v>
          </cell>
        </row>
        <row r="3870">
          <cell r="B3870">
            <v>10.6</v>
          </cell>
          <cell r="C3870">
            <v>10.838800000000001</v>
          </cell>
        </row>
        <row r="3871">
          <cell r="B3871">
            <v>10.6027</v>
          </cell>
          <cell r="C3871">
            <v>10.839342465753425</v>
          </cell>
        </row>
        <row r="3872">
          <cell r="B3872">
            <v>10.605499999999999</v>
          </cell>
          <cell r="C3872">
            <v>10.83988493150685</v>
          </cell>
        </row>
        <row r="3873">
          <cell r="B3873">
            <v>10.6082</v>
          </cell>
          <cell r="C3873">
            <v>10.840427397260274</v>
          </cell>
        </row>
        <row r="3874">
          <cell r="B3874">
            <v>10.611000000000001</v>
          </cell>
          <cell r="C3874">
            <v>10.840969863013699</v>
          </cell>
        </row>
        <row r="3875">
          <cell r="B3875">
            <v>10.6137</v>
          </cell>
          <cell r="C3875">
            <v>10.841512328767124</v>
          </cell>
        </row>
        <row r="3876">
          <cell r="B3876">
            <v>10.616400000000001</v>
          </cell>
          <cell r="C3876">
            <v>10.842054794520548</v>
          </cell>
        </row>
        <row r="3877">
          <cell r="B3877">
            <v>10.619199999999999</v>
          </cell>
          <cell r="C3877">
            <v>10.842597260273973</v>
          </cell>
        </row>
        <row r="3878">
          <cell r="B3878">
            <v>10.6219</v>
          </cell>
          <cell r="C3878">
            <v>10.843139726027397</v>
          </cell>
        </row>
        <row r="3879">
          <cell r="B3879">
            <v>10.624700000000001</v>
          </cell>
          <cell r="C3879">
            <v>10.843682191780822</v>
          </cell>
        </row>
        <row r="3880">
          <cell r="B3880">
            <v>10.6274</v>
          </cell>
          <cell r="C3880">
            <v>10.844224657534248</v>
          </cell>
        </row>
        <row r="3881">
          <cell r="B3881">
            <v>10.630100000000001</v>
          </cell>
          <cell r="C3881">
            <v>10.844767123287673</v>
          </cell>
        </row>
        <row r="3882">
          <cell r="B3882">
            <v>10.632899999999999</v>
          </cell>
          <cell r="C3882">
            <v>10.845309589041097</v>
          </cell>
        </row>
        <row r="3883">
          <cell r="B3883">
            <v>10.6356</v>
          </cell>
          <cell r="C3883">
            <v>10.845852054794522</v>
          </cell>
        </row>
        <row r="3884">
          <cell r="B3884">
            <v>10.638400000000001</v>
          </cell>
          <cell r="C3884">
            <v>10.846394520547946</v>
          </cell>
        </row>
        <row r="3885">
          <cell r="B3885">
            <v>10.6411</v>
          </cell>
          <cell r="C3885">
            <v>10.846936986301371</v>
          </cell>
        </row>
        <row r="3886">
          <cell r="B3886">
            <v>10.643800000000001</v>
          </cell>
          <cell r="C3886">
            <v>10.847479452054795</v>
          </cell>
        </row>
        <row r="3887">
          <cell r="B3887">
            <v>10.646599999999999</v>
          </cell>
          <cell r="C3887">
            <v>10.84802191780822</v>
          </cell>
        </row>
        <row r="3888">
          <cell r="B3888">
            <v>10.6493</v>
          </cell>
          <cell r="C3888">
            <v>10.848564383561644</v>
          </cell>
        </row>
        <row r="3889">
          <cell r="B3889">
            <v>10.652100000000001</v>
          </cell>
          <cell r="C3889">
            <v>10.849106849315069</v>
          </cell>
        </row>
        <row r="3890">
          <cell r="B3890">
            <v>10.6548</v>
          </cell>
          <cell r="C3890">
            <v>10.849649315068493</v>
          </cell>
        </row>
        <row r="3891">
          <cell r="B3891">
            <v>10.657500000000001</v>
          </cell>
          <cell r="C3891">
            <v>10.850191780821918</v>
          </cell>
        </row>
        <row r="3892">
          <cell r="B3892">
            <v>10.660299999999999</v>
          </cell>
          <cell r="C3892">
            <v>10.850734246575342</v>
          </cell>
        </row>
        <row r="3893">
          <cell r="B3893">
            <v>10.663</v>
          </cell>
          <cell r="C3893">
            <v>10.851276712328767</v>
          </cell>
        </row>
        <row r="3894">
          <cell r="B3894">
            <v>10.665800000000001</v>
          </cell>
          <cell r="C3894">
            <v>10.851819178082192</v>
          </cell>
        </row>
        <row r="3895">
          <cell r="B3895">
            <v>10.6685</v>
          </cell>
          <cell r="C3895">
            <v>10.852361643835618</v>
          </cell>
        </row>
        <row r="3896">
          <cell r="B3896">
            <v>10.671200000000001</v>
          </cell>
          <cell r="C3896">
            <v>10.852904109589042</v>
          </cell>
        </row>
        <row r="3897">
          <cell r="B3897">
            <v>10.673999999999999</v>
          </cell>
          <cell r="C3897">
            <v>10.853446575342467</v>
          </cell>
        </row>
        <row r="3898">
          <cell r="B3898">
            <v>10.6767</v>
          </cell>
          <cell r="C3898">
            <v>10.853989041095891</v>
          </cell>
        </row>
        <row r="3899">
          <cell r="B3899">
            <v>10.679500000000001</v>
          </cell>
          <cell r="C3899">
            <v>10.854531506849316</v>
          </cell>
        </row>
        <row r="3900">
          <cell r="B3900">
            <v>10.6822</v>
          </cell>
          <cell r="C3900">
            <v>10.855073972602741</v>
          </cell>
        </row>
        <row r="3901">
          <cell r="B3901">
            <v>10.684900000000001</v>
          </cell>
          <cell r="C3901">
            <v>10.855616438356165</v>
          </cell>
        </row>
        <row r="3902">
          <cell r="B3902">
            <v>10.6877</v>
          </cell>
          <cell r="C3902">
            <v>10.85615890410959</v>
          </cell>
        </row>
        <row r="3903">
          <cell r="B3903">
            <v>10.6904</v>
          </cell>
          <cell r="C3903">
            <v>10.856701369863014</v>
          </cell>
        </row>
        <row r="3904">
          <cell r="B3904">
            <v>10.693199999999999</v>
          </cell>
          <cell r="C3904">
            <v>10.857243835616439</v>
          </cell>
        </row>
        <row r="3905">
          <cell r="B3905">
            <v>10.6959</v>
          </cell>
          <cell r="C3905">
            <v>10.857786301369863</v>
          </cell>
        </row>
        <row r="3906">
          <cell r="B3906">
            <v>10.698600000000001</v>
          </cell>
          <cell r="C3906">
            <v>10.858328767123288</v>
          </cell>
        </row>
        <row r="3907">
          <cell r="B3907">
            <v>10.7014</v>
          </cell>
          <cell r="C3907">
            <v>10.858871232876712</v>
          </cell>
        </row>
        <row r="3908">
          <cell r="B3908">
            <v>10.7041</v>
          </cell>
          <cell r="C3908">
            <v>10.859413698630137</v>
          </cell>
        </row>
        <row r="3909">
          <cell r="B3909">
            <v>10.706799999999999</v>
          </cell>
          <cell r="C3909">
            <v>10.859956164383563</v>
          </cell>
        </row>
        <row r="3910">
          <cell r="B3910">
            <v>10.7096</v>
          </cell>
          <cell r="C3910">
            <v>10.860498630136988</v>
          </cell>
        </row>
        <row r="3911">
          <cell r="B3911">
            <v>10.712300000000001</v>
          </cell>
          <cell r="C3911">
            <v>10.861041095890412</v>
          </cell>
        </row>
        <row r="3912">
          <cell r="B3912">
            <v>10.7151</v>
          </cell>
          <cell r="C3912">
            <v>10.861583561643837</v>
          </cell>
        </row>
        <row r="3913">
          <cell r="B3913">
            <v>10.7178</v>
          </cell>
          <cell r="C3913">
            <v>10.862126027397261</v>
          </cell>
        </row>
        <row r="3914">
          <cell r="B3914">
            <v>10.720499999999999</v>
          </cell>
          <cell r="C3914">
            <v>10.862668493150686</v>
          </cell>
        </row>
        <row r="3915">
          <cell r="B3915">
            <v>10.7233</v>
          </cell>
          <cell r="C3915">
            <v>10.86321095890411</v>
          </cell>
        </row>
        <row r="3916">
          <cell r="B3916">
            <v>10.726000000000001</v>
          </cell>
          <cell r="C3916">
            <v>10.863753424657535</v>
          </cell>
        </row>
        <row r="3917">
          <cell r="B3917">
            <v>10.7288</v>
          </cell>
          <cell r="C3917">
            <v>10.864295890410959</v>
          </cell>
        </row>
        <row r="3918">
          <cell r="B3918">
            <v>10.7315</v>
          </cell>
          <cell r="C3918">
            <v>10.864838356164384</v>
          </cell>
        </row>
        <row r="3919">
          <cell r="B3919">
            <v>10.7342</v>
          </cell>
          <cell r="C3919">
            <v>10.865380821917809</v>
          </cell>
        </row>
        <row r="3920">
          <cell r="B3920">
            <v>10.737</v>
          </cell>
          <cell r="C3920">
            <v>10.865923287671233</v>
          </cell>
        </row>
        <row r="3921">
          <cell r="B3921">
            <v>10.739699999999999</v>
          </cell>
          <cell r="C3921">
            <v>10.866465753424658</v>
          </cell>
        </row>
        <row r="3922">
          <cell r="B3922">
            <v>10.7425</v>
          </cell>
          <cell r="C3922">
            <v>10.867008219178082</v>
          </cell>
        </row>
        <row r="3923">
          <cell r="B3923">
            <v>10.745200000000001</v>
          </cell>
          <cell r="C3923">
            <v>10.867550684931507</v>
          </cell>
        </row>
        <row r="3924">
          <cell r="B3924">
            <v>10.7479</v>
          </cell>
          <cell r="C3924">
            <v>10.868093150684933</v>
          </cell>
        </row>
        <row r="3925">
          <cell r="B3925">
            <v>10.7507</v>
          </cell>
          <cell r="C3925">
            <v>10.868635616438358</v>
          </cell>
        </row>
        <row r="3926">
          <cell r="B3926">
            <v>10.753399999999999</v>
          </cell>
          <cell r="C3926">
            <v>10.869178082191782</v>
          </cell>
        </row>
        <row r="3927">
          <cell r="B3927">
            <v>10.7562</v>
          </cell>
          <cell r="C3927">
            <v>10.869720547945207</v>
          </cell>
        </row>
        <row r="3928">
          <cell r="B3928">
            <v>10.758900000000001</v>
          </cell>
          <cell r="C3928">
            <v>10.870263013698631</v>
          </cell>
        </row>
        <row r="3929">
          <cell r="B3929">
            <v>10.7616</v>
          </cell>
          <cell r="C3929">
            <v>10.870805479452056</v>
          </cell>
        </row>
        <row r="3930">
          <cell r="B3930">
            <v>10.7644</v>
          </cell>
          <cell r="C3930">
            <v>10.87134794520548</v>
          </cell>
        </row>
        <row r="3931">
          <cell r="B3931">
            <v>10.767099999999999</v>
          </cell>
          <cell r="C3931">
            <v>10.871890410958905</v>
          </cell>
        </row>
        <row r="3932">
          <cell r="B3932">
            <v>10.7699</v>
          </cell>
          <cell r="C3932">
            <v>10.872432876712329</v>
          </cell>
        </row>
        <row r="3933">
          <cell r="B3933">
            <v>10.772600000000001</v>
          </cell>
          <cell r="C3933">
            <v>10.872975342465754</v>
          </cell>
        </row>
        <row r="3934">
          <cell r="B3934">
            <v>10.7753</v>
          </cell>
          <cell r="C3934">
            <v>10.873517808219178</v>
          </cell>
        </row>
        <row r="3935">
          <cell r="B3935">
            <v>10.7781</v>
          </cell>
          <cell r="C3935">
            <v>10.874060273972603</v>
          </cell>
        </row>
        <row r="3936">
          <cell r="B3936">
            <v>10.780799999999999</v>
          </cell>
          <cell r="C3936">
            <v>10.874602739726027</v>
          </cell>
        </row>
        <row r="3937">
          <cell r="B3937">
            <v>10.7836</v>
          </cell>
          <cell r="C3937">
            <v>10.875145205479452</v>
          </cell>
        </row>
        <row r="3938">
          <cell r="B3938">
            <v>10.786300000000001</v>
          </cell>
          <cell r="C3938">
            <v>10.875687671232878</v>
          </cell>
        </row>
        <row r="3939">
          <cell r="B3939">
            <v>10.789</v>
          </cell>
          <cell r="C3939">
            <v>10.876230136986303</v>
          </cell>
        </row>
        <row r="3940">
          <cell r="B3940">
            <v>10.7918</v>
          </cell>
          <cell r="C3940">
            <v>10.876772602739727</v>
          </cell>
        </row>
        <row r="3941">
          <cell r="B3941">
            <v>10.794499999999999</v>
          </cell>
          <cell r="C3941">
            <v>10.877315068493152</v>
          </cell>
        </row>
        <row r="3942">
          <cell r="B3942">
            <v>10.7973</v>
          </cell>
          <cell r="C3942">
            <v>10.877857534246576</v>
          </cell>
        </row>
        <row r="3943">
          <cell r="B3943">
            <v>10.8</v>
          </cell>
          <cell r="C3943">
            <v>10.878400000000001</v>
          </cell>
        </row>
        <row r="3944">
          <cell r="B3944">
            <v>10.8027</v>
          </cell>
          <cell r="C3944">
            <v>10.878942465753425</v>
          </cell>
        </row>
        <row r="3945">
          <cell r="B3945">
            <v>10.8055</v>
          </cell>
          <cell r="C3945">
            <v>10.87948493150685</v>
          </cell>
        </row>
        <row r="3946">
          <cell r="B3946">
            <v>10.808199999999999</v>
          </cell>
          <cell r="C3946">
            <v>10.880027397260275</v>
          </cell>
        </row>
        <row r="3947">
          <cell r="B3947">
            <v>10.811</v>
          </cell>
          <cell r="C3947">
            <v>10.880569863013699</v>
          </cell>
        </row>
        <row r="3948">
          <cell r="B3948">
            <v>10.813700000000001</v>
          </cell>
          <cell r="C3948">
            <v>10.881112328767124</v>
          </cell>
        </row>
        <row r="3949">
          <cell r="B3949">
            <v>10.8164</v>
          </cell>
          <cell r="C3949">
            <v>10.881654794520548</v>
          </cell>
        </row>
        <row r="3950">
          <cell r="B3950">
            <v>10.8192</v>
          </cell>
          <cell r="C3950">
            <v>10.882197260273973</v>
          </cell>
        </row>
        <row r="3951">
          <cell r="B3951">
            <v>10.821899999999999</v>
          </cell>
          <cell r="C3951">
            <v>10.882739726027397</v>
          </cell>
        </row>
        <row r="3952">
          <cell r="B3952">
            <v>10.8247</v>
          </cell>
          <cell r="C3952">
            <v>10.883282191780822</v>
          </cell>
        </row>
        <row r="3953">
          <cell r="B3953">
            <v>10.827400000000001</v>
          </cell>
          <cell r="C3953">
            <v>10.883824657534248</v>
          </cell>
        </row>
        <row r="3954">
          <cell r="B3954">
            <v>10.8301</v>
          </cell>
          <cell r="C3954">
            <v>10.884367123287673</v>
          </cell>
        </row>
        <row r="3955">
          <cell r="B3955">
            <v>10.8329</v>
          </cell>
          <cell r="C3955">
            <v>10.884909589041097</v>
          </cell>
        </row>
        <row r="3956">
          <cell r="B3956">
            <v>10.835599999999999</v>
          </cell>
          <cell r="C3956">
            <v>10.885452054794522</v>
          </cell>
        </row>
        <row r="3957">
          <cell r="B3957">
            <v>10.8384</v>
          </cell>
          <cell r="C3957">
            <v>10.885994520547946</v>
          </cell>
        </row>
        <row r="3958">
          <cell r="B3958">
            <v>10.841100000000001</v>
          </cell>
          <cell r="C3958">
            <v>10.886536986301371</v>
          </cell>
        </row>
        <row r="3959">
          <cell r="B3959">
            <v>10.8438</v>
          </cell>
          <cell r="C3959">
            <v>10.887079452054795</v>
          </cell>
        </row>
        <row r="3960">
          <cell r="B3960">
            <v>10.8466</v>
          </cell>
          <cell r="C3960">
            <v>10.88762191780822</v>
          </cell>
        </row>
        <row r="3961">
          <cell r="B3961">
            <v>10.849299999999999</v>
          </cell>
          <cell r="C3961">
            <v>10.888164383561644</v>
          </cell>
        </row>
        <row r="3962">
          <cell r="B3962">
            <v>10.8521</v>
          </cell>
          <cell r="C3962">
            <v>10.888706849315069</v>
          </cell>
        </row>
        <row r="3963">
          <cell r="B3963">
            <v>10.854799999999999</v>
          </cell>
          <cell r="C3963">
            <v>10.889249315068493</v>
          </cell>
        </row>
        <row r="3964">
          <cell r="B3964">
            <v>10.8575</v>
          </cell>
          <cell r="C3964">
            <v>10.889791780821918</v>
          </cell>
        </row>
        <row r="3965">
          <cell r="B3965">
            <v>10.860300000000001</v>
          </cell>
          <cell r="C3965">
            <v>10.890334246575343</v>
          </cell>
        </row>
        <row r="3966">
          <cell r="B3966">
            <v>10.863</v>
          </cell>
          <cell r="C3966">
            <v>10.890876712328767</v>
          </cell>
        </row>
        <row r="3967">
          <cell r="B3967">
            <v>10.8658</v>
          </cell>
          <cell r="C3967">
            <v>10.891419178082192</v>
          </cell>
        </row>
        <row r="3968">
          <cell r="B3968">
            <v>10.868499999999999</v>
          </cell>
          <cell r="C3968">
            <v>10.891961643835618</v>
          </cell>
        </row>
        <row r="3969">
          <cell r="B3969">
            <v>10.8712</v>
          </cell>
          <cell r="C3969">
            <v>10.892504109589042</v>
          </cell>
        </row>
        <row r="3970">
          <cell r="B3970">
            <v>10.874000000000001</v>
          </cell>
          <cell r="C3970">
            <v>10.893046575342467</v>
          </cell>
        </row>
        <row r="3971">
          <cell r="B3971">
            <v>10.8767</v>
          </cell>
          <cell r="C3971">
            <v>10.893589041095892</v>
          </cell>
        </row>
        <row r="3972">
          <cell r="B3972">
            <v>10.8795</v>
          </cell>
          <cell r="C3972">
            <v>10.894131506849316</v>
          </cell>
        </row>
        <row r="3973">
          <cell r="B3973">
            <v>10.882199999999999</v>
          </cell>
          <cell r="C3973">
            <v>10.894673972602741</v>
          </cell>
        </row>
        <row r="3974">
          <cell r="B3974">
            <v>10.8849</v>
          </cell>
          <cell r="C3974">
            <v>10.895216438356165</v>
          </cell>
        </row>
        <row r="3975">
          <cell r="B3975">
            <v>10.887700000000001</v>
          </cell>
          <cell r="C3975">
            <v>10.89575890410959</v>
          </cell>
        </row>
        <row r="3976">
          <cell r="B3976">
            <v>10.8904</v>
          </cell>
          <cell r="C3976">
            <v>10.896301369863014</v>
          </cell>
        </row>
        <row r="3977">
          <cell r="B3977">
            <v>10.8932</v>
          </cell>
          <cell r="C3977">
            <v>10.896843835616439</v>
          </cell>
        </row>
        <row r="3978">
          <cell r="B3978">
            <v>10.895899999999999</v>
          </cell>
          <cell r="C3978">
            <v>10.897386301369863</v>
          </cell>
        </row>
        <row r="3979">
          <cell r="B3979">
            <v>10.8986</v>
          </cell>
          <cell r="C3979">
            <v>10.897928767123288</v>
          </cell>
        </row>
        <row r="3980">
          <cell r="B3980">
            <v>10.901400000000001</v>
          </cell>
          <cell r="C3980">
            <v>10.898471232876712</v>
          </cell>
        </row>
        <row r="3981">
          <cell r="B3981">
            <v>10.9041</v>
          </cell>
          <cell r="C3981">
            <v>10.899013698630137</v>
          </cell>
        </row>
        <row r="3982">
          <cell r="B3982">
            <v>10.9068</v>
          </cell>
          <cell r="C3982">
            <v>10.899556164383561</v>
          </cell>
        </row>
        <row r="3983">
          <cell r="B3983">
            <v>10.909599999999999</v>
          </cell>
          <cell r="C3983">
            <v>10.900098630136988</v>
          </cell>
        </row>
        <row r="3984">
          <cell r="B3984">
            <v>10.9123</v>
          </cell>
          <cell r="C3984">
            <v>10.900641095890412</v>
          </cell>
        </row>
        <row r="3985">
          <cell r="B3985">
            <v>10.915100000000001</v>
          </cell>
          <cell r="C3985">
            <v>10.901183561643837</v>
          </cell>
        </row>
        <row r="3986">
          <cell r="B3986">
            <v>10.9178</v>
          </cell>
          <cell r="C3986">
            <v>10.901726027397261</v>
          </cell>
        </row>
        <row r="3987">
          <cell r="B3987">
            <v>10.920500000000001</v>
          </cell>
          <cell r="C3987">
            <v>10.902268493150686</v>
          </cell>
        </row>
        <row r="3988">
          <cell r="B3988">
            <v>10.923299999999999</v>
          </cell>
          <cell r="C3988">
            <v>10.90281095890411</v>
          </cell>
        </row>
        <row r="3989">
          <cell r="B3989">
            <v>10.926</v>
          </cell>
          <cell r="C3989">
            <v>10.903353424657535</v>
          </cell>
        </row>
        <row r="3990">
          <cell r="B3990">
            <v>10.928800000000001</v>
          </cell>
          <cell r="C3990">
            <v>10.90389589041096</v>
          </cell>
        </row>
        <row r="3991">
          <cell r="B3991">
            <v>10.9315</v>
          </cell>
          <cell r="C3991">
            <v>10.904438356164384</v>
          </cell>
        </row>
        <row r="3992">
          <cell r="B3992">
            <v>10.934200000000001</v>
          </cell>
          <cell r="C3992">
            <v>10.904980821917809</v>
          </cell>
        </row>
        <row r="3993">
          <cell r="B3993">
            <v>10.936999999999999</v>
          </cell>
          <cell r="C3993">
            <v>10.905523287671233</v>
          </cell>
        </row>
        <row r="3994">
          <cell r="B3994">
            <v>10.9397</v>
          </cell>
          <cell r="C3994">
            <v>10.906065753424658</v>
          </cell>
        </row>
        <row r="3995">
          <cell r="B3995">
            <v>10.942500000000001</v>
          </cell>
          <cell r="C3995">
            <v>10.906608219178082</v>
          </cell>
        </row>
        <row r="3996">
          <cell r="B3996">
            <v>10.9452</v>
          </cell>
          <cell r="C3996">
            <v>10.907150684931507</v>
          </cell>
        </row>
        <row r="3997">
          <cell r="B3997">
            <v>10.947900000000001</v>
          </cell>
          <cell r="C3997">
            <v>10.907693150684931</v>
          </cell>
        </row>
        <row r="3998">
          <cell r="B3998">
            <v>10.950699999999999</v>
          </cell>
          <cell r="C3998">
            <v>10.908235616438358</v>
          </cell>
        </row>
        <row r="3999">
          <cell r="B3999">
            <v>10.9534</v>
          </cell>
          <cell r="C3999">
            <v>10.908778082191782</v>
          </cell>
        </row>
        <row r="4000">
          <cell r="B4000">
            <v>10.956200000000001</v>
          </cell>
          <cell r="C4000">
            <v>10.909320547945207</v>
          </cell>
        </row>
        <row r="4001">
          <cell r="B4001">
            <v>10.9589</v>
          </cell>
          <cell r="C4001">
            <v>10.909863013698631</v>
          </cell>
        </row>
        <row r="4002">
          <cell r="B4002">
            <v>10.961600000000001</v>
          </cell>
          <cell r="C4002">
            <v>10.910405479452056</v>
          </cell>
        </row>
        <row r="4003">
          <cell r="B4003">
            <v>10.964399999999999</v>
          </cell>
          <cell r="C4003">
            <v>10.91094794520548</v>
          </cell>
        </row>
        <row r="4004">
          <cell r="B4004">
            <v>10.9671</v>
          </cell>
          <cell r="C4004">
            <v>10.911490410958905</v>
          </cell>
        </row>
        <row r="4005">
          <cell r="B4005">
            <v>10.969900000000001</v>
          </cell>
          <cell r="C4005">
            <v>10.912032876712329</v>
          </cell>
        </row>
        <row r="4006">
          <cell r="B4006">
            <v>10.9726</v>
          </cell>
          <cell r="C4006">
            <v>10.912575342465754</v>
          </cell>
        </row>
        <row r="4007">
          <cell r="B4007">
            <v>10.975300000000001</v>
          </cell>
          <cell r="C4007">
            <v>10.913117808219178</v>
          </cell>
        </row>
        <row r="4008">
          <cell r="B4008">
            <v>10.9781</v>
          </cell>
          <cell r="C4008">
            <v>10.913660273972603</v>
          </cell>
        </row>
        <row r="4009">
          <cell r="B4009">
            <v>10.9808</v>
          </cell>
          <cell r="C4009">
            <v>10.914202739726028</v>
          </cell>
        </row>
        <row r="4010">
          <cell r="B4010">
            <v>10.983599999999999</v>
          </cell>
          <cell r="C4010">
            <v>10.914745205479452</v>
          </cell>
        </row>
        <row r="4011">
          <cell r="B4011">
            <v>10.9863</v>
          </cell>
          <cell r="C4011">
            <v>10.915287671232877</v>
          </cell>
        </row>
        <row r="4012">
          <cell r="B4012">
            <v>10.989000000000001</v>
          </cell>
          <cell r="C4012">
            <v>10.915830136986303</v>
          </cell>
        </row>
        <row r="4013">
          <cell r="B4013">
            <v>10.9918</v>
          </cell>
          <cell r="C4013">
            <v>10.916372602739727</v>
          </cell>
        </row>
        <row r="4014">
          <cell r="B4014">
            <v>10.9945</v>
          </cell>
          <cell r="C4014">
            <v>10.916915068493152</v>
          </cell>
        </row>
        <row r="4015">
          <cell r="B4015">
            <v>10.997299999999999</v>
          </cell>
          <cell r="C4015">
            <v>10.917457534246577</v>
          </cell>
        </row>
        <row r="4016">
          <cell r="B4016">
            <v>11</v>
          </cell>
          <cell r="C4016">
            <v>10.918000000000001</v>
          </cell>
        </row>
        <row r="4017">
          <cell r="B4017">
            <v>11.002700000000001</v>
          </cell>
          <cell r="C4017">
            <v>10.918542465753426</v>
          </cell>
        </row>
        <row r="4018">
          <cell r="B4018">
            <v>11.0055</v>
          </cell>
          <cell r="C4018">
            <v>10.91908493150685</v>
          </cell>
        </row>
        <row r="4019">
          <cell r="B4019">
            <v>11.0082</v>
          </cell>
          <cell r="C4019">
            <v>10.919627397260275</v>
          </cell>
        </row>
        <row r="4020">
          <cell r="B4020">
            <v>11.010999999999999</v>
          </cell>
          <cell r="C4020">
            <v>10.920169863013699</v>
          </cell>
        </row>
        <row r="4021">
          <cell r="B4021">
            <v>11.0137</v>
          </cell>
          <cell r="C4021">
            <v>10.920712328767124</v>
          </cell>
        </row>
        <row r="4022">
          <cell r="B4022">
            <v>11.016400000000001</v>
          </cell>
          <cell r="C4022">
            <v>10.921254794520548</v>
          </cell>
        </row>
        <row r="4023">
          <cell r="B4023">
            <v>11.0192</v>
          </cell>
          <cell r="C4023">
            <v>10.921797260273973</v>
          </cell>
        </row>
        <row r="4024">
          <cell r="B4024">
            <v>11.0219</v>
          </cell>
          <cell r="C4024">
            <v>10.922339726027397</v>
          </cell>
        </row>
        <row r="4025">
          <cell r="B4025">
            <v>11.024699999999999</v>
          </cell>
          <cell r="C4025">
            <v>10.922882191780822</v>
          </cell>
        </row>
        <row r="4026">
          <cell r="B4026">
            <v>11.0274</v>
          </cell>
          <cell r="C4026">
            <v>10.923424657534246</v>
          </cell>
        </row>
        <row r="4027">
          <cell r="B4027">
            <v>11.030099999999999</v>
          </cell>
          <cell r="C4027">
            <v>10.923967123287673</v>
          </cell>
        </row>
        <row r="4028">
          <cell r="B4028">
            <v>11.0329</v>
          </cell>
          <cell r="C4028">
            <v>10.924509589041097</v>
          </cell>
        </row>
        <row r="4029">
          <cell r="B4029">
            <v>11.035600000000001</v>
          </cell>
          <cell r="C4029">
            <v>10.925052054794522</v>
          </cell>
        </row>
        <row r="4030">
          <cell r="B4030">
            <v>11.038399999999999</v>
          </cell>
          <cell r="C4030">
            <v>10.925594520547946</v>
          </cell>
        </row>
        <row r="4031">
          <cell r="B4031">
            <v>11.0411</v>
          </cell>
          <cell r="C4031">
            <v>10.926136986301371</v>
          </cell>
        </row>
        <row r="4032">
          <cell r="B4032">
            <v>11.043799999999999</v>
          </cell>
          <cell r="C4032">
            <v>10.926679452054795</v>
          </cell>
        </row>
        <row r="4033">
          <cell r="B4033">
            <v>11.0466</v>
          </cell>
          <cell r="C4033">
            <v>10.92722191780822</v>
          </cell>
        </row>
        <row r="4034">
          <cell r="B4034">
            <v>11.049300000000001</v>
          </cell>
          <cell r="C4034">
            <v>10.927764383561644</v>
          </cell>
        </row>
        <row r="4035">
          <cell r="B4035">
            <v>11.052099999999999</v>
          </cell>
          <cell r="C4035">
            <v>10.928306849315069</v>
          </cell>
        </row>
        <row r="4036">
          <cell r="B4036">
            <v>11.0548</v>
          </cell>
          <cell r="C4036">
            <v>10.928849315068494</v>
          </cell>
        </row>
        <row r="4037">
          <cell r="B4037">
            <v>11.057499999999999</v>
          </cell>
          <cell r="C4037">
            <v>10.929391780821918</v>
          </cell>
        </row>
        <row r="4038">
          <cell r="B4038">
            <v>11.0603</v>
          </cell>
          <cell r="C4038">
            <v>10.929934246575343</v>
          </cell>
        </row>
        <row r="4039">
          <cell r="B4039">
            <v>11.063000000000001</v>
          </cell>
          <cell r="C4039">
            <v>10.930476712328767</v>
          </cell>
        </row>
        <row r="4040">
          <cell r="B4040">
            <v>11.065799999999999</v>
          </cell>
          <cell r="C4040">
            <v>10.931019178082192</v>
          </cell>
        </row>
        <row r="4041">
          <cell r="B4041">
            <v>11.0685</v>
          </cell>
          <cell r="C4041">
            <v>10.931561643835618</v>
          </cell>
        </row>
        <row r="4042">
          <cell r="B4042">
            <v>11.071199999999999</v>
          </cell>
          <cell r="C4042">
            <v>10.932104109589043</v>
          </cell>
        </row>
        <row r="4043">
          <cell r="B4043">
            <v>11.074</v>
          </cell>
          <cell r="C4043">
            <v>10.932646575342467</v>
          </cell>
        </row>
        <row r="4044">
          <cell r="B4044">
            <v>11.076700000000001</v>
          </cell>
          <cell r="C4044">
            <v>10.933189041095892</v>
          </cell>
        </row>
        <row r="4045">
          <cell r="B4045">
            <v>11.079499999999999</v>
          </cell>
          <cell r="C4045">
            <v>10.933731506849316</v>
          </cell>
        </row>
        <row r="4046">
          <cell r="B4046">
            <v>11.0822</v>
          </cell>
          <cell r="C4046">
            <v>10.934273972602741</v>
          </cell>
        </row>
        <row r="4047">
          <cell r="B4047">
            <v>11.084899999999999</v>
          </cell>
          <cell r="C4047">
            <v>10.934816438356165</v>
          </cell>
        </row>
        <row r="4048">
          <cell r="B4048">
            <v>11.0877</v>
          </cell>
          <cell r="C4048">
            <v>10.93535890410959</v>
          </cell>
        </row>
        <row r="4049">
          <cell r="B4049">
            <v>11.090400000000001</v>
          </cell>
          <cell r="C4049">
            <v>10.935901369863014</v>
          </cell>
        </row>
        <row r="4050">
          <cell r="B4050">
            <v>11.0932</v>
          </cell>
          <cell r="C4050">
            <v>10.936443835616439</v>
          </cell>
        </row>
        <row r="4051">
          <cell r="B4051">
            <v>11.0959</v>
          </cell>
          <cell r="C4051">
            <v>10.936986301369863</v>
          </cell>
        </row>
        <row r="4052">
          <cell r="B4052">
            <v>11.098599999999999</v>
          </cell>
          <cell r="C4052">
            <v>10.937528767123288</v>
          </cell>
        </row>
        <row r="4053">
          <cell r="B4053">
            <v>11.1014</v>
          </cell>
          <cell r="C4053">
            <v>10.938071232876712</v>
          </cell>
        </row>
        <row r="4054">
          <cell r="B4054">
            <v>11.104100000000001</v>
          </cell>
          <cell r="C4054">
            <v>10.938613698630137</v>
          </cell>
        </row>
        <row r="4055">
          <cell r="B4055">
            <v>11.1068</v>
          </cell>
          <cell r="C4055">
            <v>10.939156164383562</v>
          </cell>
        </row>
        <row r="4056">
          <cell r="B4056">
            <v>11.1096</v>
          </cell>
          <cell r="C4056">
            <v>10.939698630136988</v>
          </cell>
        </row>
        <row r="4057">
          <cell r="B4057">
            <v>11.112299999999999</v>
          </cell>
          <cell r="C4057">
            <v>10.940241095890412</v>
          </cell>
        </row>
        <row r="4058">
          <cell r="B4058">
            <v>11.1151</v>
          </cell>
          <cell r="C4058">
            <v>10.940783561643837</v>
          </cell>
        </row>
        <row r="4059">
          <cell r="B4059">
            <v>11.117800000000001</v>
          </cell>
          <cell r="C4059">
            <v>10.941326027397261</v>
          </cell>
        </row>
        <row r="4060">
          <cell r="B4060">
            <v>11.1205</v>
          </cell>
          <cell r="C4060">
            <v>10.941868493150686</v>
          </cell>
        </row>
        <row r="4061">
          <cell r="B4061">
            <v>11.1233</v>
          </cell>
          <cell r="C4061">
            <v>10.942410958904111</v>
          </cell>
        </row>
        <row r="4062">
          <cell r="B4062">
            <v>11.125999999999999</v>
          </cell>
          <cell r="C4062">
            <v>10.942953424657535</v>
          </cell>
        </row>
        <row r="4063">
          <cell r="B4063">
            <v>11.1288</v>
          </cell>
          <cell r="C4063">
            <v>10.94349589041096</v>
          </cell>
        </row>
        <row r="4064">
          <cell r="B4064">
            <v>11.131500000000001</v>
          </cell>
          <cell r="C4064">
            <v>10.944038356164384</v>
          </cell>
        </row>
        <row r="4065">
          <cell r="B4065">
            <v>11.1342</v>
          </cell>
          <cell r="C4065">
            <v>10.944580821917809</v>
          </cell>
        </row>
        <row r="4066">
          <cell r="B4066">
            <v>11.137</v>
          </cell>
          <cell r="C4066">
            <v>10.945123287671233</v>
          </cell>
        </row>
        <row r="4067">
          <cell r="B4067">
            <v>11.139699999999999</v>
          </cell>
          <cell r="C4067">
            <v>10.945665753424658</v>
          </cell>
        </row>
        <row r="4068">
          <cell r="B4068">
            <v>11.1425</v>
          </cell>
          <cell r="C4068">
            <v>10.946208219178082</v>
          </cell>
        </row>
        <row r="4069">
          <cell r="B4069">
            <v>11.145200000000001</v>
          </cell>
          <cell r="C4069">
            <v>10.946750684931507</v>
          </cell>
        </row>
        <row r="4070">
          <cell r="B4070">
            <v>11.1479</v>
          </cell>
          <cell r="C4070">
            <v>10.947293150684931</v>
          </cell>
        </row>
        <row r="4071">
          <cell r="B4071">
            <v>11.150700000000001</v>
          </cell>
          <cell r="C4071">
            <v>10.947835616438358</v>
          </cell>
        </row>
        <row r="4072">
          <cell r="B4072">
            <v>11.1534</v>
          </cell>
          <cell r="C4072">
            <v>10.948378082191782</v>
          </cell>
        </row>
        <row r="4073">
          <cell r="B4073">
            <v>11.1562</v>
          </cell>
          <cell r="C4073">
            <v>10.948920547945207</v>
          </cell>
        </row>
        <row r="4074">
          <cell r="B4074">
            <v>11.158899999999999</v>
          </cell>
          <cell r="C4074">
            <v>10.949463013698631</v>
          </cell>
        </row>
        <row r="4075">
          <cell r="B4075">
            <v>11.1616</v>
          </cell>
          <cell r="C4075">
            <v>10.950005479452056</v>
          </cell>
        </row>
        <row r="4076">
          <cell r="B4076">
            <v>11.164400000000001</v>
          </cell>
          <cell r="C4076">
            <v>10.95054794520548</v>
          </cell>
        </row>
        <row r="4077">
          <cell r="B4077">
            <v>11.1671</v>
          </cell>
          <cell r="C4077">
            <v>10.951090410958905</v>
          </cell>
        </row>
        <row r="4078">
          <cell r="B4078">
            <v>11.1699</v>
          </cell>
          <cell r="C4078">
            <v>10.951632876712329</v>
          </cell>
        </row>
        <row r="4079">
          <cell r="B4079">
            <v>11.172599999999999</v>
          </cell>
          <cell r="C4079">
            <v>10.952175342465754</v>
          </cell>
        </row>
        <row r="4080">
          <cell r="B4080">
            <v>11.1753</v>
          </cell>
          <cell r="C4080">
            <v>10.952717808219179</v>
          </cell>
        </row>
        <row r="4081">
          <cell r="B4081">
            <v>11.178100000000001</v>
          </cell>
          <cell r="C4081">
            <v>10.953260273972603</v>
          </cell>
        </row>
        <row r="4082">
          <cell r="B4082">
            <v>11.1808</v>
          </cell>
          <cell r="C4082">
            <v>10.953802739726028</v>
          </cell>
        </row>
        <row r="4083">
          <cell r="B4083">
            <v>11.1836</v>
          </cell>
          <cell r="C4083">
            <v>10.954345205479452</v>
          </cell>
        </row>
        <row r="4084">
          <cell r="B4084">
            <v>11.186299999999999</v>
          </cell>
          <cell r="C4084">
            <v>10.954887671232877</v>
          </cell>
        </row>
        <row r="4085">
          <cell r="B4085">
            <v>11.189</v>
          </cell>
          <cell r="C4085">
            <v>10.955430136986301</v>
          </cell>
        </row>
        <row r="4086">
          <cell r="B4086">
            <v>11.191800000000001</v>
          </cell>
          <cell r="C4086">
            <v>10.955972602739728</v>
          </cell>
        </row>
        <row r="4087">
          <cell r="B4087">
            <v>11.1945</v>
          </cell>
          <cell r="C4087">
            <v>10.956515068493152</v>
          </cell>
        </row>
        <row r="4088">
          <cell r="B4088">
            <v>11.1973</v>
          </cell>
          <cell r="C4088">
            <v>10.957057534246577</v>
          </cell>
        </row>
        <row r="4089">
          <cell r="B4089">
            <v>11.2</v>
          </cell>
          <cell r="C4089">
            <v>10.957600000000001</v>
          </cell>
        </row>
        <row r="4090">
          <cell r="B4090">
            <v>11.2027</v>
          </cell>
          <cell r="C4090">
            <v>10.958142465753426</v>
          </cell>
        </row>
        <row r="4091">
          <cell r="B4091">
            <v>11.205500000000001</v>
          </cell>
          <cell r="C4091">
            <v>10.95868493150685</v>
          </cell>
        </row>
        <row r="4092">
          <cell r="B4092">
            <v>11.2082</v>
          </cell>
          <cell r="C4092">
            <v>10.959227397260275</v>
          </cell>
        </row>
        <row r="4093">
          <cell r="B4093">
            <v>11.211</v>
          </cell>
          <cell r="C4093">
            <v>10.959769863013699</v>
          </cell>
        </row>
        <row r="4094">
          <cell r="B4094">
            <v>11.213699999999999</v>
          </cell>
          <cell r="C4094">
            <v>10.960312328767124</v>
          </cell>
        </row>
        <row r="4095">
          <cell r="B4095">
            <v>11.2164</v>
          </cell>
          <cell r="C4095">
            <v>10.960854794520548</v>
          </cell>
        </row>
        <row r="4096">
          <cell r="B4096">
            <v>11.219200000000001</v>
          </cell>
          <cell r="C4096">
            <v>10.961397260273973</v>
          </cell>
        </row>
        <row r="4097">
          <cell r="B4097">
            <v>11.2219</v>
          </cell>
          <cell r="C4097">
            <v>10.961939726027397</v>
          </cell>
        </row>
        <row r="4098">
          <cell r="B4098">
            <v>11.2247</v>
          </cell>
          <cell r="C4098">
            <v>10.962482191780822</v>
          </cell>
        </row>
        <row r="4099">
          <cell r="B4099">
            <v>11.227399999999999</v>
          </cell>
          <cell r="C4099">
            <v>10.963024657534246</v>
          </cell>
        </row>
        <row r="4100">
          <cell r="B4100">
            <v>11.2301</v>
          </cell>
          <cell r="C4100">
            <v>10.963567123287671</v>
          </cell>
        </row>
        <row r="4101">
          <cell r="B4101">
            <v>11.232900000000001</v>
          </cell>
          <cell r="C4101">
            <v>10.964109589041097</v>
          </cell>
        </row>
        <row r="4102">
          <cell r="B4102">
            <v>11.2356</v>
          </cell>
          <cell r="C4102">
            <v>10.964652054794522</v>
          </cell>
        </row>
        <row r="4103">
          <cell r="B4103">
            <v>11.2384</v>
          </cell>
          <cell r="C4103">
            <v>10.965194520547946</v>
          </cell>
        </row>
        <row r="4104">
          <cell r="B4104">
            <v>11.241099999999999</v>
          </cell>
          <cell r="C4104">
            <v>10.965736986301371</v>
          </cell>
        </row>
        <row r="4105">
          <cell r="B4105">
            <v>11.2438</v>
          </cell>
          <cell r="C4105">
            <v>10.966279452054795</v>
          </cell>
        </row>
        <row r="4106">
          <cell r="B4106">
            <v>11.246600000000001</v>
          </cell>
          <cell r="C4106">
            <v>10.96682191780822</v>
          </cell>
        </row>
        <row r="4107">
          <cell r="B4107">
            <v>11.2493</v>
          </cell>
          <cell r="C4107">
            <v>10.967364383561645</v>
          </cell>
        </row>
        <row r="4108">
          <cell r="B4108">
            <v>11.2521</v>
          </cell>
          <cell r="C4108">
            <v>10.967906849315069</v>
          </cell>
        </row>
        <row r="4109">
          <cell r="B4109">
            <v>11.254799999999999</v>
          </cell>
          <cell r="C4109">
            <v>10.968449315068494</v>
          </cell>
        </row>
        <row r="4110">
          <cell r="B4110">
            <v>11.2575</v>
          </cell>
          <cell r="C4110">
            <v>10.968991780821918</v>
          </cell>
        </row>
        <row r="4111">
          <cell r="B4111">
            <v>11.260300000000001</v>
          </cell>
          <cell r="C4111">
            <v>10.969534246575343</v>
          </cell>
        </row>
        <row r="4112">
          <cell r="B4112">
            <v>11.263</v>
          </cell>
          <cell r="C4112">
            <v>10.970076712328767</v>
          </cell>
        </row>
        <row r="4113">
          <cell r="B4113">
            <v>11.2658</v>
          </cell>
          <cell r="C4113">
            <v>10.970619178082192</v>
          </cell>
        </row>
        <row r="4114">
          <cell r="B4114">
            <v>11.2685</v>
          </cell>
          <cell r="C4114">
            <v>10.971161643835616</v>
          </cell>
        </row>
        <row r="4115">
          <cell r="B4115">
            <v>11.2712</v>
          </cell>
          <cell r="C4115">
            <v>10.971704109589043</v>
          </cell>
        </row>
        <row r="4116">
          <cell r="B4116">
            <v>11.273999999999999</v>
          </cell>
          <cell r="C4116">
            <v>10.972246575342467</v>
          </cell>
        </row>
        <row r="4117">
          <cell r="B4117">
            <v>11.2767</v>
          </cell>
          <cell r="C4117">
            <v>10.972789041095892</v>
          </cell>
        </row>
        <row r="4118">
          <cell r="B4118">
            <v>11.279500000000001</v>
          </cell>
          <cell r="C4118">
            <v>10.973331506849316</v>
          </cell>
        </row>
        <row r="4119">
          <cell r="B4119">
            <v>11.2822</v>
          </cell>
          <cell r="C4119">
            <v>10.973873972602741</v>
          </cell>
        </row>
        <row r="4120">
          <cell r="B4120">
            <v>11.2849</v>
          </cell>
          <cell r="C4120">
            <v>10.974416438356165</v>
          </cell>
        </row>
        <row r="4121">
          <cell r="B4121">
            <v>11.287699999999999</v>
          </cell>
          <cell r="C4121">
            <v>10.97495890410959</v>
          </cell>
        </row>
        <row r="4122">
          <cell r="B4122">
            <v>11.2904</v>
          </cell>
          <cell r="C4122">
            <v>10.975501369863014</v>
          </cell>
        </row>
        <row r="4123">
          <cell r="B4123">
            <v>11.293200000000001</v>
          </cell>
          <cell r="C4123">
            <v>10.976043835616439</v>
          </cell>
        </row>
        <row r="4124">
          <cell r="B4124">
            <v>11.2959</v>
          </cell>
          <cell r="C4124">
            <v>10.976586301369863</v>
          </cell>
        </row>
        <row r="4125">
          <cell r="B4125">
            <v>11.2986</v>
          </cell>
          <cell r="C4125">
            <v>10.977128767123288</v>
          </cell>
        </row>
        <row r="4126">
          <cell r="B4126">
            <v>11.301399999999999</v>
          </cell>
          <cell r="C4126">
            <v>10.977671232876713</v>
          </cell>
        </row>
        <row r="4127">
          <cell r="B4127">
            <v>11.3041</v>
          </cell>
          <cell r="C4127">
            <v>10.978213698630137</v>
          </cell>
        </row>
        <row r="4128">
          <cell r="B4128">
            <v>11.306800000000001</v>
          </cell>
          <cell r="C4128">
            <v>10.978756164383562</v>
          </cell>
        </row>
        <row r="4129">
          <cell r="B4129">
            <v>11.3096</v>
          </cell>
          <cell r="C4129">
            <v>10.979298630136986</v>
          </cell>
        </row>
        <row r="4130">
          <cell r="B4130">
            <v>11.3123</v>
          </cell>
          <cell r="C4130">
            <v>10.979841095890412</v>
          </cell>
        </row>
        <row r="4131">
          <cell r="B4131">
            <v>11.315099999999999</v>
          </cell>
          <cell r="C4131">
            <v>10.980383561643837</v>
          </cell>
        </row>
        <row r="4132">
          <cell r="B4132">
            <v>11.3178</v>
          </cell>
          <cell r="C4132">
            <v>10.980926027397262</v>
          </cell>
        </row>
        <row r="4133">
          <cell r="B4133">
            <v>11.320499999999999</v>
          </cell>
          <cell r="C4133">
            <v>10.981468493150686</v>
          </cell>
        </row>
        <row r="4134">
          <cell r="B4134">
            <v>11.3233</v>
          </cell>
          <cell r="C4134">
            <v>10.982010958904111</v>
          </cell>
        </row>
        <row r="4135">
          <cell r="B4135">
            <v>11.326000000000001</v>
          </cell>
          <cell r="C4135">
            <v>10.982553424657535</v>
          </cell>
        </row>
        <row r="4136">
          <cell r="B4136">
            <v>11.328799999999999</v>
          </cell>
          <cell r="C4136">
            <v>10.98309589041096</v>
          </cell>
        </row>
        <row r="4137">
          <cell r="B4137">
            <v>11.3315</v>
          </cell>
          <cell r="C4137">
            <v>10.983638356164384</v>
          </cell>
        </row>
        <row r="4138">
          <cell r="B4138">
            <v>11.334199999999999</v>
          </cell>
          <cell r="C4138">
            <v>10.984180821917809</v>
          </cell>
        </row>
        <row r="4139">
          <cell r="B4139">
            <v>11.337</v>
          </cell>
          <cell r="C4139">
            <v>10.984723287671233</v>
          </cell>
        </row>
        <row r="4140">
          <cell r="B4140">
            <v>11.339700000000001</v>
          </cell>
          <cell r="C4140">
            <v>10.985265753424658</v>
          </cell>
        </row>
        <row r="4141">
          <cell r="B4141">
            <v>11.342499999999999</v>
          </cell>
          <cell r="C4141">
            <v>10.985808219178082</v>
          </cell>
        </row>
        <row r="4142">
          <cell r="B4142">
            <v>11.3452</v>
          </cell>
          <cell r="C4142">
            <v>10.986350684931507</v>
          </cell>
        </row>
        <row r="4143">
          <cell r="B4143">
            <v>11.347899999999999</v>
          </cell>
          <cell r="C4143">
            <v>10.986893150684931</v>
          </cell>
        </row>
        <row r="4144">
          <cell r="B4144">
            <v>11.3507</v>
          </cell>
          <cell r="C4144">
            <v>10.987435616438358</v>
          </cell>
        </row>
        <row r="4145">
          <cell r="B4145">
            <v>11.353400000000001</v>
          </cell>
          <cell r="C4145">
            <v>10.987978082191782</v>
          </cell>
        </row>
        <row r="4146">
          <cell r="B4146">
            <v>11.356199999999999</v>
          </cell>
          <cell r="C4146">
            <v>10.988520547945207</v>
          </cell>
        </row>
        <row r="4147">
          <cell r="B4147">
            <v>11.3589</v>
          </cell>
          <cell r="C4147">
            <v>10.989063013698631</v>
          </cell>
        </row>
        <row r="4148">
          <cell r="B4148">
            <v>11.361599999999999</v>
          </cell>
          <cell r="C4148">
            <v>10.989605479452056</v>
          </cell>
        </row>
        <row r="4149">
          <cell r="B4149">
            <v>11.3644</v>
          </cell>
          <cell r="C4149">
            <v>10.99014794520548</v>
          </cell>
        </row>
        <row r="4150">
          <cell r="B4150">
            <v>11.367100000000001</v>
          </cell>
          <cell r="C4150">
            <v>10.990690410958905</v>
          </cell>
        </row>
        <row r="4151">
          <cell r="B4151">
            <v>11.369899999999999</v>
          </cell>
          <cell r="C4151">
            <v>10.99123287671233</v>
          </cell>
        </row>
        <row r="4152">
          <cell r="B4152">
            <v>11.3726</v>
          </cell>
          <cell r="C4152">
            <v>10.991775342465754</v>
          </cell>
        </row>
        <row r="4153">
          <cell r="B4153">
            <v>11.375299999999999</v>
          </cell>
          <cell r="C4153">
            <v>10.992317808219179</v>
          </cell>
        </row>
        <row r="4154">
          <cell r="B4154">
            <v>11.3781</v>
          </cell>
          <cell r="C4154">
            <v>10.992860273972603</v>
          </cell>
        </row>
        <row r="4155">
          <cell r="B4155">
            <v>11.380800000000001</v>
          </cell>
          <cell r="C4155">
            <v>10.993402739726028</v>
          </cell>
        </row>
        <row r="4156">
          <cell r="B4156">
            <v>11.383599999999999</v>
          </cell>
          <cell r="C4156">
            <v>10.993945205479452</v>
          </cell>
        </row>
        <row r="4157">
          <cell r="B4157">
            <v>11.3863</v>
          </cell>
          <cell r="C4157">
            <v>10.994487671232877</v>
          </cell>
        </row>
        <row r="4158">
          <cell r="B4158">
            <v>11.388999999999999</v>
          </cell>
          <cell r="C4158">
            <v>10.995030136986301</v>
          </cell>
        </row>
        <row r="4159">
          <cell r="B4159">
            <v>11.3918</v>
          </cell>
          <cell r="C4159">
            <v>10.995572602739728</v>
          </cell>
        </row>
        <row r="4160">
          <cell r="B4160">
            <v>11.394500000000001</v>
          </cell>
          <cell r="C4160">
            <v>10.996115068493152</v>
          </cell>
        </row>
        <row r="4161">
          <cell r="B4161">
            <v>11.3973</v>
          </cell>
          <cell r="C4161">
            <v>10.996657534246577</v>
          </cell>
        </row>
        <row r="4162">
          <cell r="B4162">
            <v>11.4</v>
          </cell>
          <cell r="C4162">
            <v>10.997200000000001</v>
          </cell>
        </row>
        <row r="4163">
          <cell r="B4163">
            <v>11.402699999999999</v>
          </cell>
          <cell r="C4163">
            <v>10.997742465753426</v>
          </cell>
        </row>
        <row r="4164">
          <cell r="B4164">
            <v>11.4055</v>
          </cell>
          <cell r="C4164">
            <v>10.99828493150685</v>
          </cell>
        </row>
        <row r="4165">
          <cell r="B4165">
            <v>11.408200000000001</v>
          </cell>
          <cell r="C4165">
            <v>10.998827397260275</v>
          </cell>
        </row>
        <row r="4166">
          <cell r="B4166">
            <v>11.411</v>
          </cell>
          <cell r="C4166">
            <v>10.999369863013699</v>
          </cell>
        </row>
        <row r="4167">
          <cell r="B4167">
            <v>11.4137</v>
          </cell>
          <cell r="C4167">
            <v>10.999912328767124</v>
          </cell>
        </row>
        <row r="4168">
          <cell r="B4168">
            <v>11.416399999999999</v>
          </cell>
          <cell r="C4168">
            <v>11.000454794520548</v>
          </cell>
        </row>
        <row r="4169">
          <cell r="B4169">
            <v>11.4192</v>
          </cell>
          <cell r="C4169">
            <v>11.000997260273973</v>
          </cell>
        </row>
        <row r="4170">
          <cell r="B4170">
            <v>11.421900000000001</v>
          </cell>
          <cell r="C4170">
            <v>11.001539726027397</v>
          </cell>
        </row>
        <row r="4171">
          <cell r="B4171">
            <v>11.4247</v>
          </cell>
          <cell r="C4171">
            <v>11.002082191780822</v>
          </cell>
        </row>
        <row r="4172">
          <cell r="B4172">
            <v>11.4274</v>
          </cell>
          <cell r="C4172">
            <v>11.002624657534247</v>
          </cell>
        </row>
        <row r="4173">
          <cell r="B4173">
            <v>11.430099999999999</v>
          </cell>
          <cell r="C4173">
            <v>11.003167123287671</v>
          </cell>
        </row>
        <row r="4174">
          <cell r="B4174">
            <v>11.4329</v>
          </cell>
          <cell r="C4174">
            <v>11.003709589041097</v>
          </cell>
        </row>
        <row r="4175">
          <cell r="B4175">
            <v>11.435600000000001</v>
          </cell>
          <cell r="C4175">
            <v>11.004252054794522</v>
          </cell>
        </row>
        <row r="4176">
          <cell r="B4176">
            <v>11.4384</v>
          </cell>
          <cell r="C4176">
            <v>11.004794520547946</v>
          </cell>
        </row>
        <row r="4177">
          <cell r="B4177">
            <v>11.4411</v>
          </cell>
          <cell r="C4177">
            <v>11.005336986301371</v>
          </cell>
        </row>
        <row r="4178">
          <cell r="B4178">
            <v>11.4438</v>
          </cell>
          <cell r="C4178">
            <v>11.005879452054796</v>
          </cell>
        </row>
        <row r="4179">
          <cell r="B4179">
            <v>11.4466</v>
          </cell>
          <cell r="C4179">
            <v>11.00642191780822</v>
          </cell>
        </row>
        <row r="4180">
          <cell r="B4180">
            <v>11.449299999999999</v>
          </cell>
          <cell r="C4180">
            <v>11.006964383561645</v>
          </cell>
        </row>
        <row r="4181">
          <cell r="B4181">
            <v>11.4521</v>
          </cell>
          <cell r="C4181">
            <v>11.007506849315069</v>
          </cell>
        </row>
        <row r="4182">
          <cell r="B4182">
            <v>11.454800000000001</v>
          </cell>
          <cell r="C4182">
            <v>11.008049315068494</v>
          </cell>
        </row>
        <row r="4183">
          <cell r="B4183">
            <v>11.4575</v>
          </cell>
          <cell r="C4183">
            <v>11.008591780821918</v>
          </cell>
        </row>
        <row r="4184">
          <cell r="B4184">
            <v>11.4603</v>
          </cell>
          <cell r="C4184">
            <v>11.009134246575343</v>
          </cell>
        </row>
        <row r="4185">
          <cell r="B4185">
            <v>11.462999999999999</v>
          </cell>
          <cell r="C4185">
            <v>11.009676712328767</v>
          </cell>
        </row>
        <row r="4186">
          <cell r="B4186">
            <v>11.4658</v>
          </cell>
          <cell r="C4186">
            <v>11.010219178082192</v>
          </cell>
        </row>
        <row r="4187">
          <cell r="B4187">
            <v>11.468500000000001</v>
          </cell>
          <cell r="C4187">
            <v>11.010761643835616</v>
          </cell>
        </row>
        <row r="4188">
          <cell r="B4188">
            <v>11.4712</v>
          </cell>
          <cell r="C4188">
            <v>11.011304109589041</v>
          </cell>
        </row>
        <row r="4189">
          <cell r="B4189">
            <v>11.474</v>
          </cell>
          <cell r="C4189">
            <v>11.011846575342467</v>
          </cell>
        </row>
        <row r="4190">
          <cell r="B4190">
            <v>11.476699999999999</v>
          </cell>
          <cell r="C4190">
            <v>11.012389041095892</v>
          </cell>
        </row>
        <row r="4191">
          <cell r="B4191">
            <v>11.4795</v>
          </cell>
          <cell r="C4191">
            <v>11.012931506849316</v>
          </cell>
        </row>
        <row r="4192">
          <cell r="B4192">
            <v>11.482200000000001</v>
          </cell>
          <cell r="C4192">
            <v>11.013473972602741</v>
          </cell>
        </row>
        <row r="4193">
          <cell r="B4193">
            <v>11.4849</v>
          </cell>
          <cell r="C4193">
            <v>11.014016438356165</v>
          </cell>
        </row>
        <row r="4194">
          <cell r="B4194">
            <v>11.4877</v>
          </cell>
          <cell r="C4194">
            <v>11.01455890410959</v>
          </cell>
        </row>
        <row r="4195">
          <cell r="B4195">
            <v>11.490399999999999</v>
          </cell>
          <cell r="C4195">
            <v>11.015101369863014</v>
          </cell>
        </row>
        <row r="4196">
          <cell r="B4196">
            <v>11.4932</v>
          </cell>
          <cell r="C4196">
            <v>11.015643835616439</v>
          </cell>
        </row>
        <row r="4197">
          <cell r="B4197">
            <v>11.495900000000001</v>
          </cell>
          <cell r="C4197">
            <v>11.016186301369864</v>
          </cell>
        </row>
        <row r="4198">
          <cell r="B4198">
            <v>11.4986</v>
          </cell>
          <cell r="C4198">
            <v>11.016728767123288</v>
          </cell>
        </row>
        <row r="4199">
          <cell r="B4199">
            <v>11.5014</v>
          </cell>
          <cell r="C4199">
            <v>11.017271232876713</v>
          </cell>
        </row>
        <row r="4200">
          <cell r="B4200">
            <v>11.504099999999999</v>
          </cell>
          <cell r="C4200">
            <v>11.017813698630137</v>
          </cell>
        </row>
        <row r="4201">
          <cell r="B4201">
            <v>11.5068</v>
          </cell>
          <cell r="C4201">
            <v>11.018356164383562</v>
          </cell>
        </row>
        <row r="4202">
          <cell r="B4202">
            <v>11.509600000000001</v>
          </cell>
          <cell r="C4202">
            <v>11.018898630136986</v>
          </cell>
        </row>
        <row r="4203">
          <cell r="B4203">
            <v>11.5123</v>
          </cell>
          <cell r="C4203">
            <v>11.019441095890411</v>
          </cell>
        </row>
        <row r="4204">
          <cell r="B4204">
            <v>11.5151</v>
          </cell>
          <cell r="C4204">
            <v>11.019983561643837</v>
          </cell>
        </row>
        <row r="4205">
          <cell r="B4205">
            <v>11.517799999999999</v>
          </cell>
          <cell r="C4205">
            <v>11.020526027397262</v>
          </cell>
        </row>
        <row r="4206">
          <cell r="B4206">
            <v>11.5205</v>
          </cell>
          <cell r="C4206">
            <v>11.021068493150686</v>
          </cell>
        </row>
        <row r="4207">
          <cell r="B4207">
            <v>11.523300000000001</v>
          </cell>
          <cell r="C4207">
            <v>11.021610958904111</v>
          </cell>
        </row>
        <row r="4208">
          <cell r="B4208">
            <v>11.526</v>
          </cell>
          <cell r="C4208">
            <v>11.022153424657535</v>
          </cell>
        </row>
        <row r="4209">
          <cell r="B4209">
            <v>11.5288</v>
          </cell>
          <cell r="C4209">
            <v>11.02269589041096</v>
          </cell>
        </row>
        <row r="4210">
          <cell r="B4210">
            <v>11.531499999999999</v>
          </cell>
          <cell r="C4210">
            <v>11.023238356164384</v>
          </cell>
        </row>
        <row r="4211">
          <cell r="B4211">
            <v>11.5342</v>
          </cell>
          <cell r="C4211">
            <v>11.023780821917809</v>
          </cell>
        </row>
        <row r="4212">
          <cell r="B4212">
            <v>11.537000000000001</v>
          </cell>
          <cell r="C4212">
            <v>11.024323287671233</v>
          </cell>
        </row>
        <row r="4213">
          <cell r="B4213">
            <v>11.5397</v>
          </cell>
          <cell r="C4213">
            <v>11.024865753424658</v>
          </cell>
        </row>
        <row r="4214">
          <cell r="B4214">
            <v>11.5425</v>
          </cell>
          <cell r="C4214">
            <v>11.025408219178082</v>
          </cell>
        </row>
        <row r="4215">
          <cell r="B4215">
            <v>11.545199999999999</v>
          </cell>
          <cell r="C4215">
            <v>11.025950684931507</v>
          </cell>
        </row>
        <row r="4216">
          <cell r="B4216">
            <v>11.5479</v>
          </cell>
          <cell r="C4216">
            <v>11.026493150684932</v>
          </cell>
        </row>
        <row r="4217">
          <cell r="B4217">
            <v>11.550700000000001</v>
          </cell>
          <cell r="C4217">
            <v>11.027035616438356</v>
          </cell>
        </row>
        <row r="4218">
          <cell r="B4218">
            <v>11.5534</v>
          </cell>
          <cell r="C4218">
            <v>11.027578082191782</v>
          </cell>
        </row>
        <row r="4219">
          <cell r="B4219">
            <v>11.5562</v>
          </cell>
          <cell r="C4219">
            <v>11.028120547945207</v>
          </cell>
        </row>
        <row r="4220">
          <cell r="B4220">
            <v>11.5589</v>
          </cell>
          <cell r="C4220">
            <v>11.028663013698631</v>
          </cell>
        </row>
        <row r="4221">
          <cell r="B4221">
            <v>11.5616</v>
          </cell>
          <cell r="C4221">
            <v>11.029205479452056</v>
          </cell>
        </row>
        <row r="4222">
          <cell r="B4222">
            <v>11.564399999999999</v>
          </cell>
          <cell r="C4222">
            <v>11.029747945205481</v>
          </cell>
        </row>
        <row r="4223">
          <cell r="B4223">
            <v>11.5671</v>
          </cell>
          <cell r="C4223">
            <v>11.030290410958905</v>
          </cell>
        </row>
        <row r="4224">
          <cell r="B4224">
            <v>11.569900000000001</v>
          </cell>
          <cell r="C4224">
            <v>11.03083287671233</v>
          </cell>
        </row>
        <row r="4225">
          <cell r="B4225">
            <v>11.5726</v>
          </cell>
          <cell r="C4225">
            <v>11.031375342465754</v>
          </cell>
        </row>
        <row r="4226">
          <cell r="B4226">
            <v>11.5753</v>
          </cell>
          <cell r="C4226">
            <v>11.031917808219179</v>
          </cell>
        </row>
        <row r="4227">
          <cell r="B4227">
            <v>11.578099999999999</v>
          </cell>
          <cell r="C4227">
            <v>11.032460273972603</v>
          </cell>
        </row>
        <row r="4228">
          <cell r="B4228">
            <v>11.5808</v>
          </cell>
          <cell r="C4228">
            <v>11.033002739726028</v>
          </cell>
        </row>
        <row r="4229">
          <cell r="B4229">
            <v>11.583600000000001</v>
          </cell>
          <cell r="C4229">
            <v>11.033545205479452</v>
          </cell>
        </row>
        <row r="4230">
          <cell r="B4230">
            <v>11.5863</v>
          </cell>
          <cell r="C4230">
            <v>11.034087671232877</v>
          </cell>
        </row>
        <row r="4231">
          <cell r="B4231">
            <v>11.589</v>
          </cell>
          <cell r="C4231">
            <v>11.034630136986301</v>
          </cell>
        </row>
        <row r="4232">
          <cell r="B4232">
            <v>11.591799999999999</v>
          </cell>
          <cell r="C4232">
            <v>11.035172602739726</v>
          </cell>
        </row>
        <row r="4233">
          <cell r="B4233">
            <v>11.5945</v>
          </cell>
          <cell r="C4233">
            <v>11.035715068493152</v>
          </cell>
        </row>
        <row r="4234">
          <cell r="B4234">
            <v>11.597300000000001</v>
          </cell>
          <cell r="C4234">
            <v>11.036257534246577</v>
          </cell>
        </row>
        <row r="4235">
          <cell r="B4235">
            <v>11.6</v>
          </cell>
          <cell r="C4235">
            <v>11.036800000000001</v>
          </cell>
        </row>
        <row r="4236">
          <cell r="B4236">
            <v>11.6027</v>
          </cell>
          <cell r="C4236">
            <v>11.037342465753426</v>
          </cell>
        </row>
        <row r="4237">
          <cell r="B4237">
            <v>11.605499999999999</v>
          </cell>
          <cell r="C4237">
            <v>11.03788493150685</v>
          </cell>
        </row>
        <row r="4238">
          <cell r="B4238">
            <v>11.6082</v>
          </cell>
          <cell r="C4238">
            <v>11.038427397260275</v>
          </cell>
        </row>
        <row r="4239">
          <cell r="B4239">
            <v>11.611000000000001</v>
          </cell>
          <cell r="C4239">
            <v>11.038969863013699</v>
          </cell>
        </row>
        <row r="4240">
          <cell r="B4240">
            <v>11.6137</v>
          </cell>
          <cell r="C4240">
            <v>11.039512328767124</v>
          </cell>
        </row>
        <row r="4241">
          <cell r="B4241">
            <v>11.616400000000001</v>
          </cell>
          <cell r="C4241">
            <v>11.040054794520548</v>
          </cell>
        </row>
        <row r="4242">
          <cell r="B4242">
            <v>11.619199999999999</v>
          </cell>
          <cell r="C4242">
            <v>11.040597260273973</v>
          </cell>
        </row>
        <row r="4243">
          <cell r="B4243">
            <v>11.6219</v>
          </cell>
          <cell r="C4243">
            <v>11.041139726027398</v>
          </cell>
        </row>
        <row r="4244">
          <cell r="B4244">
            <v>11.624700000000001</v>
          </cell>
          <cell r="C4244">
            <v>11.041682191780822</v>
          </cell>
        </row>
        <row r="4245">
          <cell r="B4245">
            <v>11.6274</v>
          </cell>
          <cell r="C4245">
            <v>11.042224657534247</v>
          </cell>
        </row>
        <row r="4246">
          <cell r="B4246">
            <v>11.630100000000001</v>
          </cell>
          <cell r="C4246">
            <v>11.042767123287671</v>
          </cell>
        </row>
        <row r="4247">
          <cell r="B4247">
            <v>11.632899999999999</v>
          </cell>
          <cell r="C4247">
            <v>11.043309589041097</v>
          </cell>
        </row>
        <row r="4248">
          <cell r="B4248">
            <v>11.6356</v>
          </cell>
          <cell r="C4248">
            <v>11.043852054794522</v>
          </cell>
        </row>
        <row r="4249">
          <cell r="B4249">
            <v>11.638400000000001</v>
          </cell>
          <cell r="C4249">
            <v>11.044394520547947</v>
          </cell>
        </row>
        <row r="4250">
          <cell r="B4250">
            <v>11.6411</v>
          </cell>
          <cell r="C4250">
            <v>11.044936986301371</v>
          </cell>
        </row>
        <row r="4251">
          <cell r="B4251">
            <v>11.643800000000001</v>
          </cell>
          <cell r="C4251">
            <v>11.045479452054796</v>
          </cell>
        </row>
        <row r="4252">
          <cell r="B4252">
            <v>11.646599999999999</v>
          </cell>
          <cell r="C4252">
            <v>11.04602191780822</v>
          </cell>
        </row>
        <row r="4253">
          <cell r="B4253">
            <v>11.6493</v>
          </cell>
          <cell r="C4253">
            <v>11.046564383561645</v>
          </cell>
        </row>
        <row r="4254">
          <cell r="B4254">
            <v>11.652100000000001</v>
          </cell>
          <cell r="C4254">
            <v>11.047106849315069</v>
          </cell>
        </row>
        <row r="4255">
          <cell r="B4255">
            <v>11.6548</v>
          </cell>
          <cell r="C4255">
            <v>11.047649315068494</v>
          </cell>
        </row>
        <row r="4256">
          <cell r="B4256">
            <v>11.657500000000001</v>
          </cell>
          <cell r="C4256">
            <v>11.048191780821918</v>
          </cell>
        </row>
        <row r="4257">
          <cell r="B4257">
            <v>11.660299999999999</v>
          </cell>
          <cell r="C4257">
            <v>11.048734246575343</v>
          </cell>
        </row>
        <row r="4258">
          <cell r="B4258">
            <v>11.663</v>
          </cell>
          <cell r="C4258">
            <v>11.049276712328767</v>
          </cell>
        </row>
        <row r="4259">
          <cell r="B4259">
            <v>11.665800000000001</v>
          </cell>
          <cell r="C4259">
            <v>11.049819178082192</v>
          </cell>
        </row>
        <row r="4260">
          <cell r="B4260">
            <v>11.6685</v>
          </cell>
          <cell r="C4260">
            <v>11.050361643835616</v>
          </cell>
        </row>
        <row r="4261">
          <cell r="B4261">
            <v>11.671200000000001</v>
          </cell>
          <cell r="C4261">
            <v>11.050904109589041</v>
          </cell>
        </row>
        <row r="4262">
          <cell r="B4262">
            <v>11.673999999999999</v>
          </cell>
          <cell r="C4262">
            <v>11.051446575342467</v>
          </cell>
        </row>
        <row r="4263">
          <cell r="B4263">
            <v>11.6767</v>
          </cell>
          <cell r="C4263">
            <v>11.051989041095892</v>
          </cell>
        </row>
        <row r="4264">
          <cell r="B4264">
            <v>11.679500000000001</v>
          </cell>
          <cell r="C4264">
            <v>11.052531506849316</v>
          </cell>
        </row>
        <row r="4265">
          <cell r="B4265">
            <v>11.6822</v>
          </cell>
          <cell r="C4265">
            <v>11.053073972602741</v>
          </cell>
        </row>
        <row r="4266">
          <cell r="B4266">
            <v>11.684900000000001</v>
          </cell>
          <cell r="C4266">
            <v>11.053616438356165</v>
          </cell>
        </row>
        <row r="4267">
          <cell r="B4267">
            <v>11.6877</v>
          </cell>
          <cell r="C4267">
            <v>11.05415890410959</v>
          </cell>
        </row>
        <row r="4268">
          <cell r="B4268">
            <v>11.6904</v>
          </cell>
          <cell r="C4268">
            <v>11.054701369863015</v>
          </cell>
        </row>
        <row r="4269">
          <cell r="B4269">
            <v>11.693199999999999</v>
          </cell>
          <cell r="C4269">
            <v>11.055243835616439</v>
          </cell>
        </row>
        <row r="4270">
          <cell r="B4270">
            <v>11.6959</v>
          </cell>
          <cell r="C4270">
            <v>11.055786301369864</v>
          </cell>
        </row>
        <row r="4271">
          <cell r="B4271">
            <v>11.698600000000001</v>
          </cell>
          <cell r="C4271">
            <v>11.056328767123288</v>
          </cell>
        </row>
        <row r="4272">
          <cell r="B4272">
            <v>11.7014</v>
          </cell>
          <cell r="C4272">
            <v>11.056871232876713</v>
          </cell>
        </row>
        <row r="4273">
          <cell r="B4273">
            <v>11.7041</v>
          </cell>
          <cell r="C4273">
            <v>11.057413698630137</v>
          </cell>
        </row>
        <row r="4274">
          <cell r="B4274">
            <v>11.706799999999999</v>
          </cell>
          <cell r="C4274">
            <v>11.057956164383562</v>
          </cell>
        </row>
        <row r="4275">
          <cell r="B4275">
            <v>11.7096</v>
          </cell>
          <cell r="C4275">
            <v>11.058498630136986</v>
          </cell>
        </row>
        <row r="4276">
          <cell r="B4276">
            <v>11.712300000000001</v>
          </cell>
          <cell r="C4276">
            <v>11.059041095890411</v>
          </cell>
        </row>
        <row r="4277">
          <cell r="B4277">
            <v>11.7151</v>
          </cell>
          <cell r="C4277">
            <v>11.059583561643837</v>
          </cell>
        </row>
        <row r="4278">
          <cell r="B4278">
            <v>11.7178</v>
          </cell>
          <cell r="C4278">
            <v>11.060126027397262</v>
          </cell>
        </row>
        <row r="4279">
          <cell r="B4279">
            <v>11.720499999999999</v>
          </cell>
          <cell r="C4279">
            <v>11.060668493150686</v>
          </cell>
        </row>
        <row r="4280">
          <cell r="B4280">
            <v>11.7233</v>
          </cell>
          <cell r="C4280">
            <v>11.061210958904111</v>
          </cell>
        </row>
        <row r="4281">
          <cell r="B4281">
            <v>11.726000000000001</v>
          </cell>
          <cell r="C4281">
            <v>11.061753424657535</v>
          </cell>
        </row>
        <row r="4282">
          <cell r="B4282">
            <v>11.7288</v>
          </cell>
          <cell r="C4282">
            <v>11.06229589041096</v>
          </cell>
        </row>
        <row r="4283">
          <cell r="B4283">
            <v>11.7315</v>
          </cell>
          <cell r="C4283">
            <v>11.062838356164384</v>
          </cell>
        </row>
        <row r="4284">
          <cell r="B4284">
            <v>11.7342</v>
          </cell>
          <cell r="C4284">
            <v>11.063380821917809</v>
          </cell>
        </row>
        <row r="4285">
          <cell r="B4285">
            <v>11.737</v>
          </cell>
          <cell r="C4285">
            <v>11.063923287671233</v>
          </cell>
        </row>
        <row r="4286">
          <cell r="B4286">
            <v>11.739699999999999</v>
          </cell>
          <cell r="C4286">
            <v>11.064465753424658</v>
          </cell>
        </row>
        <row r="4287">
          <cell r="B4287">
            <v>11.7425</v>
          </cell>
          <cell r="C4287">
            <v>11.065008219178083</v>
          </cell>
        </row>
        <row r="4288">
          <cell r="B4288">
            <v>11.745200000000001</v>
          </cell>
          <cell r="C4288">
            <v>11.065550684931507</v>
          </cell>
        </row>
        <row r="4289">
          <cell r="B4289">
            <v>11.7479</v>
          </cell>
          <cell r="C4289">
            <v>11.066093150684932</v>
          </cell>
        </row>
        <row r="4290">
          <cell r="B4290">
            <v>11.7507</v>
          </cell>
          <cell r="C4290">
            <v>11.066635616438356</v>
          </cell>
        </row>
        <row r="4291">
          <cell r="B4291">
            <v>11.753399999999999</v>
          </cell>
          <cell r="C4291">
            <v>11.067178082191781</v>
          </cell>
        </row>
        <row r="4292">
          <cell r="B4292">
            <v>11.7562</v>
          </cell>
          <cell r="C4292">
            <v>11.067720547945207</v>
          </cell>
        </row>
        <row r="4293">
          <cell r="B4293">
            <v>11.758900000000001</v>
          </cell>
          <cell r="C4293">
            <v>11.068263013698632</v>
          </cell>
        </row>
        <row r="4294">
          <cell r="B4294">
            <v>11.7616</v>
          </cell>
          <cell r="C4294">
            <v>11.068805479452056</v>
          </cell>
        </row>
        <row r="4295">
          <cell r="B4295">
            <v>11.7644</v>
          </cell>
          <cell r="C4295">
            <v>11.069347945205481</v>
          </cell>
        </row>
        <row r="4296">
          <cell r="B4296">
            <v>11.767099999999999</v>
          </cell>
          <cell r="C4296">
            <v>11.069890410958905</v>
          </cell>
        </row>
        <row r="4297">
          <cell r="B4297">
            <v>11.7699</v>
          </cell>
          <cell r="C4297">
            <v>11.07043287671233</v>
          </cell>
        </row>
        <row r="4298">
          <cell r="B4298">
            <v>11.772600000000001</v>
          </cell>
          <cell r="C4298">
            <v>11.070975342465754</v>
          </cell>
        </row>
        <row r="4299">
          <cell r="B4299">
            <v>11.7753</v>
          </cell>
          <cell r="C4299">
            <v>11.071517808219179</v>
          </cell>
        </row>
        <row r="4300">
          <cell r="B4300">
            <v>11.7781</v>
          </cell>
          <cell r="C4300">
            <v>11.072060273972603</v>
          </cell>
        </row>
        <row r="4301">
          <cell r="B4301">
            <v>11.780799999999999</v>
          </cell>
          <cell r="C4301">
            <v>11.072602739726028</v>
          </cell>
        </row>
        <row r="4302">
          <cell r="B4302">
            <v>11.7836</v>
          </cell>
          <cell r="C4302">
            <v>11.073145205479452</v>
          </cell>
        </row>
        <row r="4303">
          <cell r="B4303">
            <v>11.786300000000001</v>
          </cell>
          <cell r="C4303">
            <v>11.073687671232877</v>
          </cell>
        </row>
        <row r="4304">
          <cell r="B4304">
            <v>11.789</v>
          </cell>
          <cell r="C4304">
            <v>11.074230136986301</v>
          </cell>
        </row>
        <row r="4305">
          <cell r="B4305">
            <v>11.7918</v>
          </cell>
          <cell r="C4305">
            <v>11.074772602739726</v>
          </cell>
        </row>
        <row r="4306">
          <cell r="B4306">
            <v>11.794499999999999</v>
          </cell>
          <cell r="C4306">
            <v>11.075315068493151</v>
          </cell>
        </row>
        <row r="4307">
          <cell r="B4307">
            <v>11.7973</v>
          </cell>
          <cell r="C4307">
            <v>11.075857534246577</v>
          </cell>
        </row>
        <row r="4308">
          <cell r="B4308">
            <v>11.8</v>
          </cell>
          <cell r="C4308">
            <v>11.076400000000001</v>
          </cell>
        </row>
        <row r="4309">
          <cell r="B4309">
            <v>11.8027</v>
          </cell>
          <cell r="C4309">
            <v>11.076942465753426</v>
          </cell>
        </row>
        <row r="4310">
          <cell r="B4310">
            <v>11.8055</v>
          </cell>
          <cell r="C4310">
            <v>11.07748493150685</v>
          </cell>
        </row>
        <row r="4311">
          <cell r="B4311">
            <v>11.808199999999999</v>
          </cell>
          <cell r="C4311">
            <v>11.078027397260275</v>
          </cell>
        </row>
        <row r="4312">
          <cell r="B4312">
            <v>11.811</v>
          </cell>
          <cell r="C4312">
            <v>11.0785698630137</v>
          </cell>
        </row>
        <row r="4313">
          <cell r="B4313">
            <v>11.813700000000001</v>
          </cell>
          <cell r="C4313">
            <v>11.079112328767124</v>
          </cell>
        </row>
        <row r="4314">
          <cell r="B4314">
            <v>11.8164</v>
          </cell>
          <cell r="C4314">
            <v>11.079654794520549</v>
          </cell>
        </row>
        <row r="4315">
          <cell r="B4315">
            <v>11.8192</v>
          </cell>
          <cell r="C4315">
            <v>11.080197260273973</v>
          </cell>
        </row>
        <row r="4316">
          <cell r="B4316">
            <v>11.821899999999999</v>
          </cell>
          <cell r="C4316">
            <v>11.080739726027398</v>
          </cell>
        </row>
        <row r="4317">
          <cell r="B4317">
            <v>11.8247</v>
          </cell>
          <cell r="C4317">
            <v>11.081282191780822</v>
          </cell>
        </row>
        <row r="4318">
          <cell r="B4318">
            <v>11.827400000000001</v>
          </cell>
          <cell r="C4318">
            <v>11.081824657534247</v>
          </cell>
        </row>
        <row r="4319">
          <cell r="B4319">
            <v>11.8301</v>
          </cell>
          <cell r="C4319">
            <v>11.082367123287671</v>
          </cell>
        </row>
        <row r="4320">
          <cell r="B4320">
            <v>11.8329</v>
          </cell>
          <cell r="C4320">
            <v>11.082909589041096</v>
          </cell>
        </row>
        <row r="4321">
          <cell r="B4321">
            <v>11.835599999999999</v>
          </cell>
          <cell r="C4321">
            <v>11.08345205479452</v>
          </cell>
        </row>
        <row r="4322">
          <cell r="B4322">
            <v>11.8384</v>
          </cell>
          <cell r="C4322">
            <v>11.083994520547947</v>
          </cell>
        </row>
        <row r="4323">
          <cell r="B4323">
            <v>11.841100000000001</v>
          </cell>
          <cell r="C4323">
            <v>11.084536986301371</v>
          </cell>
        </row>
        <row r="4324">
          <cell r="B4324">
            <v>11.8438</v>
          </cell>
          <cell r="C4324">
            <v>11.085079452054796</v>
          </cell>
        </row>
        <row r="4325">
          <cell r="B4325">
            <v>11.8466</v>
          </cell>
          <cell r="C4325">
            <v>11.08562191780822</v>
          </cell>
        </row>
        <row r="4326">
          <cell r="B4326">
            <v>11.849299999999999</v>
          </cell>
          <cell r="C4326">
            <v>11.086164383561645</v>
          </cell>
        </row>
        <row r="4327">
          <cell r="B4327">
            <v>11.8521</v>
          </cell>
          <cell r="C4327">
            <v>11.086706849315069</v>
          </cell>
        </row>
        <row r="4328">
          <cell r="B4328">
            <v>11.854799999999999</v>
          </cell>
          <cell r="C4328">
            <v>11.087249315068494</v>
          </cell>
        </row>
        <row r="4329">
          <cell r="B4329">
            <v>11.8575</v>
          </cell>
          <cell r="C4329">
            <v>11.087791780821918</v>
          </cell>
        </row>
        <row r="4330">
          <cell r="B4330">
            <v>11.860300000000001</v>
          </cell>
          <cell r="C4330">
            <v>11.088334246575343</v>
          </cell>
        </row>
        <row r="4331">
          <cell r="B4331">
            <v>11.863</v>
          </cell>
          <cell r="C4331">
            <v>11.088876712328767</v>
          </cell>
        </row>
        <row r="4332">
          <cell r="B4332">
            <v>11.8658</v>
          </cell>
          <cell r="C4332">
            <v>11.089419178082192</v>
          </cell>
        </row>
        <row r="4333">
          <cell r="B4333">
            <v>11.868499999999999</v>
          </cell>
          <cell r="C4333">
            <v>11.089961643835617</v>
          </cell>
        </row>
        <row r="4334">
          <cell r="B4334">
            <v>11.8712</v>
          </cell>
          <cell r="C4334">
            <v>11.090504109589041</v>
          </cell>
        </row>
        <row r="4335">
          <cell r="B4335">
            <v>11.874000000000001</v>
          </cell>
          <cell r="C4335">
            <v>11.091046575342466</v>
          </cell>
        </row>
        <row r="4336">
          <cell r="B4336">
            <v>11.8767</v>
          </cell>
          <cell r="C4336">
            <v>11.091589041095892</v>
          </cell>
        </row>
        <row r="4337">
          <cell r="B4337">
            <v>11.8795</v>
          </cell>
          <cell r="C4337">
            <v>11.092131506849316</v>
          </cell>
        </row>
        <row r="4338">
          <cell r="B4338">
            <v>11.882199999999999</v>
          </cell>
          <cell r="C4338">
            <v>11.092673972602741</v>
          </cell>
        </row>
        <row r="4339">
          <cell r="B4339">
            <v>11.8849</v>
          </cell>
          <cell r="C4339">
            <v>11.093216438356166</v>
          </cell>
        </row>
        <row r="4340">
          <cell r="B4340">
            <v>11.887700000000001</v>
          </cell>
          <cell r="C4340">
            <v>11.09375890410959</v>
          </cell>
        </row>
        <row r="4341">
          <cell r="B4341">
            <v>11.8904</v>
          </cell>
          <cell r="C4341">
            <v>11.094301369863015</v>
          </cell>
        </row>
        <row r="4342">
          <cell r="B4342">
            <v>11.8932</v>
          </cell>
          <cell r="C4342">
            <v>11.094843835616439</v>
          </cell>
        </row>
        <row r="4343">
          <cell r="B4343">
            <v>11.895899999999999</v>
          </cell>
          <cell r="C4343">
            <v>11.095386301369864</v>
          </cell>
        </row>
        <row r="4344">
          <cell r="B4344">
            <v>11.8986</v>
          </cell>
          <cell r="C4344">
            <v>11.095928767123288</v>
          </cell>
        </row>
        <row r="4345">
          <cell r="B4345">
            <v>11.901400000000001</v>
          </cell>
          <cell r="C4345">
            <v>11.096471232876713</v>
          </cell>
        </row>
        <row r="4346">
          <cell r="B4346">
            <v>11.9041</v>
          </cell>
          <cell r="C4346">
            <v>11.097013698630137</v>
          </cell>
        </row>
        <row r="4347">
          <cell r="B4347">
            <v>11.9068</v>
          </cell>
          <cell r="C4347">
            <v>11.097556164383562</v>
          </cell>
        </row>
        <row r="4348">
          <cell r="B4348">
            <v>11.909599999999999</v>
          </cell>
          <cell r="C4348">
            <v>11.098098630136986</v>
          </cell>
        </row>
        <row r="4349">
          <cell r="B4349">
            <v>11.9123</v>
          </cell>
          <cell r="C4349">
            <v>11.098641095890411</v>
          </cell>
        </row>
        <row r="4350">
          <cell r="B4350">
            <v>11.915100000000001</v>
          </cell>
          <cell r="C4350">
            <v>11.099183561643837</v>
          </cell>
        </row>
        <row r="4351">
          <cell r="B4351">
            <v>11.9178</v>
          </cell>
          <cell r="C4351">
            <v>11.099726027397262</v>
          </cell>
        </row>
        <row r="4352">
          <cell r="B4352">
            <v>11.920500000000001</v>
          </cell>
          <cell r="C4352">
            <v>11.100268493150686</v>
          </cell>
        </row>
        <row r="4353">
          <cell r="B4353">
            <v>11.923299999999999</v>
          </cell>
          <cell r="C4353">
            <v>11.100810958904111</v>
          </cell>
        </row>
        <row r="4354">
          <cell r="B4354">
            <v>11.926</v>
          </cell>
          <cell r="C4354">
            <v>11.101353424657535</v>
          </cell>
        </row>
        <row r="4355">
          <cell r="B4355">
            <v>11.928800000000001</v>
          </cell>
          <cell r="C4355">
            <v>11.10189589041096</v>
          </cell>
        </row>
        <row r="4356">
          <cell r="B4356">
            <v>11.9315</v>
          </cell>
          <cell r="C4356">
            <v>11.102438356164384</v>
          </cell>
        </row>
        <row r="4357">
          <cell r="B4357">
            <v>11.934200000000001</v>
          </cell>
          <cell r="C4357">
            <v>11.102980821917809</v>
          </cell>
        </row>
        <row r="4358">
          <cell r="B4358">
            <v>11.936999999999999</v>
          </cell>
          <cell r="C4358">
            <v>11.103523287671234</v>
          </cell>
        </row>
        <row r="4359">
          <cell r="B4359">
            <v>11.9397</v>
          </cell>
          <cell r="C4359">
            <v>11.104065753424658</v>
          </cell>
        </row>
        <row r="4360">
          <cell r="B4360">
            <v>11.942500000000001</v>
          </cell>
          <cell r="C4360">
            <v>11.104608219178083</v>
          </cell>
        </row>
        <row r="4361">
          <cell r="B4361">
            <v>11.9452</v>
          </cell>
          <cell r="C4361">
            <v>11.105150684931507</v>
          </cell>
        </row>
        <row r="4362">
          <cell r="B4362">
            <v>11.947900000000001</v>
          </cell>
          <cell r="C4362">
            <v>11.105693150684932</v>
          </cell>
        </row>
        <row r="4363">
          <cell r="B4363">
            <v>11.950699999999999</v>
          </cell>
          <cell r="C4363">
            <v>11.106235616438356</v>
          </cell>
        </row>
        <row r="4364">
          <cell r="B4364">
            <v>11.9534</v>
          </cell>
          <cell r="C4364">
            <v>11.106778082191781</v>
          </cell>
        </row>
        <row r="4365">
          <cell r="B4365">
            <v>11.956200000000001</v>
          </cell>
          <cell r="C4365">
            <v>11.107320547945207</v>
          </cell>
        </row>
        <row r="4366">
          <cell r="B4366">
            <v>11.9589</v>
          </cell>
          <cell r="C4366">
            <v>11.107863013698632</v>
          </cell>
        </row>
        <row r="4367">
          <cell r="B4367">
            <v>11.961600000000001</v>
          </cell>
          <cell r="C4367">
            <v>11.108405479452056</v>
          </cell>
        </row>
        <row r="4368">
          <cell r="B4368">
            <v>11.964399999999999</v>
          </cell>
          <cell r="C4368">
            <v>11.108947945205481</v>
          </cell>
        </row>
        <row r="4369">
          <cell r="B4369">
            <v>11.9671</v>
          </cell>
          <cell r="C4369">
            <v>11.109490410958905</v>
          </cell>
        </row>
        <row r="4370">
          <cell r="B4370">
            <v>11.969900000000001</v>
          </cell>
          <cell r="C4370">
            <v>11.11003287671233</v>
          </cell>
        </row>
        <row r="4371">
          <cell r="B4371">
            <v>11.9726</v>
          </cell>
          <cell r="C4371">
            <v>11.110575342465754</v>
          </cell>
        </row>
        <row r="4372">
          <cell r="B4372">
            <v>11.975300000000001</v>
          </cell>
          <cell r="C4372">
            <v>11.111117808219179</v>
          </cell>
        </row>
        <row r="4373">
          <cell r="B4373">
            <v>11.9781</v>
          </cell>
          <cell r="C4373">
            <v>11.111660273972603</v>
          </cell>
        </row>
        <row r="4374">
          <cell r="B4374">
            <v>11.9808</v>
          </cell>
          <cell r="C4374">
            <v>11.112202739726028</v>
          </cell>
        </row>
        <row r="4375">
          <cell r="B4375">
            <v>11.983599999999999</v>
          </cell>
          <cell r="C4375">
            <v>11.112745205479452</v>
          </cell>
        </row>
        <row r="4376">
          <cell r="B4376">
            <v>11.9863</v>
          </cell>
          <cell r="C4376">
            <v>11.113287671232877</v>
          </cell>
        </row>
        <row r="4377">
          <cell r="B4377">
            <v>11.989000000000001</v>
          </cell>
          <cell r="C4377">
            <v>11.113830136986302</v>
          </cell>
        </row>
        <row r="4378">
          <cell r="B4378">
            <v>11.9918</v>
          </cell>
          <cell r="C4378">
            <v>11.114372602739726</v>
          </cell>
        </row>
        <row r="4379">
          <cell r="B4379">
            <v>11.9945</v>
          </cell>
          <cell r="C4379">
            <v>11.114915068493151</v>
          </cell>
        </row>
        <row r="4380">
          <cell r="B4380">
            <v>11.997299999999999</v>
          </cell>
          <cell r="C4380">
            <v>11.115457534246577</v>
          </cell>
        </row>
        <row r="4381">
          <cell r="B4381">
            <v>12</v>
          </cell>
          <cell r="C4381">
            <v>11.116000000000001</v>
          </cell>
        </row>
        <row r="4382">
          <cell r="B4382">
            <v>12.002700000000001</v>
          </cell>
          <cell r="C4382">
            <v>11.116542465753426</v>
          </cell>
        </row>
        <row r="4383">
          <cell r="B4383">
            <v>12.0055</v>
          </cell>
          <cell r="C4383">
            <v>11.117084931506851</v>
          </cell>
        </row>
        <row r="4384">
          <cell r="B4384">
            <v>12.0082</v>
          </cell>
          <cell r="C4384">
            <v>11.117627397260275</v>
          </cell>
        </row>
        <row r="4385">
          <cell r="B4385">
            <v>12.010999999999999</v>
          </cell>
          <cell r="C4385">
            <v>11.1181698630137</v>
          </cell>
        </row>
        <row r="4386">
          <cell r="B4386">
            <v>12.0137</v>
          </cell>
          <cell r="C4386">
            <v>11.118712328767124</v>
          </cell>
        </row>
        <row r="4387">
          <cell r="B4387">
            <v>12.016400000000001</v>
          </cell>
          <cell r="C4387">
            <v>11.119254794520549</v>
          </cell>
        </row>
        <row r="4388">
          <cell r="B4388">
            <v>12.0192</v>
          </cell>
          <cell r="C4388">
            <v>11.119797260273973</v>
          </cell>
        </row>
        <row r="4389">
          <cell r="B4389">
            <v>12.0219</v>
          </cell>
          <cell r="C4389">
            <v>11.120339726027398</v>
          </cell>
        </row>
        <row r="4390">
          <cell r="B4390">
            <v>12.024699999999999</v>
          </cell>
          <cell r="C4390">
            <v>11.120882191780822</v>
          </cell>
        </row>
        <row r="4391">
          <cell r="B4391">
            <v>12.0274</v>
          </cell>
          <cell r="C4391">
            <v>11.121424657534247</v>
          </cell>
        </row>
        <row r="4392">
          <cell r="B4392">
            <v>12.030099999999999</v>
          </cell>
          <cell r="C4392">
            <v>11.121967123287671</v>
          </cell>
        </row>
        <row r="4393">
          <cell r="B4393">
            <v>12.0329</v>
          </cell>
          <cell r="C4393">
            <v>11.122509589041096</v>
          </cell>
        </row>
        <row r="4394">
          <cell r="B4394">
            <v>12.035600000000001</v>
          </cell>
          <cell r="C4394">
            <v>11.12305205479452</v>
          </cell>
        </row>
        <row r="4395">
          <cell r="B4395">
            <v>12.038399999999999</v>
          </cell>
          <cell r="C4395">
            <v>11.123594520547947</v>
          </cell>
        </row>
        <row r="4396">
          <cell r="B4396">
            <v>12.0411</v>
          </cell>
          <cell r="C4396">
            <v>11.124136986301371</v>
          </cell>
        </row>
        <row r="4397">
          <cell r="B4397">
            <v>12.043799999999999</v>
          </cell>
          <cell r="C4397">
            <v>11.124679452054796</v>
          </cell>
        </row>
        <row r="4398">
          <cell r="B4398">
            <v>12.0466</v>
          </cell>
          <cell r="C4398">
            <v>11.12522191780822</v>
          </cell>
        </row>
        <row r="4399">
          <cell r="B4399">
            <v>12.049300000000001</v>
          </cell>
          <cell r="C4399">
            <v>11.125764383561645</v>
          </cell>
        </row>
        <row r="4400">
          <cell r="B4400">
            <v>12.052099999999999</v>
          </cell>
          <cell r="C4400">
            <v>11.126306849315069</v>
          </cell>
        </row>
        <row r="4401">
          <cell r="B4401">
            <v>12.0548</v>
          </cell>
          <cell r="C4401">
            <v>11.126849315068494</v>
          </cell>
        </row>
        <row r="4402">
          <cell r="B4402">
            <v>12.057499999999999</v>
          </cell>
          <cell r="C4402">
            <v>11.127391780821918</v>
          </cell>
        </row>
        <row r="4403">
          <cell r="B4403">
            <v>12.0603</v>
          </cell>
          <cell r="C4403">
            <v>11.127934246575343</v>
          </cell>
        </row>
        <row r="4404">
          <cell r="B4404">
            <v>12.063000000000001</v>
          </cell>
          <cell r="C4404">
            <v>11.128476712328768</v>
          </cell>
        </row>
        <row r="4405">
          <cell r="B4405">
            <v>12.065799999999999</v>
          </cell>
          <cell r="C4405">
            <v>11.129019178082192</v>
          </cell>
        </row>
        <row r="4406">
          <cell r="B4406">
            <v>12.0685</v>
          </cell>
          <cell r="C4406">
            <v>11.129561643835617</v>
          </cell>
        </row>
        <row r="4407">
          <cell r="B4407">
            <v>12.071199999999999</v>
          </cell>
          <cell r="C4407">
            <v>11.130104109589041</v>
          </cell>
        </row>
        <row r="4408">
          <cell r="B4408">
            <v>12.074</v>
          </cell>
          <cell r="C4408">
            <v>11.130646575342466</v>
          </cell>
        </row>
        <row r="4409">
          <cell r="B4409">
            <v>12.076700000000001</v>
          </cell>
          <cell r="C4409">
            <v>11.13118904109589</v>
          </cell>
        </row>
        <row r="4410">
          <cell r="B4410">
            <v>12.079499999999999</v>
          </cell>
          <cell r="C4410">
            <v>11.131731506849317</v>
          </cell>
        </row>
        <row r="4411">
          <cell r="B4411">
            <v>12.0822</v>
          </cell>
          <cell r="C4411">
            <v>11.132273972602741</v>
          </cell>
        </row>
        <row r="4412">
          <cell r="B4412">
            <v>12.084899999999999</v>
          </cell>
          <cell r="C4412">
            <v>11.132816438356166</v>
          </cell>
        </row>
        <row r="4413">
          <cell r="B4413">
            <v>12.0877</v>
          </cell>
          <cell r="C4413">
            <v>11.13335890410959</v>
          </cell>
        </row>
        <row r="4414">
          <cell r="B4414">
            <v>12.090400000000001</v>
          </cell>
          <cell r="C4414">
            <v>11.133901369863015</v>
          </cell>
        </row>
        <row r="4415">
          <cell r="B4415">
            <v>12.0932</v>
          </cell>
          <cell r="C4415">
            <v>11.134443835616439</v>
          </cell>
        </row>
        <row r="4416">
          <cell r="B4416">
            <v>12.0959</v>
          </cell>
          <cell r="C4416">
            <v>11.134986301369864</v>
          </cell>
        </row>
        <row r="4417">
          <cell r="B4417">
            <v>12.098599999999999</v>
          </cell>
          <cell r="C4417">
            <v>11.135528767123288</v>
          </cell>
        </row>
        <row r="4418">
          <cell r="B4418">
            <v>12.1014</v>
          </cell>
          <cell r="C4418">
            <v>11.136071232876713</v>
          </cell>
        </row>
        <row r="4419">
          <cell r="B4419">
            <v>12.104100000000001</v>
          </cell>
          <cell r="C4419">
            <v>11.136613698630137</v>
          </cell>
        </row>
        <row r="4420">
          <cell r="B4420">
            <v>12.1068</v>
          </cell>
          <cell r="C4420">
            <v>11.137156164383562</v>
          </cell>
        </row>
        <row r="4421">
          <cell r="B4421">
            <v>12.1096</v>
          </cell>
          <cell r="C4421">
            <v>11.137698630136986</v>
          </cell>
        </row>
        <row r="4422">
          <cell r="B4422">
            <v>12.112299999999999</v>
          </cell>
          <cell r="C4422">
            <v>11.138241095890411</v>
          </cell>
        </row>
        <row r="4423">
          <cell r="B4423">
            <v>12.1151</v>
          </cell>
          <cell r="C4423">
            <v>11.138783561643836</v>
          </cell>
        </row>
        <row r="4424">
          <cell r="B4424">
            <v>12.117800000000001</v>
          </cell>
          <cell r="C4424">
            <v>11.13932602739726</v>
          </cell>
        </row>
        <row r="4425">
          <cell r="B4425">
            <v>12.1205</v>
          </cell>
          <cell r="C4425">
            <v>11.139868493150686</v>
          </cell>
        </row>
        <row r="4426">
          <cell r="B4426">
            <v>12.1233</v>
          </cell>
          <cell r="C4426">
            <v>11.140410958904111</v>
          </cell>
        </row>
        <row r="4427">
          <cell r="B4427">
            <v>12.125999999999999</v>
          </cell>
          <cell r="C4427">
            <v>11.140953424657535</v>
          </cell>
        </row>
        <row r="4428">
          <cell r="B4428">
            <v>12.1288</v>
          </cell>
          <cell r="C4428">
            <v>11.14149589041096</v>
          </cell>
        </row>
        <row r="4429">
          <cell r="B4429">
            <v>12.131500000000001</v>
          </cell>
          <cell r="C4429">
            <v>11.142038356164385</v>
          </cell>
        </row>
        <row r="4430">
          <cell r="B4430">
            <v>12.1342</v>
          </cell>
          <cell r="C4430">
            <v>11.142580821917809</v>
          </cell>
        </row>
        <row r="4431">
          <cell r="B4431">
            <v>12.137</v>
          </cell>
          <cell r="C4431">
            <v>11.143123287671234</v>
          </cell>
        </row>
        <row r="4432">
          <cell r="B4432">
            <v>12.139699999999999</v>
          </cell>
          <cell r="C4432">
            <v>11.143665753424658</v>
          </cell>
        </row>
        <row r="4433">
          <cell r="B4433">
            <v>12.1425</v>
          </cell>
          <cell r="C4433">
            <v>11.144208219178083</v>
          </cell>
        </row>
        <row r="4434">
          <cell r="B4434">
            <v>12.145200000000001</v>
          </cell>
          <cell r="C4434">
            <v>11.144750684931507</v>
          </cell>
        </row>
        <row r="4435">
          <cell r="B4435">
            <v>12.1479</v>
          </cell>
          <cell r="C4435">
            <v>11.145293150684932</v>
          </cell>
        </row>
        <row r="4436">
          <cell r="B4436">
            <v>12.150700000000001</v>
          </cell>
          <cell r="C4436">
            <v>11.145835616438356</v>
          </cell>
        </row>
        <row r="4437">
          <cell r="B4437">
            <v>12.1534</v>
          </cell>
          <cell r="C4437">
            <v>11.146378082191781</v>
          </cell>
        </row>
        <row r="4438">
          <cell r="B4438">
            <v>12.1562</v>
          </cell>
          <cell r="C4438">
            <v>11.146920547945205</v>
          </cell>
        </row>
        <row r="4439">
          <cell r="B4439">
            <v>12.158899999999999</v>
          </cell>
          <cell r="C4439">
            <v>11.147463013698632</v>
          </cell>
        </row>
        <row r="4440">
          <cell r="B4440">
            <v>12.1616</v>
          </cell>
          <cell r="C4440">
            <v>11.148005479452056</v>
          </cell>
        </row>
        <row r="4441">
          <cell r="B4441">
            <v>12.164400000000001</v>
          </cell>
          <cell r="C4441">
            <v>11.148547945205481</v>
          </cell>
        </row>
        <row r="4442">
          <cell r="B4442">
            <v>12.1671</v>
          </cell>
          <cell r="C4442">
            <v>11.149090410958905</v>
          </cell>
        </row>
        <row r="4443">
          <cell r="B4443">
            <v>12.1699</v>
          </cell>
          <cell r="C4443">
            <v>11.14963287671233</v>
          </cell>
        </row>
        <row r="4444">
          <cell r="B4444">
            <v>12.172599999999999</v>
          </cell>
          <cell r="C4444">
            <v>11.150175342465754</v>
          </cell>
        </row>
        <row r="4445">
          <cell r="B4445">
            <v>12.1753</v>
          </cell>
          <cell r="C4445">
            <v>11.150717808219179</v>
          </cell>
        </row>
        <row r="4446">
          <cell r="B4446">
            <v>12.178100000000001</v>
          </cell>
          <cell r="C4446">
            <v>11.151260273972603</v>
          </cell>
        </row>
        <row r="4447">
          <cell r="B4447">
            <v>12.1808</v>
          </cell>
          <cell r="C4447">
            <v>11.151802739726028</v>
          </cell>
        </row>
        <row r="4448">
          <cell r="B4448">
            <v>12.1836</v>
          </cell>
          <cell r="C4448">
            <v>11.152345205479453</v>
          </cell>
        </row>
        <row r="4449">
          <cell r="B4449">
            <v>12.186299999999999</v>
          </cell>
          <cell r="C4449">
            <v>11.152887671232877</v>
          </cell>
        </row>
        <row r="4450">
          <cell r="B4450">
            <v>12.189</v>
          </cell>
          <cell r="C4450">
            <v>11.153430136986302</v>
          </cell>
        </row>
        <row r="4451">
          <cell r="B4451">
            <v>12.191800000000001</v>
          </cell>
          <cell r="C4451">
            <v>11.153972602739726</v>
          </cell>
        </row>
        <row r="4452">
          <cell r="B4452">
            <v>12.1945</v>
          </cell>
          <cell r="C4452">
            <v>11.154515068493151</v>
          </cell>
        </row>
        <row r="4453">
          <cell r="B4453">
            <v>12.1973</v>
          </cell>
          <cell r="C4453">
            <v>11.155057534246575</v>
          </cell>
        </row>
        <row r="4454">
          <cell r="B4454">
            <v>12.2</v>
          </cell>
          <cell r="C4454">
            <v>11.155600000000002</v>
          </cell>
        </row>
        <row r="4455">
          <cell r="B4455">
            <v>12.2027</v>
          </cell>
          <cell r="C4455">
            <v>11.156142465753426</v>
          </cell>
        </row>
        <row r="4456">
          <cell r="B4456">
            <v>12.205500000000001</v>
          </cell>
          <cell r="C4456">
            <v>11.156684931506851</v>
          </cell>
        </row>
        <row r="4457">
          <cell r="B4457">
            <v>12.2082</v>
          </cell>
          <cell r="C4457">
            <v>11.157227397260275</v>
          </cell>
        </row>
        <row r="4458">
          <cell r="B4458">
            <v>12.211</v>
          </cell>
          <cell r="C4458">
            <v>11.1577698630137</v>
          </cell>
        </row>
        <row r="4459">
          <cell r="B4459">
            <v>12.213699999999999</v>
          </cell>
          <cell r="C4459">
            <v>11.158312328767124</v>
          </cell>
        </row>
        <row r="4460">
          <cell r="B4460">
            <v>12.2164</v>
          </cell>
          <cell r="C4460">
            <v>11.158854794520549</v>
          </cell>
        </row>
        <row r="4461">
          <cell r="B4461">
            <v>12.219200000000001</v>
          </cell>
          <cell r="C4461">
            <v>11.159397260273973</v>
          </cell>
        </row>
        <row r="4462">
          <cell r="B4462">
            <v>12.2219</v>
          </cell>
          <cell r="C4462">
            <v>11.159939726027398</v>
          </cell>
        </row>
        <row r="4463">
          <cell r="B4463">
            <v>12.2247</v>
          </cell>
          <cell r="C4463">
            <v>11.160482191780822</v>
          </cell>
        </row>
        <row r="4464">
          <cell r="B4464">
            <v>12.227399999999999</v>
          </cell>
          <cell r="C4464">
            <v>11.161024657534247</v>
          </cell>
        </row>
        <row r="4465">
          <cell r="B4465">
            <v>12.2301</v>
          </cell>
          <cell r="C4465">
            <v>11.161567123287671</v>
          </cell>
        </row>
        <row r="4466">
          <cell r="B4466">
            <v>12.232900000000001</v>
          </cell>
          <cell r="C4466">
            <v>11.162109589041096</v>
          </cell>
        </row>
        <row r="4467">
          <cell r="B4467">
            <v>12.2356</v>
          </cell>
          <cell r="C4467">
            <v>11.16265205479452</v>
          </cell>
        </row>
        <row r="4468">
          <cell r="B4468">
            <v>12.2384</v>
          </cell>
          <cell r="C4468">
            <v>11.163194520547947</v>
          </cell>
        </row>
        <row r="4469">
          <cell r="B4469">
            <v>12.241099999999999</v>
          </cell>
          <cell r="C4469">
            <v>11.163736986301371</v>
          </cell>
        </row>
        <row r="4470">
          <cell r="B4470">
            <v>12.2438</v>
          </cell>
          <cell r="C4470">
            <v>11.164279452054796</v>
          </cell>
        </row>
        <row r="4471">
          <cell r="B4471">
            <v>12.246600000000001</v>
          </cell>
          <cell r="C4471">
            <v>11.16482191780822</v>
          </cell>
        </row>
        <row r="4472">
          <cell r="B4472">
            <v>12.2493</v>
          </cell>
          <cell r="C4472">
            <v>11.165364383561645</v>
          </cell>
        </row>
        <row r="4473">
          <cell r="B4473">
            <v>12.2521</v>
          </cell>
          <cell r="C4473">
            <v>11.165906849315069</v>
          </cell>
        </row>
        <row r="4474">
          <cell r="B4474">
            <v>12.254799999999999</v>
          </cell>
          <cell r="C4474">
            <v>11.166449315068494</v>
          </cell>
        </row>
        <row r="4475">
          <cell r="B4475">
            <v>12.2575</v>
          </cell>
          <cell r="C4475">
            <v>11.166991780821919</v>
          </cell>
        </row>
        <row r="4476">
          <cell r="B4476">
            <v>12.260300000000001</v>
          </cell>
          <cell r="C4476">
            <v>11.167534246575343</v>
          </cell>
        </row>
        <row r="4477">
          <cell r="B4477">
            <v>12.263</v>
          </cell>
          <cell r="C4477">
            <v>11.168076712328768</v>
          </cell>
        </row>
        <row r="4478">
          <cell r="B4478">
            <v>12.2658</v>
          </cell>
          <cell r="C4478">
            <v>11.168619178082192</v>
          </cell>
        </row>
        <row r="4479">
          <cell r="B4479">
            <v>12.2685</v>
          </cell>
          <cell r="C4479">
            <v>11.169161643835617</v>
          </cell>
        </row>
        <row r="4480">
          <cell r="B4480">
            <v>12.2712</v>
          </cell>
          <cell r="C4480">
            <v>11.169704109589041</v>
          </cell>
        </row>
        <row r="4481">
          <cell r="B4481">
            <v>12.273999999999999</v>
          </cell>
          <cell r="C4481">
            <v>11.170246575342466</v>
          </cell>
        </row>
        <row r="4482">
          <cell r="B4482">
            <v>12.2767</v>
          </cell>
          <cell r="C4482">
            <v>11.17078904109589</v>
          </cell>
        </row>
        <row r="4483">
          <cell r="B4483">
            <v>12.279500000000001</v>
          </cell>
          <cell r="C4483">
            <v>11.171331506849317</v>
          </cell>
        </row>
        <row r="4484">
          <cell r="B4484">
            <v>12.2822</v>
          </cell>
          <cell r="C4484">
            <v>11.171873972602741</v>
          </cell>
        </row>
        <row r="4485">
          <cell r="B4485">
            <v>12.2849</v>
          </cell>
          <cell r="C4485">
            <v>11.172416438356166</v>
          </cell>
        </row>
        <row r="4486">
          <cell r="B4486">
            <v>12.287699999999999</v>
          </cell>
          <cell r="C4486">
            <v>11.17295890410959</v>
          </cell>
        </row>
        <row r="4487">
          <cell r="B4487">
            <v>12.2904</v>
          </cell>
          <cell r="C4487">
            <v>11.173501369863015</v>
          </cell>
        </row>
        <row r="4488">
          <cell r="B4488">
            <v>12.293200000000001</v>
          </cell>
          <cell r="C4488">
            <v>11.174043835616439</v>
          </cell>
        </row>
        <row r="4489">
          <cell r="B4489">
            <v>12.2959</v>
          </cell>
          <cell r="C4489">
            <v>11.174586301369864</v>
          </cell>
        </row>
        <row r="4490">
          <cell r="B4490">
            <v>12.2986</v>
          </cell>
          <cell r="C4490">
            <v>11.175128767123288</v>
          </cell>
        </row>
        <row r="4491">
          <cell r="B4491">
            <v>12.301399999999999</v>
          </cell>
          <cell r="C4491">
            <v>11.175671232876713</v>
          </cell>
        </row>
        <row r="4492">
          <cell r="B4492">
            <v>12.3041</v>
          </cell>
          <cell r="C4492">
            <v>11.176213698630137</v>
          </cell>
        </row>
        <row r="4493">
          <cell r="B4493">
            <v>12.306800000000001</v>
          </cell>
          <cell r="C4493">
            <v>11.176756164383562</v>
          </cell>
        </row>
        <row r="4494">
          <cell r="B4494">
            <v>12.3096</v>
          </cell>
          <cell r="C4494">
            <v>11.177298630136987</v>
          </cell>
        </row>
        <row r="4495">
          <cell r="B4495">
            <v>12.3123</v>
          </cell>
          <cell r="C4495">
            <v>11.177841095890411</v>
          </cell>
        </row>
        <row r="4496">
          <cell r="B4496">
            <v>12.315099999999999</v>
          </cell>
          <cell r="C4496">
            <v>11.178383561643836</v>
          </cell>
        </row>
        <row r="4497">
          <cell r="B4497">
            <v>12.3178</v>
          </cell>
          <cell r="C4497">
            <v>11.17892602739726</v>
          </cell>
        </row>
        <row r="4498">
          <cell r="B4498">
            <v>12.320499999999999</v>
          </cell>
          <cell r="C4498">
            <v>11.179468493150686</v>
          </cell>
        </row>
        <row r="4499">
          <cell r="B4499">
            <v>12.3233</v>
          </cell>
          <cell r="C4499">
            <v>11.180010958904111</v>
          </cell>
        </row>
        <row r="4500">
          <cell r="B4500">
            <v>12.326000000000001</v>
          </cell>
          <cell r="C4500">
            <v>11.180553424657536</v>
          </cell>
        </row>
        <row r="4501">
          <cell r="B4501">
            <v>12.328799999999999</v>
          </cell>
          <cell r="C4501">
            <v>11.18109589041096</v>
          </cell>
        </row>
        <row r="4502">
          <cell r="B4502">
            <v>12.3315</v>
          </cell>
          <cell r="C4502">
            <v>11.181638356164385</v>
          </cell>
        </row>
        <row r="4503">
          <cell r="B4503">
            <v>12.334199999999999</v>
          </cell>
          <cell r="C4503">
            <v>11.182180821917809</v>
          </cell>
        </row>
        <row r="4504">
          <cell r="B4504">
            <v>12.337</v>
          </cell>
          <cell r="C4504">
            <v>11.182723287671234</v>
          </cell>
        </row>
        <row r="4505">
          <cell r="B4505">
            <v>12.339700000000001</v>
          </cell>
          <cell r="C4505">
            <v>11.183265753424658</v>
          </cell>
        </row>
        <row r="4506">
          <cell r="B4506">
            <v>12.342499999999999</v>
          </cell>
          <cell r="C4506">
            <v>11.183808219178083</v>
          </cell>
        </row>
        <row r="4507">
          <cell r="B4507">
            <v>12.3452</v>
          </cell>
          <cell r="C4507">
            <v>11.184350684931507</v>
          </cell>
        </row>
        <row r="4508">
          <cell r="B4508">
            <v>12.347899999999999</v>
          </cell>
          <cell r="C4508">
            <v>11.184893150684932</v>
          </cell>
        </row>
        <row r="4509">
          <cell r="B4509">
            <v>12.3507</v>
          </cell>
          <cell r="C4509">
            <v>11.185435616438356</v>
          </cell>
        </row>
        <row r="4510">
          <cell r="B4510">
            <v>12.353400000000001</v>
          </cell>
          <cell r="C4510">
            <v>11.185978082191781</v>
          </cell>
        </row>
        <row r="4511">
          <cell r="B4511">
            <v>12.356199999999999</v>
          </cell>
          <cell r="C4511">
            <v>11.186520547945205</v>
          </cell>
        </row>
        <row r="4512">
          <cell r="B4512">
            <v>12.3589</v>
          </cell>
          <cell r="C4512">
            <v>11.18706301369863</v>
          </cell>
        </row>
        <row r="4513">
          <cell r="B4513">
            <v>12.361599999999999</v>
          </cell>
          <cell r="C4513">
            <v>11.187605479452056</v>
          </cell>
        </row>
        <row r="4514">
          <cell r="B4514">
            <v>12.3644</v>
          </cell>
          <cell r="C4514">
            <v>11.188147945205481</v>
          </cell>
        </row>
        <row r="4515">
          <cell r="B4515">
            <v>12.367100000000001</v>
          </cell>
          <cell r="C4515">
            <v>11.188690410958905</v>
          </cell>
        </row>
        <row r="4516">
          <cell r="B4516">
            <v>12.369899999999999</v>
          </cell>
          <cell r="C4516">
            <v>11.18923287671233</v>
          </cell>
        </row>
        <row r="4517">
          <cell r="B4517">
            <v>12.3726</v>
          </cell>
          <cell r="C4517">
            <v>11.189775342465754</v>
          </cell>
        </row>
        <row r="4518">
          <cell r="B4518">
            <v>12.375299999999999</v>
          </cell>
          <cell r="C4518">
            <v>11.190317808219179</v>
          </cell>
        </row>
        <row r="4519">
          <cell r="B4519">
            <v>12.3781</v>
          </cell>
          <cell r="C4519">
            <v>11.190860273972604</v>
          </cell>
        </row>
        <row r="4520">
          <cell r="B4520">
            <v>12.380800000000001</v>
          </cell>
          <cell r="C4520">
            <v>11.191402739726028</v>
          </cell>
        </row>
        <row r="4521">
          <cell r="B4521">
            <v>12.383599999999999</v>
          </cell>
          <cell r="C4521">
            <v>11.191945205479453</v>
          </cell>
        </row>
        <row r="4522">
          <cell r="B4522">
            <v>12.3863</v>
          </cell>
          <cell r="C4522">
            <v>11.192487671232877</v>
          </cell>
        </row>
        <row r="4523">
          <cell r="B4523">
            <v>12.388999999999999</v>
          </cell>
          <cell r="C4523">
            <v>11.193030136986302</v>
          </cell>
        </row>
        <row r="4524">
          <cell r="B4524">
            <v>12.3918</v>
          </cell>
          <cell r="C4524">
            <v>11.193572602739726</v>
          </cell>
        </row>
        <row r="4525">
          <cell r="B4525">
            <v>12.394500000000001</v>
          </cell>
          <cell r="C4525">
            <v>11.194115068493151</v>
          </cell>
        </row>
        <row r="4526">
          <cell r="B4526">
            <v>12.3973</v>
          </cell>
          <cell r="C4526">
            <v>11.194657534246575</v>
          </cell>
        </row>
        <row r="4527">
          <cell r="B4527">
            <v>12.4</v>
          </cell>
          <cell r="C4527">
            <v>11.1952</v>
          </cell>
        </row>
        <row r="4528">
          <cell r="B4528">
            <v>12.402699999999999</v>
          </cell>
          <cell r="C4528">
            <v>11.195742465753426</v>
          </cell>
        </row>
        <row r="4529">
          <cell r="B4529">
            <v>12.4055</v>
          </cell>
          <cell r="C4529">
            <v>11.196284931506851</v>
          </cell>
        </row>
        <row r="4530">
          <cell r="B4530">
            <v>12.408200000000001</v>
          </cell>
          <cell r="C4530">
            <v>11.196827397260275</v>
          </cell>
        </row>
        <row r="4531">
          <cell r="B4531">
            <v>12.411</v>
          </cell>
          <cell r="C4531">
            <v>11.1973698630137</v>
          </cell>
        </row>
        <row r="4532">
          <cell r="B4532">
            <v>12.4137</v>
          </cell>
          <cell r="C4532">
            <v>11.197912328767124</v>
          </cell>
        </row>
        <row r="4533">
          <cell r="B4533">
            <v>12.416399999999999</v>
          </cell>
          <cell r="C4533">
            <v>11.198454794520549</v>
          </cell>
        </row>
        <row r="4534">
          <cell r="B4534">
            <v>12.4192</v>
          </cell>
          <cell r="C4534">
            <v>11.198997260273973</v>
          </cell>
        </row>
        <row r="4535">
          <cell r="B4535">
            <v>12.421900000000001</v>
          </cell>
          <cell r="C4535">
            <v>11.199539726027398</v>
          </cell>
        </row>
        <row r="4536">
          <cell r="B4536">
            <v>12.4247</v>
          </cell>
          <cell r="C4536">
            <v>11.200082191780822</v>
          </cell>
        </row>
        <row r="4537">
          <cell r="B4537">
            <v>12.4274</v>
          </cell>
          <cell r="C4537">
            <v>11.200624657534247</v>
          </cell>
        </row>
        <row r="4538">
          <cell r="B4538">
            <v>12.430099999999999</v>
          </cell>
          <cell r="C4538">
            <v>11.201167123287672</v>
          </cell>
        </row>
        <row r="4539">
          <cell r="B4539">
            <v>12.4329</v>
          </cell>
          <cell r="C4539">
            <v>11.201709589041096</v>
          </cell>
        </row>
        <row r="4540">
          <cell r="B4540">
            <v>12.435600000000001</v>
          </cell>
          <cell r="C4540">
            <v>11.202252054794521</v>
          </cell>
        </row>
        <row r="4541">
          <cell r="B4541">
            <v>12.4384</v>
          </cell>
          <cell r="C4541">
            <v>11.202794520547945</v>
          </cell>
        </row>
        <row r="4542">
          <cell r="B4542">
            <v>12.4411</v>
          </cell>
          <cell r="C4542">
            <v>11.203336986301371</v>
          </cell>
        </row>
        <row r="4543">
          <cell r="B4543">
            <v>12.4438</v>
          </cell>
          <cell r="C4543">
            <v>11.203879452054796</v>
          </cell>
        </row>
        <row r="4544">
          <cell r="B4544">
            <v>12.4466</v>
          </cell>
          <cell r="C4544">
            <v>11.20442191780822</v>
          </cell>
        </row>
        <row r="4545">
          <cell r="B4545">
            <v>12.449299999999999</v>
          </cell>
          <cell r="C4545">
            <v>11.204964383561645</v>
          </cell>
        </row>
        <row r="4546">
          <cell r="B4546">
            <v>12.4521</v>
          </cell>
          <cell r="C4546">
            <v>11.20550684931507</v>
          </cell>
        </row>
        <row r="4547">
          <cell r="B4547">
            <v>12.454800000000001</v>
          </cell>
          <cell r="C4547">
            <v>11.206049315068494</v>
          </cell>
        </row>
        <row r="4548">
          <cell r="B4548">
            <v>12.4575</v>
          </cell>
          <cell r="C4548">
            <v>11.206591780821919</v>
          </cell>
        </row>
        <row r="4549">
          <cell r="B4549">
            <v>12.4603</v>
          </cell>
          <cell r="C4549">
            <v>11.207134246575343</v>
          </cell>
        </row>
        <row r="4550">
          <cell r="B4550">
            <v>12.462999999999999</v>
          </cell>
          <cell r="C4550">
            <v>11.207676712328768</v>
          </cell>
        </row>
        <row r="4551">
          <cell r="B4551">
            <v>12.4658</v>
          </cell>
          <cell r="C4551">
            <v>11.208219178082192</v>
          </cell>
        </row>
        <row r="4552">
          <cell r="B4552">
            <v>12.468500000000001</v>
          </cell>
          <cell r="C4552">
            <v>11.208761643835617</v>
          </cell>
        </row>
        <row r="4553">
          <cell r="B4553">
            <v>12.4712</v>
          </cell>
          <cell r="C4553">
            <v>11.209304109589041</v>
          </cell>
        </row>
        <row r="4554">
          <cell r="B4554">
            <v>12.474</v>
          </cell>
          <cell r="C4554">
            <v>11.209846575342466</v>
          </cell>
        </row>
        <row r="4555">
          <cell r="B4555">
            <v>12.476699999999999</v>
          </cell>
          <cell r="C4555">
            <v>11.21038904109589</v>
          </cell>
        </row>
        <row r="4556">
          <cell r="B4556">
            <v>12.4795</v>
          </cell>
          <cell r="C4556">
            <v>11.210931506849315</v>
          </cell>
        </row>
        <row r="4557">
          <cell r="B4557">
            <v>12.482200000000001</v>
          </cell>
          <cell r="C4557">
            <v>11.211473972602741</v>
          </cell>
        </row>
        <row r="4558">
          <cell r="B4558">
            <v>12.4849</v>
          </cell>
          <cell r="C4558">
            <v>11.212016438356166</v>
          </cell>
        </row>
        <row r="4559">
          <cell r="B4559">
            <v>12.4877</v>
          </cell>
          <cell r="C4559">
            <v>11.21255890410959</v>
          </cell>
        </row>
        <row r="4560">
          <cell r="B4560">
            <v>12.490399999999999</v>
          </cell>
          <cell r="C4560">
            <v>11.213101369863015</v>
          </cell>
        </row>
        <row r="4561">
          <cell r="B4561">
            <v>12.4932</v>
          </cell>
          <cell r="C4561">
            <v>11.213643835616439</v>
          </cell>
        </row>
        <row r="4562">
          <cell r="B4562">
            <v>12.495900000000001</v>
          </cell>
          <cell r="C4562">
            <v>11.214186301369864</v>
          </cell>
        </row>
        <row r="4563">
          <cell r="B4563">
            <v>12.4986</v>
          </cell>
          <cell r="C4563">
            <v>11.214728767123288</v>
          </cell>
        </row>
        <row r="4564">
          <cell r="B4564">
            <v>12.5014</v>
          </cell>
          <cell r="C4564">
            <v>11.215271232876713</v>
          </cell>
        </row>
        <row r="4565">
          <cell r="B4565">
            <v>12.504099999999999</v>
          </cell>
          <cell r="C4565">
            <v>11.215813698630138</v>
          </cell>
        </row>
        <row r="4566">
          <cell r="B4566">
            <v>12.5068</v>
          </cell>
          <cell r="C4566">
            <v>11.216356164383562</v>
          </cell>
        </row>
        <row r="4567">
          <cell r="B4567">
            <v>12.509600000000001</v>
          </cell>
          <cell r="C4567">
            <v>11.216898630136987</v>
          </cell>
        </row>
        <row r="4568">
          <cell r="B4568">
            <v>12.5123</v>
          </cell>
          <cell r="C4568">
            <v>11.217441095890411</v>
          </cell>
        </row>
        <row r="4569">
          <cell r="B4569">
            <v>12.5151</v>
          </cell>
          <cell r="C4569">
            <v>11.217983561643836</v>
          </cell>
        </row>
        <row r="4570">
          <cell r="B4570">
            <v>12.517799999999999</v>
          </cell>
          <cell r="C4570">
            <v>11.21852602739726</v>
          </cell>
        </row>
        <row r="4571">
          <cell r="B4571">
            <v>12.5205</v>
          </cell>
          <cell r="C4571">
            <v>11.219068493150687</v>
          </cell>
        </row>
        <row r="4572">
          <cell r="B4572">
            <v>12.523300000000001</v>
          </cell>
          <cell r="C4572">
            <v>11.219610958904111</v>
          </cell>
        </row>
        <row r="4573">
          <cell r="B4573">
            <v>12.526</v>
          </cell>
          <cell r="C4573">
            <v>11.220153424657536</v>
          </cell>
        </row>
        <row r="4574">
          <cell r="B4574">
            <v>12.5288</v>
          </cell>
          <cell r="C4574">
            <v>11.22069589041096</v>
          </cell>
        </row>
        <row r="4575">
          <cell r="B4575">
            <v>12.531499999999999</v>
          </cell>
          <cell r="C4575">
            <v>11.221238356164385</v>
          </cell>
        </row>
        <row r="4576">
          <cell r="B4576">
            <v>12.5342</v>
          </cell>
          <cell r="C4576">
            <v>11.221780821917809</v>
          </cell>
        </row>
        <row r="4577">
          <cell r="B4577">
            <v>12.537000000000001</v>
          </cell>
          <cell r="C4577">
            <v>11.222323287671234</v>
          </cell>
        </row>
        <row r="4578">
          <cell r="B4578">
            <v>12.5397</v>
          </cell>
          <cell r="C4578">
            <v>11.222865753424658</v>
          </cell>
        </row>
        <row r="4579">
          <cell r="B4579">
            <v>12.5425</v>
          </cell>
          <cell r="C4579">
            <v>11.223408219178083</v>
          </cell>
        </row>
        <row r="4580">
          <cell r="B4580">
            <v>12.545199999999999</v>
          </cell>
          <cell r="C4580">
            <v>11.223950684931507</v>
          </cell>
        </row>
        <row r="4581">
          <cell r="B4581">
            <v>12.5479</v>
          </cell>
          <cell r="C4581">
            <v>11.224493150684932</v>
          </cell>
        </row>
        <row r="4582">
          <cell r="B4582">
            <v>12.550700000000001</v>
          </cell>
          <cell r="C4582">
            <v>11.225035616438356</v>
          </cell>
        </row>
        <row r="4583">
          <cell r="B4583">
            <v>12.5534</v>
          </cell>
          <cell r="C4583">
            <v>11.225578082191781</v>
          </cell>
        </row>
        <row r="4584">
          <cell r="B4584">
            <v>12.5562</v>
          </cell>
          <cell r="C4584">
            <v>11.226120547945206</v>
          </cell>
        </row>
        <row r="4585">
          <cell r="B4585">
            <v>12.5589</v>
          </cell>
          <cell r="C4585">
            <v>11.22666301369863</v>
          </cell>
        </row>
        <row r="4586">
          <cell r="B4586">
            <v>12.5616</v>
          </cell>
          <cell r="C4586">
            <v>11.227205479452056</v>
          </cell>
        </row>
        <row r="4587">
          <cell r="B4587">
            <v>12.564399999999999</v>
          </cell>
          <cell r="C4587">
            <v>11.227747945205481</v>
          </cell>
        </row>
        <row r="4588">
          <cell r="B4588">
            <v>12.5671</v>
          </cell>
          <cell r="C4588">
            <v>11.228290410958905</v>
          </cell>
        </row>
        <row r="4589">
          <cell r="B4589">
            <v>12.569900000000001</v>
          </cell>
          <cell r="C4589">
            <v>11.22883287671233</v>
          </cell>
        </row>
        <row r="4590">
          <cell r="B4590">
            <v>12.5726</v>
          </cell>
          <cell r="C4590">
            <v>11.229375342465755</v>
          </cell>
        </row>
        <row r="4591">
          <cell r="B4591">
            <v>12.5753</v>
          </cell>
          <cell r="C4591">
            <v>11.229917808219179</v>
          </cell>
        </row>
        <row r="4592">
          <cell r="B4592">
            <v>12.578099999999999</v>
          </cell>
          <cell r="C4592">
            <v>11.230460273972604</v>
          </cell>
        </row>
        <row r="4593">
          <cell r="B4593">
            <v>12.5808</v>
          </cell>
          <cell r="C4593">
            <v>11.231002739726028</v>
          </cell>
        </row>
        <row r="4594">
          <cell r="B4594">
            <v>12.583600000000001</v>
          </cell>
          <cell r="C4594">
            <v>11.231545205479453</v>
          </cell>
        </row>
        <row r="4595">
          <cell r="B4595">
            <v>12.5863</v>
          </cell>
          <cell r="C4595">
            <v>11.232087671232877</v>
          </cell>
        </row>
        <row r="4596">
          <cell r="B4596">
            <v>12.589</v>
          </cell>
          <cell r="C4596">
            <v>11.232630136986302</v>
          </cell>
        </row>
        <row r="4597">
          <cell r="B4597">
            <v>12.591799999999999</v>
          </cell>
          <cell r="C4597">
            <v>11.233172602739726</v>
          </cell>
        </row>
        <row r="4598">
          <cell r="B4598">
            <v>12.5945</v>
          </cell>
          <cell r="C4598">
            <v>11.233715068493151</v>
          </cell>
        </row>
        <row r="4599">
          <cell r="B4599">
            <v>12.597300000000001</v>
          </cell>
          <cell r="C4599">
            <v>11.234257534246575</v>
          </cell>
        </row>
        <row r="4600">
          <cell r="B4600">
            <v>12.6</v>
          </cell>
          <cell r="C4600">
            <v>11.2348</v>
          </cell>
        </row>
        <row r="4601">
          <cell r="B4601">
            <v>12.6027</v>
          </cell>
          <cell r="C4601">
            <v>11.235342465753426</v>
          </cell>
        </row>
        <row r="4602">
          <cell r="B4602">
            <v>12.605499999999999</v>
          </cell>
          <cell r="C4602">
            <v>11.235884931506851</v>
          </cell>
        </row>
        <row r="4603">
          <cell r="B4603">
            <v>12.6082</v>
          </cell>
          <cell r="C4603">
            <v>11.236427397260275</v>
          </cell>
        </row>
        <row r="4604">
          <cell r="B4604">
            <v>12.611000000000001</v>
          </cell>
          <cell r="C4604">
            <v>11.2369698630137</v>
          </cell>
        </row>
        <row r="4605">
          <cell r="B4605">
            <v>12.6137</v>
          </cell>
          <cell r="C4605">
            <v>11.237512328767124</v>
          </cell>
        </row>
        <row r="4606">
          <cell r="B4606">
            <v>12.616400000000001</v>
          </cell>
          <cell r="C4606">
            <v>11.238054794520549</v>
          </cell>
        </row>
        <row r="4607">
          <cell r="B4607">
            <v>12.619199999999999</v>
          </cell>
          <cell r="C4607">
            <v>11.238597260273973</v>
          </cell>
        </row>
        <row r="4608">
          <cell r="B4608">
            <v>12.6219</v>
          </cell>
          <cell r="C4608">
            <v>11.239139726027398</v>
          </cell>
        </row>
        <row r="4609">
          <cell r="B4609">
            <v>12.624700000000001</v>
          </cell>
          <cell r="C4609">
            <v>11.239682191780823</v>
          </cell>
        </row>
        <row r="4610">
          <cell r="B4610">
            <v>12.6274</v>
          </cell>
          <cell r="C4610">
            <v>11.240224657534247</v>
          </cell>
        </row>
        <row r="4611">
          <cell r="B4611">
            <v>12.630100000000001</v>
          </cell>
          <cell r="C4611">
            <v>11.240767123287672</v>
          </cell>
        </row>
        <row r="4612">
          <cell r="B4612">
            <v>12.632899999999999</v>
          </cell>
          <cell r="C4612">
            <v>11.241309589041096</v>
          </cell>
        </row>
        <row r="4613">
          <cell r="B4613">
            <v>12.6356</v>
          </cell>
          <cell r="C4613">
            <v>11.241852054794521</v>
          </cell>
        </row>
        <row r="4614">
          <cell r="B4614">
            <v>12.638400000000001</v>
          </cell>
          <cell r="C4614">
            <v>11.242394520547945</v>
          </cell>
        </row>
        <row r="4615">
          <cell r="B4615">
            <v>12.6411</v>
          </cell>
          <cell r="C4615">
            <v>11.24293698630137</v>
          </cell>
        </row>
        <row r="4616">
          <cell r="B4616">
            <v>12.643800000000001</v>
          </cell>
          <cell r="C4616">
            <v>11.243479452054796</v>
          </cell>
        </row>
        <row r="4617">
          <cell r="B4617">
            <v>12.646599999999999</v>
          </cell>
          <cell r="C4617">
            <v>11.244021917808221</v>
          </cell>
        </row>
        <row r="4618">
          <cell r="B4618">
            <v>12.6493</v>
          </cell>
          <cell r="C4618">
            <v>11.244564383561645</v>
          </cell>
        </row>
        <row r="4619">
          <cell r="B4619">
            <v>12.652100000000001</v>
          </cell>
          <cell r="C4619">
            <v>11.24510684931507</v>
          </cell>
        </row>
        <row r="4620">
          <cell r="B4620">
            <v>12.6548</v>
          </cell>
          <cell r="C4620">
            <v>11.245649315068494</v>
          </cell>
        </row>
        <row r="4621">
          <cell r="B4621">
            <v>12.657500000000001</v>
          </cell>
          <cell r="C4621">
            <v>11.246191780821919</v>
          </cell>
        </row>
        <row r="4622">
          <cell r="B4622">
            <v>12.660299999999999</v>
          </cell>
          <cell r="C4622">
            <v>11.246734246575343</v>
          </cell>
        </row>
        <row r="4623">
          <cell r="B4623">
            <v>12.663</v>
          </cell>
          <cell r="C4623">
            <v>11.247276712328768</v>
          </cell>
        </row>
        <row r="4624">
          <cell r="B4624">
            <v>12.665800000000001</v>
          </cell>
          <cell r="C4624">
            <v>11.247819178082192</v>
          </cell>
        </row>
        <row r="4625">
          <cell r="B4625">
            <v>12.6685</v>
          </cell>
          <cell r="C4625">
            <v>11.248361643835617</v>
          </cell>
        </row>
        <row r="4626">
          <cell r="B4626">
            <v>12.671200000000001</v>
          </cell>
          <cell r="C4626">
            <v>11.248904109589041</v>
          </cell>
        </row>
        <row r="4627">
          <cell r="B4627">
            <v>12.673999999999999</v>
          </cell>
          <cell r="C4627">
            <v>11.249446575342466</v>
          </cell>
        </row>
        <row r="4628">
          <cell r="B4628">
            <v>12.6767</v>
          </cell>
          <cell r="C4628">
            <v>11.24998904109589</v>
          </cell>
        </row>
        <row r="4629">
          <cell r="B4629">
            <v>12.679500000000001</v>
          </cell>
          <cell r="C4629">
            <v>11.250531506849315</v>
          </cell>
        </row>
        <row r="4630">
          <cell r="B4630">
            <v>12.6822</v>
          </cell>
          <cell r="C4630">
            <v>11.25107397260274</v>
          </cell>
        </row>
        <row r="4631">
          <cell r="B4631">
            <v>12.684900000000001</v>
          </cell>
          <cell r="C4631">
            <v>11.251616438356166</v>
          </cell>
        </row>
        <row r="4632">
          <cell r="B4632">
            <v>12.6877</v>
          </cell>
          <cell r="C4632">
            <v>11.25215890410959</v>
          </cell>
        </row>
        <row r="4633">
          <cell r="B4633">
            <v>12.6904</v>
          </cell>
          <cell r="C4633">
            <v>11.252701369863015</v>
          </cell>
        </row>
        <row r="4634">
          <cell r="B4634">
            <v>12.693199999999999</v>
          </cell>
          <cell r="C4634">
            <v>11.253243835616439</v>
          </cell>
        </row>
        <row r="4635">
          <cell r="B4635">
            <v>12.6959</v>
          </cell>
          <cell r="C4635">
            <v>11.253786301369864</v>
          </cell>
        </row>
        <row r="4636">
          <cell r="B4636">
            <v>12.698600000000001</v>
          </cell>
          <cell r="C4636">
            <v>11.254328767123289</v>
          </cell>
        </row>
        <row r="4637">
          <cell r="B4637">
            <v>12.7014</v>
          </cell>
          <cell r="C4637">
            <v>11.254871232876713</v>
          </cell>
        </row>
        <row r="4638">
          <cell r="B4638">
            <v>12.7041</v>
          </cell>
          <cell r="C4638">
            <v>11.255413698630138</v>
          </cell>
        </row>
        <row r="4639">
          <cell r="B4639">
            <v>12.706799999999999</v>
          </cell>
          <cell r="C4639">
            <v>11.255956164383562</v>
          </cell>
        </row>
        <row r="4640">
          <cell r="B4640">
            <v>12.7096</v>
          </cell>
          <cell r="C4640">
            <v>11.256498630136987</v>
          </cell>
        </row>
        <row r="4641">
          <cell r="B4641">
            <v>12.712300000000001</v>
          </cell>
          <cell r="C4641">
            <v>11.257041095890411</v>
          </cell>
        </row>
        <row r="4642">
          <cell r="B4642">
            <v>12.7151</v>
          </cell>
          <cell r="C4642">
            <v>11.257583561643836</v>
          </cell>
        </row>
        <row r="4643">
          <cell r="B4643">
            <v>12.7178</v>
          </cell>
          <cell r="C4643">
            <v>11.25812602739726</v>
          </cell>
        </row>
        <row r="4644">
          <cell r="B4644">
            <v>12.720499999999999</v>
          </cell>
          <cell r="C4644">
            <v>11.258668493150685</v>
          </cell>
        </row>
        <row r="4645">
          <cell r="B4645">
            <v>12.7233</v>
          </cell>
          <cell r="C4645">
            <v>11.259210958904109</v>
          </cell>
        </row>
        <row r="4646">
          <cell r="B4646">
            <v>12.726000000000001</v>
          </cell>
          <cell r="C4646">
            <v>11.259753424657536</v>
          </cell>
        </row>
        <row r="4647">
          <cell r="B4647">
            <v>12.7288</v>
          </cell>
          <cell r="C4647">
            <v>11.26029589041096</v>
          </cell>
        </row>
        <row r="4648">
          <cell r="B4648">
            <v>12.7315</v>
          </cell>
          <cell r="C4648">
            <v>11.260838356164385</v>
          </cell>
        </row>
        <row r="4649">
          <cell r="B4649">
            <v>12.7342</v>
          </cell>
          <cell r="C4649">
            <v>11.261380821917809</v>
          </cell>
        </row>
        <row r="4650">
          <cell r="B4650">
            <v>12.737</v>
          </cell>
          <cell r="C4650">
            <v>11.261923287671234</v>
          </cell>
        </row>
        <row r="4651">
          <cell r="B4651">
            <v>12.739699999999999</v>
          </cell>
          <cell r="C4651">
            <v>11.262465753424658</v>
          </cell>
        </row>
        <row r="4652">
          <cell r="B4652">
            <v>12.7425</v>
          </cell>
          <cell r="C4652">
            <v>11.263008219178083</v>
          </cell>
        </row>
        <row r="4653">
          <cell r="B4653">
            <v>12.745200000000001</v>
          </cell>
          <cell r="C4653">
            <v>11.263550684931507</v>
          </cell>
        </row>
        <row r="4654">
          <cell r="B4654">
            <v>12.7479</v>
          </cell>
          <cell r="C4654">
            <v>11.264093150684932</v>
          </cell>
        </row>
        <row r="4655">
          <cell r="B4655">
            <v>12.7507</v>
          </cell>
          <cell r="C4655">
            <v>11.264635616438357</v>
          </cell>
        </row>
        <row r="4656">
          <cell r="B4656">
            <v>12.753399999999999</v>
          </cell>
          <cell r="C4656">
            <v>11.265178082191781</v>
          </cell>
        </row>
        <row r="4657">
          <cell r="B4657">
            <v>12.7562</v>
          </cell>
          <cell r="C4657">
            <v>11.265720547945206</v>
          </cell>
        </row>
        <row r="4658">
          <cell r="B4658">
            <v>12.758900000000001</v>
          </cell>
          <cell r="C4658">
            <v>11.26626301369863</v>
          </cell>
        </row>
        <row r="4659">
          <cell r="B4659">
            <v>12.7616</v>
          </cell>
          <cell r="C4659">
            <v>11.266805479452056</v>
          </cell>
        </row>
        <row r="4660">
          <cell r="B4660">
            <v>12.7644</v>
          </cell>
          <cell r="C4660">
            <v>11.267347945205481</v>
          </cell>
        </row>
        <row r="4661">
          <cell r="B4661">
            <v>12.767099999999999</v>
          </cell>
          <cell r="C4661">
            <v>11.267890410958906</v>
          </cell>
        </row>
        <row r="4662">
          <cell r="B4662">
            <v>12.7699</v>
          </cell>
          <cell r="C4662">
            <v>11.26843287671233</v>
          </cell>
        </row>
        <row r="4663">
          <cell r="B4663">
            <v>12.772600000000001</v>
          </cell>
          <cell r="C4663">
            <v>11.268975342465755</v>
          </cell>
        </row>
        <row r="4664">
          <cell r="B4664">
            <v>12.7753</v>
          </cell>
          <cell r="C4664">
            <v>11.269517808219179</v>
          </cell>
        </row>
        <row r="4665">
          <cell r="B4665">
            <v>12.7781</v>
          </cell>
          <cell r="C4665">
            <v>11.270060273972604</v>
          </cell>
        </row>
        <row r="4666">
          <cell r="B4666">
            <v>12.780799999999999</v>
          </cell>
          <cell r="C4666">
            <v>11.270602739726028</v>
          </cell>
        </row>
        <row r="4667">
          <cell r="B4667">
            <v>12.7836</v>
          </cell>
          <cell r="C4667">
            <v>11.271145205479453</v>
          </cell>
        </row>
        <row r="4668">
          <cell r="B4668">
            <v>12.786300000000001</v>
          </cell>
          <cell r="C4668">
            <v>11.271687671232877</v>
          </cell>
        </row>
        <row r="4669">
          <cell r="B4669">
            <v>12.789</v>
          </cell>
          <cell r="C4669">
            <v>11.272230136986302</v>
          </cell>
        </row>
        <row r="4670">
          <cell r="B4670">
            <v>12.7918</v>
          </cell>
          <cell r="C4670">
            <v>11.272772602739726</v>
          </cell>
        </row>
        <row r="4671">
          <cell r="B4671">
            <v>12.794499999999999</v>
          </cell>
          <cell r="C4671">
            <v>11.273315068493151</v>
          </cell>
        </row>
        <row r="4672">
          <cell r="B4672">
            <v>12.7973</v>
          </cell>
          <cell r="C4672">
            <v>11.273857534246575</v>
          </cell>
        </row>
        <row r="4673">
          <cell r="B4673">
            <v>12.8</v>
          </cell>
          <cell r="C4673">
            <v>11.2744</v>
          </cell>
        </row>
        <row r="4674">
          <cell r="B4674">
            <v>12.8027</v>
          </cell>
          <cell r="C4674">
            <v>11.274942465753426</v>
          </cell>
        </row>
        <row r="4675">
          <cell r="B4675">
            <v>12.8055</v>
          </cell>
          <cell r="C4675">
            <v>11.275484931506851</v>
          </cell>
        </row>
        <row r="4676">
          <cell r="B4676">
            <v>12.808199999999999</v>
          </cell>
          <cell r="C4676">
            <v>11.276027397260275</v>
          </cell>
        </row>
        <row r="4677">
          <cell r="B4677">
            <v>12.811</v>
          </cell>
          <cell r="C4677">
            <v>11.2765698630137</v>
          </cell>
        </row>
        <row r="4678">
          <cell r="B4678">
            <v>12.813700000000001</v>
          </cell>
          <cell r="C4678">
            <v>11.277112328767124</v>
          </cell>
        </row>
        <row r="4679">
          <cell r="B4679">
            <v>12.8164</v>
          </cell>
          <cell r="C4679">
            <v>11.277654794520549</v>
          </cell>
        </row>
        <row r="4680">
          <cell r="B4680">
            <v>12.8192</v>
          </cell>
          <cell r="C4680">
            <v>11.278197260273974</v>
          </cell>
        </row>
        <row r="4681">
          <cell r="B4681">
            <v>12.821899999999999</v>
          </cell>
          <cell r="C4681">
            <v>11.278739726027398</v>
          </cell>
        </row>
        <row r="4682">
          <cell r="B4682">
            <v>12.8247</v>
          </cell>
          <cell r="C4682">
            <v>11.279282191780823</v>
          </cell>
        </row>
        <row r="4683">
          <cell r="B4683">
            <v>12.827400000000001</v>
          </cell>
          <cell r="C4683">
            <v>11.279824657534247</v>
          </cell>
        </row>
        <row r="4684">
          <cell r="B4684">
            <v>12.8301</v>
          </cell>
          <cell r="C4684">
            <v>11.280367123287672</v>
          </cell>
        </row>
        <row r="4685">
          <cell r="B4685">
            <v>12.8329</v>
          </cell>
          <cell r="C4685">
            <v>11.280909589041096</v>
          </cell>
        </row>
        <row r="4686">
          <cell r="B4686">
            <v>12.835599999999999</v>
          </cell>
          <cell r="C4686">
            <v>11.281452054794521</v>
          </cell>
        </row>
        <row r="4687">
          <cell r="B4687">
            <v>12.8384</v>
          </cell>
          <cell r="C4687">
            <v>11.281994520547945</v>
          </cell>
        </row>
        <row r="4688">
          <cell r="B4688">
            <v>12.841100000000001</v>
          </cell>
          <cell r="C4688">
            <v>11.28253698630137</v>
          </cell>
        </row>
        <row r="4689">
          <cell r="B4689">
            <v>12.8438</v>
          </cell>
          <cell r="C4689">
            <v>11.283079452054796</v>
          </cell>
        </row>
        <row r="4690">
          <cell r="B4690">
            <v>12.8466</v>
          </cell>
          <cell r="C4690">
            <v>11.283621917808221</v>
          </cell>
        </row>
        <row r="4691">
          <cell r="B4691">
            <v>12.849299999999999</v>
          </cell>
          <cell r="C4691">
            <v>11.284164383561645</v>
          </cell>
        </row>
        <row r="4692">
          <cell r="B4692">
            <v>12.8521</v>
          </cell>
          <cell r="C4692">
            <v>11.28470684931507</v>
          </cell>
        </row>
        <row r="4693">
          <cell r="B4693">
            <v>12.854799999999999</v>
          </cell>
          <cell r="C4693">
            <v>11.285249315068494</v>
          </cell>
        </row>
        <row r="4694">
          <cell r="B4694">
            <v>12.8575</v>
          </cell>
          <cell r="C4694">
            <v>11.285791780821919</v>
          </cell>
        </row>
        <row r="4695">
          <cell r="B4695">
            <v>12.860300000000001</v>
          </cell>
          <cell r="C4695">
            <v>11.286334246575343</v>
          </cell>
        </row>
        <row r="4696">
          <cell r="B4696">
            <v>12.863</v>
          </cell>
          <cell r="C4696">
            <v>11.286876712328768</v>
          </cell>
        </row>
        <row r="4697">
          <cell r="B4697">
            <v>12.8658</v>
          </cell>
          <cell r="C4697">
            <v>11.287419178082192</v>
          </cell>
        </row>
        <row r="4698">
          <cell r="B4698">
            <v>12.868499999999999</v>
          </cell>
          <cell r="C4698">
            <v>11.287961643835617</v>
          </cell>
        </row>
        <row r="4699">
          <cell r="B4699">
            <v>12.8712</v>
          </cell>
          <cell r="C4699">
            <v>11.288504109589041</v>
          </cell>
        </row>
        <row r="4700">
          <cell r="B4700">
            <v>12.874000000000001</v>
          </cell>
          <cell r="C4700">
            <v>11.289046575342466</v>
          </cell>
        </row>
        <row r="4701">
          <cell r="B4701">
            <v>12.8767</v>
          </cell>
          <cell r="C4701">
            <v>11.289589041095891</v>
          </cell>
        </row>
        <row r="4702">
          <cell r="B4702">
            <v>12.8795</v>
          </cell>
          <cell r="C4702">
            <v>11.290131506849315</v>
          </cell>
        </row>
        <row r="4703">
          <cell r="B4703">
            <v>12.882199999999999</v>
          </cell>
          <cell r="C4703">
            <v>11.29067397260274</v>
          </cell>
        </row>
        <row r="4704">
          <cell r="B4704">
            <v>12.8849</v>
          </cell>
          <cell r="C4704">
            <v>11.291216438356166</v>
          </cell>
        </row>
        <row r="4705">
          <cell r="B4705">
            <v>12.887700000000001</v>
          </cell>
          <cell r="C4705">
            <v>11.29175890410959</v>
          </cell>
        </row>
        <row r="4706">
          <cell r="B4706">
            <v>12.8904</v>
          </cell>
          <cell r="C4706">
            <v>11.292301369863015</v>
          </cell>
        </row>
        <row r="4707">
          <cell r="B4707">
            <v>12.8932</v>
          </cell>
          <cell r="C4707">
            <v>11.29284383561644</v>
          </cell>
        </row>
        <row r="4708">
          <cell r="B4708">
            <v>12.895899999999999</v>
          </cell>
          <cell r="C4708">
            <v>11.293386301369864</v>
          </cell>
        </row>
        <row r="4709">
          <cell r="B4709">
            <v>12.8986</v>
          </cell>
          <cell r="C4709">
            <v>11.293928767123289</v>
          </cell>
        </row>
        <row r="4710">
          <cell r="B4710">
            <v>12.901400000000001</v>
          </cell>
          <cell r="C4710">
            <v>11.294471232876713</v>
          </cell>
        </row>
        <row r="4711">
          <cell r="B4711">
            <v>12.9041</v>
          </cell>
          <cell r="C4711">
            <v>11.295013698630138</v>
          </cell>
        </row>
        <row r="4712">
          <cell r="B4712">
            <v>12.9068</v>
          </cell>
          <cell r="C4712">
            <v>11.295556164383562</v>
          </cell>
        </row>
        <row r="4713">
          <cell r="B4713">
            <v>12.909599999999999</v>
          </cell>
          <cell r="C4713">
            <v>11.296098630136987</v>
          </cell>
        </row>
        <row r="4714">
          <cell r="B4714">
            <v>12.9123</v>
          </cell>
          <cell r="C4714">
            <v>11.296641095890411</v>
          </cell>
        </row>
        <row r="4715">
          <cell r="B4715">
            <v>12.915100000000001</v>
          </cell>
          <cell r="C4715">
            <v>11.297183561643836</v>
          </cell>
        </row>
        <row r="4716">
          <cell r="B4716">
            <v>12.9178</v>
          </cell>
          <cell r="C4716">
            <v>11.29772602739726</v>
          </cell>
        </row>
        <row r="4717">
          <cell r="B4717">
            <v>12.920500000000001</v>
          </cell>
          <cell r="C4717">
            <v>11.298268493150685</v>
          </cell>
        </row>
        <row r="4718">
          <cell r="B4718">
            <v>12.923299999999999</v>
          </cell>
          <cell r="C4718">
            <v>11.298810958904109</v>
          </cell>
        </row>
        <row r="4719">
          <cell r="B4719">
            <v>12.926</v>
          </cell>
          <cell r="C4719">
            <v>11.299353424657536</v>
          </cell>
        </row>
        <row r="4720">
          <cell r="B4720">
            <v>12.928800000000001</v>
          </cell>
          <cell r="C4720">
            <v>11.29989589041096</v>
          </cell>
        </row>
        <row r="4721">
          <cell r="B4721">
            <v>12.9315</v>
          </cell>
          <cell r="C4721">
            <v>11.300438356164385</v>
          </cell>
        </row>
        <row r="4722">
          <cell r="B4722">
            <v>12.934200000000001</v>
          </cell>
          <cell r="C4722">
            <v>11.300980821917809</v>
          </cell>
        </row>
        <row r="4723">
          <cell r="B4723">
            <v>12.936999999999999</v>
          </cell>
          <cell r="C4723">
            <v>11.301523287671234</v>
          </cell>
        </row>
        <row r="4724">
          <cell r="B4724">
            <v>12.9397</v>
          </cell>
          <cell r="C4724">
            <v>11.302065753424658</v>
          </cell>
        </row>
        <row r="4725">
          <cell r="B4725">
            <v>12.942500000000001</v>
          </cell>
          <cell r="C4725">
            <v>11.302608219178083</v>
          </cell>
        </row>
        <row r="4726">
          <cell r="B4726">
            <v>12.9452</v>
          </cell>
          <cell r="C4726">
            <v>11.303150684931508</v>
          </cell>
        </row>
        <row r="4727">
          <cell r="B4727">
            <v>12.947900000000001</v>
          </cell>
          <cell r="C4727">
            <v>11.303693150684932</v>
          </cell>
        </row>
        <row r="4728">
          <cell r="B4728">
            <v>12.950699999999999</v>
          </cell>
          <cell r="C4728">
            <v>11.304235616438357</v>
          </cell>
        </row>
        <row r="4729">
          <cell r="B4729">
            <v>12.9534</v>
          </cell>
          <cell r="C4729">
            <v>11.304778082191781</v>
          </cell>
        </row>
        <row r="4730">
          <cell r="B4730">
            <v>12.956200000000001</v>
          </cell>
          <cell r="C4730">
            <v>11.305320547945206</v>
          </cell>
        </row>
        <row r="4731">
          <cell r="B4731">
            <v>12.9589</v>
          </cell>
          <cell r="C4731">
            <v>11.30586301369863</v>
          </cell>
        </row>
        <row r="4732">
          <cell r="B4732">
            <v>12.961600000000001</v>
          </cell>
          <cell r="C4732">
            <v>11.306405479452055</v>
          </cell>
        </row>
        <row r="4733">
          <cell r="B4733">
            <v>12.964399999999999</v>
          </cell>
          <cell r="C4733">
            <v>11.306947945205479</v>
          </cell>
        </row>
        <row r="4734">
          <cell r="B4734">
            <v>12.9671</v>
          </cell>
          <cell r="C4734">
            <v>11.307490410958906</v>
          </cell>
        </row>
        <row r="4735">
          <cell r="B4735">
            <v>12.969900000000001</v>
          </cell>
          <cell r="C4735">
            <v>11.30803287671233</v>
          </cell>
        </row>
        <row r="4736">
          <cell r="B4736">
            <v>12.9726</v>
          </cell>
          <cell r="C4736">
            <v>11.308575342465755</v>
          </cell>
        </row>
        <row r="4737">
          <cell r="B4737">
            <v>12.975300000000001</v>
          </cell>
          <cell r="C4737">
            <v>11.309117808219179</v>
          </cell>
        </row>
        <row r="4738">
          <cell r="B4738">
            <v>12.9781</v>
          </cell>
          <cell r="C4738">
            <v>11.309660273972604</v>
          </cell>
        </row>
        <row r="4739">
          <cell r="B4739">
            <v>12.9808</v>
          </cell>
          <cell r="C4739">
            <v>11.310202739726028</v>
          </cell>
        </row>
        <row r="4740">
          <cell r="B4740">
            <v>12.983599999999999</v>
          </cell>
          <cell r="C4740">
            <v>11.310745205479453</v>
          </cell>
        </row>
        <row r="4741">
          <cell r="B4741">
            <v>12.9863</v>
          </cell>
          <cell r="C4741">
            <v>11.311287671232877</v>
          </cell>
        </row>
        <row r="4742">
          <cell r="B4742">
            <v>12.989000000000001</v>
          </cell>
          <cell r="C4742">
            <v>11.311830136986302</v>
          </cell>
        </row>
        <row r="4743">
          <cell r="B4743">
            <v>12.9918</v>
          </cell>
          <cell r="C4743">
            <v>11.312372602739726</v>
          </cell>
        </row>
        <row r="4744">
          <cell r="B4744">
            <v>12.9945</v>
          </cell>
          <cell r="C4744">
            <v>11.312915068493151</v>
          </cell>
        </row>
        <row r="4745">
          <cell r="B4745">
            <v>12.997299999999999</v>
          </cell>
          <cell r="C4745">
            <v>11.313457534246576</v>
          </cell>
        </row>
        <row r="4746">
          <cell r="B4746">
            <v>13</v>
          </cell>
          <cell r="C4746">
            <v>11.314</v>
          </cell>
        </row>
        <row r="4747">
          <cell r="B4747">
            <v>13.002700000000001</v>
          </cell>
          <cell r="C4747">
            <v>11.314542465753425</v>
          </cell>
        </row>
        <row r="4748">
          <cell r="B4748">
            <v>13.0055</v>
          </cell>
          <cell r="C4748">
            <v>11.315084931506849</v>
          </cell>
        </row>
        <row r="4749">
          <cell r="B4749">
            <v>13.0082</v>
          </cell>
          <cell r="C4749">
            <v>11.315627397260275</v>
          </cell>
        </row>
        <row r="4750">
          <cell r="B4750">
            <v>13.010999999999999</v>
          </cell>
          <cell r="C4750">
            <v>11.3161698630137</v>
          </cell>
        </row>
        <row r="4751">
          <cell r="B4751">
            <v>13.0137</v>
          </cell>
          <cell r="C4751">
            <v>11.316712328767125</v>
          </cell>
        </row>
        <row r="4752">
          <cell r="B4752">
            <v>13.016400000000001</v>
          </cell>
          <cell r="C4752">
            <v>11.317254794520549</v>
          </cell>
        </row>
        <row r="4753">
          <cell r="B4753">
            <v>13.0192</v>
          </cell>
          <cell r="C4753">
            <v>11.317797260273974</v>
          </cell>
        </row>
        <row r="4754">
          <cell r="B4754">
            <v>13.0219</v>
          </cell>
          <cell r="C4754">
            <v>11.318339726027398</v>
          </cell>
        </row>
        <row r="4755">
          <cell r="B4755">
            <v>13.024699999999999</v>
          </cell>
          <cell r="C4755">
            <v>11.318882191780823</v>
          </cell>
        </row>
        <row r="4756">
          <cell r="B4756">
            <v>13.0274</v>
          </cell>
          <cell r="C4756">
            <v>11.319424657534247</v>
          </cell>
        </row>
        <row r="4757">
          <cell r="B4757">
            <v>13.030099999999999</v>
          </cell>
          <cell r="C4757">
            <v>11.319967123287672</v>
          </cell>
        </row>
        <row r="4758">
          <cell r="B4758">
            <v>13.0329</v>
          </cell>
          <cell r="C4758">
            <v>11.320509589041096</v>
          </cell>
        </row>
        <row r="4759">
          <cell r="B4759">
            <v>13.035600000000001</v>
          </cell>
          <cell r="C4759">
            <v>11.321052054794521</v>
          </cell>
        </row>
        <row r="4760">
          <cell r="B4760">
            <v>13.038399999999999</v>
          </cell>
          <cell r="C4760">
            <v>11.321594520547945</v>
          </cell>
        </row>
        <row r="4761">
          <cell r="B4761">
            <v>13.0411</v>
          </cell>
          <cell r="C4761">
            <v>11.32213698630137</v>
          </cell>
        </row>
        <row r="4762">
          <cell r="B4762">
            <v>13.043799999999999</v>
          </cell>
          <cell r="C4762">
            <v>11.322679452054796</v>
          </cell>
        </row>
        <row r="4763">
          <cell r="B4763">
            <v>13.0466</v>
          </cell>
          <cell r="C4763">
            <v>11.323221917808221</v>
          </cell>
        </row>
        <row r="4764">
          <cell r="B4764">
            <v>13.049300000000001</v>
          </cell>
          <cell r="C4764">
            <v>11.323764383561645</v>
          </cell>
        </row>
        <row r="4765">
          <cell r="B4765">
            <v>13.052099999999999</v>
          </cell>
          <cell r="C4765">
            <v>11.32430684931507</v>
          </cell>
        </row>
        <row r="4766">
          <cell r="B4766">
            <v>13.0548</v>
          </cell>
          <cell r="C4766">
            <v>11.324849315068494</v>
          </cell>
        </row>
        <row r="4767">
          <cell r="B4767">
            <v>13.057499999999999</v>
          </cell>
          <cell r="C4767">
            <v>11.325391780821919</v>
          </cell>
        </row>
        <row r="4768">
          <cell r="B4768">
            <v>13.0603</v>
          </cell>
          <cell r="C4768">
            <v>11.325934246575343</v>
          </cell>
        </row>
        <row r="4769">
          <cell r="B4769">
            <v>13.063000000000001</v>
          </cell>
          <cell r="C4769">
            <v>11.326476712328768</v>
          </cell>
        </row>
        <row r="4770">
          <cell r="B4770">
            <v>13.065799999999999</v>
          </cell>
          <cell r="C4770">
            <v>11.327019178082192</v>
          </cell>
        </row>
        <row r="4771">
          <cell r="B4771">
            <v>13.0685</v>
          </cell>
          <cell r="C4771">
            <v>11.327561643835617</v>
          </cell>
        </row>
        <row r="4772">
          <cell r="B4772">
            <v>13.071199999999999</v>
          </cell>
          <cell r="C4772">
            <v>11.328104109589042</v>
          </cell>
        </row>
        <row r="4773">
          <cell r="B4773">
            <v>13.074</v>
          </cell>
          <cell r="C4773">
            <v>11.328646575342466</v>
          </cell>
        </row>
        <row r="4774">
          <cell r="B4774">
            <v>13.076700000000001</v>
          </cell>
          <cell r="C4774">
            <v>11.329189041095891</v>
          </cell>
        </row>
        <row r="4775">
          <cell r="B4775">
            <v>13.079499999999999</v>
          </cell>
          <cell r="C4775">
            <v>11.329731506849315</v>
          </cell>
        </row>
        <row r="4776">
          <cell r="B4776">
            <v>13.0822</v>
          </cell>
          <cell r="C4776">
            <v>11.33027397260274</v>
          </cell>
        </row>
        <row r="4777">
          <cell r="B4777">
            <v>13.084899999999999</v>
          </cell>
          <cell r="C4777">
            <v>11.330816438356166</v>
          </cell>
        </row>
        <row r="4778">
          <cell r="B4778">
            <v>13.0877</v>
          </cell>
          <cell r="C4778">
            <v>11.331358904109591</v>
          </cell>
        </row>
        <row r="4779">
          <cell r="B4779">
            <v>13.090400000000001</v>
          </cell>
          <cell r="C4779">
            <v>11.331901369863015</v>
          </cell>
        </row>
        <row r="4780">
          <cell r="B4780">
            <v>13.0932</v>
          </cell>
          <cell r="C4780">
            <v>11.33244383561644</v>
          </cell>
        </row>
        <row r="4781">
          <cell r="B4781">
            <v>13.0959</v>
          </cell>
          <cell r="C4781">
            <v>11.332986301369864</v>
          </cell>
        </row>
        <row r="4782">
          <cell r="B4782">
            <v>13.098599999999999</v>
          </cell>
          <cell r="C4782">
            <v>11.333528767123289</v>
          </cell>
        </row>
        <row r="4783">
          <cell r="B4783">
            <v>13.1014</v>
          </cell>
          <cell r="C4783">
            <v>11.334071232876713</v>
          </cell>
        </row>
        <row r="4784">
          <cell r="B4784">
            <v>13.104100000000001</v>
          </cell>
          <cell r="C4784">
            <v>11.334613698630138</v>
          </cell>
        </row>
        <row r="4785">
          <cell r="B4785">
            <v>13.1068</v>
          </cell>
          <cell r="C4785">
            <v>11.335156164383562</v>
          </cell>
        </row>
        <row r="4786">
          <cell r="B4786">
            <v>13.1096</v>
          </cell>
          <cell r="C4786">
            <v>11.335698630136987</v>
          </cell>
        </row>
        <row r="4787">
          <cell r="B4787">
            <v>13.112299999999999</v>
          </cell>
          <cell r="C4787">
            <v>11.336241095890411</v>
          </cell>
        </row>
        <row r="4788">
          <cell r="B4788">
            <v>13.1151</v>
          </cell>
          <cell r="C4788">
            <v>11.336783561643836</v>
          </cell>
        </row>
        <row r="4789">
          <cell r="B4789">
            <v>13.117800000000001</v>
          </cell>
          <cell r="C4789">
            <v>11.33732602739726</v>
          </cell>
        </row>
        <row r="4790">
          <cell r="B4790">
            <v>13.1205</v>
          </cell>
          <cell r="C4790">
            <v>11.337868493150685</v>
          </cell>
        </row>
        <row r="4791">
          <cell r="B4791">
            <v>13.1233</v>
          </cell>
          <cell r="C4791">
            <v>11.33841095890411</v>
          </cell>
        </row>
        <row r="4792">
          <cell r="B4792">
            <v>13.125999999999999</v>
          </cell>
          <cell r="C4792">
            <v>11.338953424657536</v>
          </cell>
        </row>
        <row r="4793">
          <cell r="B4793">
            <v>13.1288</v>
          </cell>
          <cell r="C4793">
            <v>11.33949589041096</v>
          </cell>
        </row>
        <row r="4794">
          <cell r="B4794">
            <v>13.131500000000001</v>
          </cell>
          <cell r="C4794">
            <v>11.340038356164385</v>
          </cell>
        </row>
        <row r="4795">
          <cell r="B4795">
            <v>13.1342</v>
          </cell>
          <cell r="C4795">
            <v>11.340580821917809</v>
          </cell>
        </row>
        <row r="4796">
          <cell r="B4796">
            <v>13.137</v>
          </cell>
          <cell r="C4796">
            <v>11.341123287671234</v>
          </cell>
        </row>
        <row r="4797">
          <cell r="B4797">
            <v>13.139699999999999</v>
          </cell>
          <cell r="C4797">
            <v>11.341665753424659</v>
          </cell>
        </row>
        <row r="4798">
          <cell r="B4798">
            <v>13.1425</v>
          </cell>
          <cell r="C4798">
            <v>11.342208219178083</v>
          </cell>
        </row>
        <row r="4799">
          <cell r="B4799">
            <v>13.145200000000001</v>
          </cell>
          <cell r="C4799">
            <v>11.342750684931508</v>
          </cell>
        </row>
        <row r="4800">
          <cell r="B4800">
            <v>13.1479</v>
          </cell>
          <cell r="C4800">
            <v>11.343293150684932</v>
          </cell>
        </row>
        <row r="4801">
          <cell r="B4801">
            <v>13.150700000000001</v>
          </cell>
          <cell r="C4801">
            <v>11.343835616438357</v>
          </cell>
        </row>
        <row r="4802">
          <cell r="B4802">
            <v>13.1534</v>
          </cell>
          <cell r="C4802">
            <v>11.344378082191781</v>
          </cell>
        </row>
        <row r="4803">
          <cell r="B4803">
            <v>13.1562</v>
          </cell>
          <cell r="C4803">
            <v>11.344920547945206</v>
          </cell>
        </row>
        <row r="4804">
          <cell r="B4804">
            <v>13.158899999999999</v>
          </cell>
          <cell r="C4804">
            <v>11.34546301369863</v>
          </cell>
        </row>
        <row r="4805">
          <cell r="B4805">
            <v>13.1616</v>
          </cell>
          <cell r="C4805">
            <v>11.346005479452055</v>
          </cell>
        </row>
        <row r="4806">
          <cell r="B4806">
            <v>13.164400000000001</v>
          </cell>
          <cell r="C4806">
            <v>11.346547945205479</v>
          </cell>
        </row>
        <row r="4807">
          <cell r="B4807">
            <v>13.1671</v>
          </cell>
          <cell r="C4807">
            <v>11.347090410958906</v>
          </cell>
        </row>
        <row r="4808">
          <cell r="B4808">
            <v>13.1699</v>
          </cell>
          <cell r="C4808">
            <v>11.34763287671233</v>
          </cell>
        </row>
        <row r="4809">
          <cell r="B4809">
            <v>13.172599999999999</v>
          </cell>
          <cell r="C4809">
            <v>11.348175342465755</v>
          </cell>
        </row>
        <row r="4810">
          <cell r="B4810">
            <v>13.1753</v>
          </cell>
          <cell r="C4810">
            <v>11.348717808219179</v>
          </cell>
        </row>
        <row r="4811">
          <cell r="B4811">
            <v>13.178100000000001</v>
          </cell>
          <cell r="C4811">
            <v>11.349260273972604</v>
          </cell>
        </row>
        <row r="4812">
          <cell r="B4812">
            <v>13.1808</v>
          </cell>
          <cell r="C4812">
            <v>11.349802739726028</v>
          </cell>
        </row>
        <row r="4813">
          <cell r="B4813">
            <v>13.1836</v>
          </cell>
          <cell r="C4813">
            <v>11.350345205479453</v>
          </cell>
        </row>
        <row r="4814">
          <cell r="B4814">
            <v>13.186299999999999</v>
          </cell>
          <cell r="C4814">
            <v>11.350887671232877</v>
          </cell>
        </row>
        <row r="4815">
          <cell r="B4815">
            <v>13.189</v>
          </cell>
          <cell r="C4815">
            <v>11.351430136986302</v>
          </cell>
        </row>
        <row r="4816">
          <cell r="B4816">
            <v>13.191800000000001</v>
          </cell>
          <cell r="C4816">
            <v>11.351972602739727</v>
          </cell>
        </row>
        <row r="4817">
          <cell r="B4817">
            <v>13.1945</v>
          </cell>
          <cell r="C4817">
            <v>11.352515068493151</v>
          </cell>
        </row>
        <row r="4818">
          <cell r="B4818">
            <v>13.1973</v>
          </cell>
          <cell r="C4818">
            <v>11.353057534246576</v>
          </cell>
        </row>
        <row r="4819">
          <cell r="B4819">
            <v>13.2</v>
          </cell>
          <cell r="C4819">
            <v>11.3536</v>
          </cell>
        </row>
        <row r="4820">
          <cell r="B4820">
            <v>13.2027</v>
          </cell>
          <cell r="C4820">
            <v>11.354142465753425</v>
          </cell>
        </row>
        <row r="4821">
          <cell r="B4821">
            <v>13.205500000000001</v>
          </cell>
          <cell r="C4821">
            <v>11.354684931506849</v>
          </cell>
        </row>
        <row r="4822">
          <cell r="B4822">
            <v>13.2082</v>
          </cell>
          <cell r="C4822">
            <v>11.355227397260276</v>
          </cell>
        </row>
        <row r="4823">
          <cell r="B4823">
            <v>13.211</v>
          </cell>
          <cell r="C4823">
            <v>11.3557698630137</v>
          </cell>
        </row>
        <row r="4824">
          <cell r="B4824">
            <v>13.213699999999999</v>
          </cell>
          <cell r="C4824">
            <v>11.356312328767125</v>
          </cell>
        </row>
        <row r="4825">
          <cell r="B4825">
            <v>13.2164</v>
          </cell>
          <cell r="C4825">
            <v>11.356854794520549</v>
          </cell>
        </row>
        <row r="4826">
          <cell r="B4826">
            <v>13.219200000000001</v>
          </cell>
          <cell r="C4826">
            <v>11.357397260273974</v>
          </cell>
        </row>
        <row r="4827">
          <cell r="B4827">
            <v>13.2219</v>
          </cell>
          <cell r="C4827">
            <v>11.357939726027398</v>
          </cell>
        </row>
        <row r="4828">
          <cell r="B4828">
            <v>13.2247</v>
          </cell>
          <cell r="C4828">
            <v>11.358482191780823</v>
          </cell>
        </row>
        <row r="4829">
          <cell r="B4829">
            <v>13.227399999999999</v>
          </cell>
          <cell r="C4829">
            <v>11.359024657534247</v>
          </cell>
        </row>
        <row r="4830">
          <cell r="B4830">
            <v>13.2301</v>
          </cell>
          <cell r="C4830">
            <v>11.359567123287672</v>
          </cell>
        </row>
        <row r="4831">
          <cell r="B4831">
            <v>13.232900000000001</v>
          </cell>
          <cell r="C4831">
            <v>11.360109589041096</v>
          </cell>
        </row>
        <row r="4832">
          <cell r="B4832">
            <v>13.2356</v>
          </cell>
          <cell r="C4832">
            <v>11.360652054794521</v>
          </cell>
        </row>
        <row r="4833">
          <cell r="B4833">
            <v>13.2384</v>
          </cell>
          <cell r="C4833">
            <v>11.361194520547945</v>
          </cell>
        </row>
        <row r="4834">
          <cell r="B4834">
            <v>13.241099999999999</v>
          </cell>
          <cell r="C4834">
            <v>11.36173698630137</v>
          </cell>
        </row>
        <row r="4835">
          <cell r="B4835">
            <v>13.2438</v>
          </cell>
          <cell r="C4835">
            <v>11.362279452054795</v>
          </cell>
        </row>
        <row r="4836">
          <cell r="B4836">
            <v>13.246600000000001</v>
          </cell>
          <cell r="C4836">
            <v>11.362821917808219</v>
          </cell>
        </row>
        <row r="4837">
          <cell r="B4837">
            <v>13.2493</v>
          </cell>
          <cell r="C4837">
            <v>11.363364383561645</v>
          </cell>
        </row>
        <row r="4838">
          <cell r="B4838">
            <v>13.2521</v>
          </cell>
          <cell r="C4838">
            <v>11.36390684931507</v>
          </cell>
        </row>
        <row r="4839">
          <cell r="B4839">
            <v>13.254799999999999</v>
          </cell>
          <cell r="C4839">
            <v>11.364449315068494</v>
          </cell>
        </row>
        <row r="4840">
          <cell r="B4840">
            <v>13.2575</v>
          </cell>
          <cell r="C4840">
            <v>11.364991780821919</v>
          </cell>
        </row>
        <row r="4841">
          <cell r="B4841">
            <v>13.260300000000001</v>
          </cell>
          <cell r="C4841">
            <v>11.365534246575344</v>
          </cell>
        </row>
        <row r="4842">
          <cell r="B4842">
            <v>13.263</v>
          </cell>
          <cell r="C4842">
            <v>11.366076712328768</v>
          </cell>
        </row>
        <row r="4843">
          <cell r="B4843">
            <v>13.2658</v>
          </cell>
          <cell r="C4843">
            <v>11.366619178082193</v>
          </cell>
        </row>
        <row r="4844">
          <cell r="B4844">
            <v>13.2685</v>
          </cell>
          <cell r="C4844">
            <v>11.367161643835617</v>
          </cell>
        </row>
        <row r="4845">
          <cell r="B4845">
            <v>13.2712</v>
          </cell>
          <cell r="C4845">
            <v>11.367704109589042</v>
          </cell>
        </row>
        <row r="4846">
          <cell r="B4846">
            <v>13.273999999999999</v>
          </cell>
          <cell r="C4846">
            <v>11.368246575342466</v>
          </cell>
        </row>
        <row r="4847">
          <cell r="B4847">
            <v>13.2767</v>
          </cell>
          <cell r="C4847">
            <v>11.368789041095891</v>
          </cell>
        </row>
        <row r="4848">
          <cell r="B4848">
            <v>13.279500000000001</v>
          </cell>
          <cell r="C4848">
            <v>11.369331506849315</v>
          </cell>
        </row>
        <row r="4849">
          <cell r="B4849">
            <v>13.2822</v>
          </cell>
          <cell r="C4849">
            <v>11.36987397260274</v>
          </cell>
        </row>
        <row r="4850">
          <cell r="B4850">
            <v>13.2849</v>
          </cell>
          <cell r="C4850">
            <v>11.370416438356164</v>
          </cell>
        </row>
        <row r="4851">
          <cell r="B4851">
            <v>13.287699999999999</v>
          </cell>
          <cell r="C4851">
            <v>11.370958904109589</v>
          </cell>
        </row>
        <row r="4852">
          <cell r="B4852">
            <v>13.2904</v>
          </cell>
          <cell r="C4852">
            <v>11.371501369863015</v>
          </cell>
        </row>
        <row r="4853">
          <cell r="B4853">
            <v>13.293200000000001</v>
          </cell>
          <cell r="C4853">
            <v>11.37204383561644</v>
          </cell>
        </row>
        <row r="4854">
          <cell r="B4854">
            <v>13.2959</v>
          </cell>
          <cell r="C4854">
            <v>11.372586301369864</v>
          </cell>
        </row>
        <row r="4855">
          <cell r="B4855">
            <v>13.2986</v>
          </cell>
          <cell r="C4855">
            <v>11.373128767123289</v>
          </cell>
        </row>
        <row r="4856">
          <cell r="B4856">
            <v>13.301399999999999</v>
          </cell>
          <cell r="C4856">
            <v>11.373671232876713</v>
          </cell>
        </row>
        <row r="4857">
          <cell r="B4857">
            <v>13.3041</v>
          </cell>
          <cell r="C4857">
            <v>11.374213698630138</v>
          </cell>
        </row>
        <row r="4858">
          <cell r="B4858">
            <v>13.306800000000001</v>
          </cell>
          <cell r="C4858">
            <v>11.374756164383562</v>
          </cell>
        </row>
        <row r="4859">
          <cell r="B4859">
            <v>13.3096</v>
          </cell>
          <cell r="C4859">
            <v>11.375298630136987</v>
          </cell>
        </row>
        <row r="4860">
          <cell r="B4860">
            <v>13.3123</v>
          </cell>
          <cell r="C4860">
            <v>11.375841095890411</v>
          </cell>
        </row>
        <row r="4861">
          <cell r="B4861">
            <v>13.315099999999999</v>
          </cell>
          <cell r="C4861">
            <v>11.376383561643836</v>
          </cell>
        </row>
        <row r="4862">
          <cell r="B4862">
            <v>13.3178</v>
          </cell>
          <cell r="C4862">
            <v>11.376926027397261</v>
          </cell>
        </row>
        <row r="4863">
          <cell r="B4863">
            <v>13.320499999999999</v>
          </cell>
          <cell r="C4863">
            <v>11.377468493150685</v>
          </cell>
        </row>
        <row r="4864">
          <cell r="B4864">
            <v>13.3233</v>
          </cell>
          <cell r="C4864">
            <v>11.37801095890411</v>
          </cell>
        </row>
        <row r="4865">
          <cell r="B4865">
            <v>13.326000000000001</v>
          </cell>
          <cell r="C4865">
            <v>11.378553424657536</v>
          </cell>
        </row>
        <row r="4866">
          <cell r="B4866">
            <v>13.328799999999999</v>
          </cell>
          <cell r="C4866">
            <v>11.37909589041096</v>
          </cell>
        </row>
        <row r="4867">
          <cell r="B4867">
            <v>13.3315</v>
          </cell>
          <cell r="C4867">
            <v>11.379638356164385</v>
          </cell>
        </row>
        <row r="4868">
          <cell r="B4868">
            <v>13.334199999999999</v>
          </cell>
          <cell r="C4868">
            <v>11.38018082191781</v>
          </cell>
        </row>
        <row r="4869">
          <cell r="B4869">
            <v>13.337</v>
          </cell>
          <cell r="C4869">
            <v>11.380723287671234</v>
          </cell>
        </row>
        <row r="4870">
          <cell r="B4870">
            <v>13.339700000000001</v>
          </cell>
          <cell r="C4870">
            <v>11.381265753424659</v>
          </cell>
        </row>
        <row r="4871">
          <cell r="B4871">
            <v>13.342499999999999</v>
          </cell>
          <cell r="C4871">
            <v>11.381808219178083</v>
          </cell>
        </row>
        <row r="4872">
          <cell r="B4872">
            <v>13.3452</v>
          </cell>
          <cell r="C4872">
            <v>11.382350684931508</v>
          </cell>
        </row>
        <row r="4873">
          <cell r="B4873">
            <v>13.347899999999999</v>
          </cell>
          <cell r="C4873">
            <v>11.382893150684932</v>
          </cell>
        </row>
        <row r="4874">
          <cell r="B4874">
            <v>13.3507</v>
          </cell>
          <cell r="C4874">
            <v>11.383435616438357</v>
          </cell>
        </row>
        <row r="4875">
          <cell r="B4875">
            <v>13.353400000000001</v>
          </cell>
          <cell r="C4875">
            <v>11.383978082191781</v>
          </cell>
        </row>
        <row r="4876">
          <cell r="B4876">
            <v>13.356199999999999</v>
          </cell>
          <cell r="C4876">
            <v>11.384520547945206</v>
          </cell>
        </row>
        <row r="4877">
          <cell r="B4877">
            <v>13.3589</v>
          </cell>
          <cell r="C4877">
            <v>11.38506301369863</v>
          </cell>
        </row>
        <row r="4878">
          <cell r="B4878">
            <v>13.361599999999999</v>
          </cell>
          <cell r="C4878">
            <v>11.385605479452055</v>
          </cell>
        </row>
        <row r="4879">
          <cell r="B4879">
            <v>13.3644</v>
          </cell>
          <cell r="C4879">
            <v>11.386147945205479</v>
          </cell>
        </row>
        <row r="4880">
          <cell r="B4880">
            <v>13.367100000000001</v>
          </cell>
          <cell r="C4880">
            <v>11.386690410958906</v>
          </cell>
        </row>
        <row r="4881">
          <cell r="B4881">
            <v>13.369899999999999</v>
          </cell>
          <cell r="C4881">
            <v>11.38723287671233</v>
          </cell>
        </row>
        <row r="4882">
          <cell r="B4882">
            <v>13.3726</v>
          </cell>
          <cell r="C4882">
            <v>11.387775342465755</v>
          </cell>
        </row>
        <row r="4883">
          <cell r="B4883">
            <v>13.375299999999999</v>
          </cell>
          <cell r="C4883">
            <v>11.388317808219179</v>
          </cell>
        </row>
        <row r="4884">
          <cell r="B4884">
            <v>13.3781</v>
          </cell>
          <cell r="C4884">
            <v>11.388860273972604</v>
          </cell>
        </row>
        <row r="4885">
          <cell r="B4885">
            <v>13.380800000000001</v>
          </cell>
          <cell r="C4885">
            <v>11.389402739726028</v>
          </cell>
        </row>
        <row r="4886">
          <cell r="B4886">
            <v>13.383599999999999</v>
          </cell>
          <cell r="C4886">
            <v>11.389945205479453</v>
          </cell>
        </row>
        <row r="4887">
          <cell r="B4887">
            <v>13.3863</v>
          </cell>
          <cell r="C4887">
            <v>11.390487671232878</v>
          </cell>
        </row>
        <row r="4888">
          <cell r="B4888">
            <v>13.388999999999999</v>
          </cell>
          <cell r="C4888">
            <v>11.391030136986302</v>
          </cell>
        </row>
        <row r="4889">
          <cell r="B4889">
            <v>13.3918</v>
          </cell>
          <cell r="C4889">
            <v>11.391572602739727</v>
          </cell>
        </row>
        <row r="4890">
          <cell r="B4890">
            <v>13.394500000000001</v>
          </cell>
          <cell r="C4890">
            <v>11.392115068493151</v>
          </cell>
        </row>
        <row r="4891">
          <cell r="B4891">
            <v>13.3973</v>
          </cell>
          <cell r="C4891">
            <v>11.392657534246576</v>
          </cell>
        </row>
        <row r="4892">
          <cell r="B4892">
            <v>13.4</v>
          </cell>
          <cell r="C4892">
            <v>11.3932</v>
          </cell>
        </row>
        <row r="4893">
          <cell r="B4893">
            <v>13.402699999999999</v>
          </cell>
          <cell r="C4893">
            <v>11.393742465753425</v>
          </cell>
        </row>
        <row r="4894">
          <cell r="B4894">
            <v>13.4055</v>
          </cell>
          <cell r="C4894">
            <v>11.394284931506849</v>
          </cell>
        </row>
        <row r="4895">
          <cell r="B4895">
            <v>13.408200000000001</v>
          </cell>
          <cell r="C4895">
            <v>11.394827397260276</v>
          </cell>
        </row>
        <row r="4896">
          <cell r="B4896">
            <v>13.411</v>
          </cell>
          <cell r="C4896">
            <v>11.3953698630137</v>
          </cell>
        </row>
        <row r="4897">
          <cell r="B4897">
            <v>13.4137</v>
          </cell>
          <cell r="C4897">
            <v>11.395912328767125</v>
          </cell>
        </row>
        <row r="4898">
          <cell r="B4898">
            <v>13.416399999999999</v>
          </cell>
          <cell r="C4898">
            <v>11.396454794520549</v>
          </cell>
        </row>
        <row r="4899">
          <cell r="B4899">
            <v>13.4192</v>
          </cell>
          <cell r="C4899">
            <v>11.396997260273974</v>
          </cell>
        </row>
        <row r="4900">
          <cell r="B4900">
            <v>13.421900000000001</v>
          </cell>
          <cell r="C4900">
            <v>11.397539726027398</v>
          </cell>
        </row>
        <row r="4901">
          <cell r="B4901">
            <v>13.4247</v>
          </cell>
          <cell r="C4901">
            <v>11.398082191780823</v>
          </cell>
        </row>
        <row r="4902">
          <cell r="B4902">
            <v>13.4274</v>
          </cell>
          <cell r="C4902">
            <v>11.398624657534247</v>
          </cell>
        </row>
        <row r="4903">
          <cell r="B4903">
            <v>13.430099999999999</v>
          </cell>
          <cell r="C4903">
            <v>11.399167123287672</v>
          </cell>
        </row>
        <row r="4904">
          <cell r="B4904">
            <v>13.4329</v>
          </cell>
          <cell r="C4904">
            <v>11.399709589041096</v>
          </cell>
        </row>
        <row r="4905">
          <cell r="B4905">
            <v>13.435600000000001</v>
          </cell>
          <cell r="C4905">
            <v>11.400252054794521</v>
          </cell>
        </row>
        <row r="4906">
          <cell r="B4906">
            <v>13.4384</v>
          </cell>
          <cell r="C4906">
            <v>11.400794520547946</v>
          </cell>
        </row>
        <row r="4907">
          <cell r="B4907">
            <v>13.4411</v>
          </cell>
          <cell r="C4907">
            <v>11.40133698630137</v>
          </cell>
        </row>
        <row r="4908">
          <cell r="B4908">
            <v>13.4438</v>
          </cell>
          <cell r="C4908">
            <v>11.401879452054795</v>
          </cell>
        </row>
        <row r="4909">
          <cell r="B4909">
            <v>13.4466</v>
          </cell>
          <cell r="C4909">
            <v>11.402421917808219</v>
          </cell>
        </row>
        <row r="4910">
          <cell r="B4910">
            <v>13.449299999999999</v>
          </cell>
          <cell r="C4910">
            <v>11.402964383561645</v>
          </cell>
        </row>
        <row r="4911">
          <cell r="B4911">
            <v>13.4521</v>
          </cell>
          <cell r="C4911">
            <v>11.40350684931507</v>
          </cell>
        </row>
        <row r="4912">
          <cell r="B4912">
            <v>13.454800000000001</v>
          </cell>
          <cell r="C4912">
            <v>11.404049315068495</v>
          </cell>
        </row>
        <row r="4913">
          <cell r="B4913">
            <v>13.4575</v>
          </cell>
          <cell r="C4913">
            <v>11.404591780821919</v>
          </cell>
        </row>
        <row r="4914">
          <cell r="B4914">
            <v>13.4603</v>
          </cell>
          <cell r="C4914">
            <v>11.405134246575344</v>
          </cell>
        </row>
        <row r="4915">
          <cell r="B4915">
            <v>13.462999999999999</v>
          </cell>
          <cell r="C4915">
            <v>11.405676712328768</v>
          </cell>
        </row>
        <row r="4916">
          <cell r="B4916">
            <v>13.4658</v>
          </cell>
          <cell r="C4916">
            <v>11.406219178082193</v>
          </cell>
        </row>
        <row r="4917">
          <cell r="B4917">
            <v>13.468500000000001</v>
          </cell>
          <cell r="C4917">
            <v>11.406761643835617</v>
          </cell>
        </row>
        <row r="4918">
          <cell r="B4918">
            <v>13.4712</v>
          </cell>
          <cell r="C4918">
            <v>11.407304109589042</v>
          </cell>
        </row>
        <row r="4919">
          <cell r="B4919">
            <v>13.474</v>
          </cell>
          <cell r="C4919">
            <v>11.407846575342466</v>
          </cell>
        </row>
        <row r="4920">
          <cell r="B4920">
            <v>13.476699999999999</v>
          </cell>
          <cell r="C4920">
            <v>11.408389041095891</v>
          </cell>
        </row>
        <row r="4921">
          <cell r="B4921">
            <v>13.4795</v>
          </cell>
          <cell r="C4921">
            <v>11.408931506849315</v>
          </cell>
        </row>
        <row r="4922">
          <cell r="B4922">
            <v>13.482200000000001</v>
          </cell>
          <cell r="C4922">
            <v>11.40947397260274</v>
          </cell>
        </row>
        <row r="4923">
          <cell r="B4923">
            <v>13.4849</v>
          </cell>
          <cell r="C4923">
            <v>11.410016438356164</v>
          </cell>
        </row>
        <row r="4924">
          <cell r="B4924">
            <v>13.4877</v>
          </cell>
          <cell r="C4924">
            <v>11.410558904109589</v>
          </cell>
        </row>
        <row r="4925">
          <cell r="B4925">
            <v>13.490399999999999</v>
          </cell>
          <cell r="C4925">
            <v>11.411101369863015</v>
          </cell>
        </row>
        <row r="4926">
          <cell r="B4926">
            <v>13.4932</v>
          </cell>
          <cell r="C4926">
            <v>11.41164383561644</v>
          </cell>
        </row>
        <row r="4927">
          <cell r="B4927">
            <v>13.495900000000001</v>
          </cell>
          <cell r="C4927">
            <v>11.412186301369864</v>
          </cell>
        </row>
        <row r="4928">
          <cell r="B4928">
            <v>13.4986</v>
          </cell>
          <cell r="C4928">
            <v>11.412728767123289</v>
          </cell>
        </row>
        <row r="4929">
          <cell r="B4929">
            <v>13.5014</v>
          </cell>
          <cell r="C4929">
            <v>11.413271232876713</v>
          </cell>
        </row>
        <row r="4930">
          <cell r="B4930">
            <v>13.504099999999999</v>
          </cell>
          <cell r="C4930">
            <v>11.413813698630138</v>
          </cell>
        </row>
        <row r="4931">
          <cell r="B4931">
            <v>13.5068</v>
          </cell>
          <cell r="C4931">
            <v>11.414356164383562</v>
          </cell>
        </row>
        <row r="4932">
          <cell r="B4932">
            <v>13.509600000000001</v>
          </cell>
          <cell r="C4932">
            <v>11.414898630136987</v>
          </cell>
        </row>
        <row r="4933">
          <cell r="B4933">
            <v>13.5123</v>
          </cell>
          <cell r="C4933">
            <v>11.415441095890412</v>
          </cell>
        </row>
        <row r="4934">
          <cell r="B4934">
            <v>13.5151</v>
          </cell>
          <cell r="C4934">
            <v>11.415983561643836</v>
          </cell>
        </row>
        <row r="4935">
          <cell r="B4935">
            <v>13.517799999999999</v>
          </cell>
          <cell r="C4935">
            <v>11.416526027397261</v>
          </cell>
        </row>
        <row r="4936">
          <cell r="B4936">
            <v>13.5205</v>
          </cell>
          <cell r="C4936">
            <v>11.417068493150685</v>
          </cell>
        </row>
        <row r="4937">
          <cell r="B4937">
            <v>13.523300000000001</v>
          </cell>
          <cell r="C4937">
            <v>11.41761095890411</v>
          </cell>
        </row>
        <row r="4938">
          <cell r="B4938">
            <v>13.526</v>
          </cell>
          <cell r="C4938">
            <v>11.418153424657534</v>
          </cell>
        </row>
        <row r="4939">
          <cell r="B4939">
            <v>13.5288</v>
          </cell>
          <cell r="C4939">
            <v>11.418695890410959</v>
          </cell>
        </row>
        <row r="4940">
          <cell r="B4940">
            <v>13.531499999999999</v>
          </cell>
          <cell r="C4940">
            <v>11.419238356164385</v>
          </cell>
        </row>
        <row r="4941">
          <cell r="B4941">
            <v>13.5342</v>
          </cell>
          <cell r="C4941">
            <v>11.41978082191781</v>
          </cell>
        </row>
        <row r="4942">
          <cell r="B4942">
            <v>13.537000000000001</v>
          </cell>
          <cell r="C4942">
            <v>11.420323287671234</v>
          </cell>
        </row>
        <row r="4943">
          <cell r="B4943">
            <v>13.5397</v>
          </cell>
          <cell r="C4943">
            <v>11.420865753424659</v>
          </cell>
        </row>
        <row r="4944">
          <cell r="B4944">
            <v>13.5425</v>
          </cell>
          <cell r="C4944">
            <v>11.421408219178083</v>
          </cell>
        </row>
        <row r="4945">
          <cell r="B4945">
            <v>13.545199999999999</v>
          </cell>
          <cell r="C4945">
            <v>11.421950684931508</v>
          </cell>
        </row>
        <row r="4946">
          <cell r="B4946">
            <v>13.5479</v>
          </cell>
          <cell r="C4946">
            <v>11.422493150684932</v>
          </cell>
        </row>
        <row r="4947">
          <cell r="B4947">
            <v>13.550700000000001</v>
          </cell>
          <cell r="C4947">
            <v>11.423035616438357</v>
          </cell>
        </row>
        <row r="4948">
          <cell r="B4948">
            <v>13.5534</v>
          </cell>
          <cell r="C4948">
            <v>11.423578082191781</v>
          </cell>
        </row>
        <row r="4949">
          <cell r="B4949">
            <v>13.5562</v>
          </cell>
          <cell r="C4949">
            <v>11.424120547945206</v>
          </cell>
        </row>
        <row r="4950">
          <cell r="B4950">
            <v>13.5589</v>
          </cell>
          <cell r="C4950">
            <v>11.42466301369863</v>
          </cell>
        </row>
        <row r="4951">
          <cell r="B4951">
            <v>13.5616</v>
          </cell>
          <cell r="C4951">
            <v>11.425205479452055</v>
          </cell>
        </row>
        <row r="4952">
          <cell r="B4952">
            <v>13.564399999999999</v>
          </cell>
          <cell r="C4952">
            <v>11.42574794520548</v>
          </cell>
        </row>
        <row r="4953">
          <cell r="B4953">
            <v>13.5671</v>
          </cell>
          <cell r="C4953">
            <v>11.426290410958904</v>
          </cell>
        </row>
        <row r="4954">
          <cell r="B4954">
            <v>13.569900000000001</v>
          </cell>
          <cell r="C4954">
            <v>11.426832876712329</v>
          </cell>
        </row>
        <row r="4955">
          <cell r="B4955">
            <v>13.5726</v>
          </cell>
          <cell r="C4955">
            <v>11.427375342465755</v>
          </cell>
        </row>
        <row r="4956">
          <cell r="B4956">
            <v>13.5753</v>
          </cell>
          <cell r="C4956">
            <v>11.427917808219179</v>
          </cell>
        </row>
        <row r="4957">
          <cell r="B4957">
            <v>13.578099999999999</v>
          </cell>
          <cell r="C4957">
            <v>11.428460273972604</v>
          </cell>
        </row>
        <row r="4958">
          <cell r="B4958">
            <v>13.5808</v>
          </cell>
          <cell r="C4958">
            <v>11.429002739726029</v>
          </cell>
        </row>
        <row r="4959">
          <cell r="B4959">
            <v>13.583600000000001</v>
          </cell>
          <cell r="C4959">
            <v>11.429545205479453</v>
          </cell>
        </row>
        <row r="4960">
          <cell r="B4960">
            <v>13.5863</v>
          </cell>
          <cell r="C4960">
            <v>11.430087671232878</v>
          </cell>
        </row>
        <row r="4961">
          <cell r="B4961">
            <v>13.589</v>
          </cell>
          <cell r="C4961">
            <v>11.430630136986302</v>
          </cell>
        </row>
        <row r="4962">
          <cell r="B4962">
            <v>13.591799999999999</v>
          </cell>
          <cell r="C4962">
            <v>11.431172602739727</v>
          </cell>
        </row>
        <row r="4963">
          <cell r="B4963">
            <v>13.5945</v>
          </cell>
          <cell r="C4963">
            <v>11.431715068493151</v>
          </cell>
        </row>
        <row r="4964">
          <cell r="B4964">
            <v>13.597300000000001</v>
          </cell>
          <cell r="C4964">
            <v>11.432257534246576</v>
          </cell>
        </row>
        <row r="4965">
          <cell r="B4965">
            <v>13.6</v>
          </cell>
          <cell r="C4965">
            <v>11.4328</v>
          </cell>
        </row>
        <row r="4966">
          <cell r="B4966">
            <v>13.6027</v>
          </cell>
          <cell r="C4966">
            <v>11.433342465753425</v>
          </cell>
        </row>
        <row r="4967">
          <cell r="B4967">
            <v>13.605499999999999</v>
          </cell>
          <cell r="C4967">
            <v>11.433884931506849</v>
          </cell>
        </row>
        <row r="4968">
          <cell r="B4968">
            <v>13.6082</v>
          </cell>
          <cell r="C4968">
            <v>11.434427397260274</v>
          </cell>
        </row>
        <row r="4969">
          <cell r="B4969">
            <v>13.611000000000001</v>
          </cell>
          <cell r="C4969">
            <v>11.4349698630137</v>
          </cell>
        </row>
        <row r="4970">
          <cell r="B4970">
            <v>13.6137</v>
          </cell>
          <cell r="C4970">
            <v>11.435512328767125</v>
          </cell>
        </row>
        <row r="4971">
          <cell r="B4971">
            <v>13.616400000000001</v>
          </cell>
          <cell r="C4971">
            <v>11.436054794520549</v>
          </cell>
        </row>
        <row r="4972">
          <cell r="B4972">
            <v>13.619199999999999</v>
          </cell>
          <cell r="C4972">
            <v>11.436597260273974</v>
          </cell>
        </row>
        <row r="4973">
          <cell r="B4973">
            <v>13.6219</v>
          </cell>
          <cell r="C4973">
            <v>11.437139726027398</v>
          </cell>
        </row>
        <row r="4974">
          <cell r="B4974">
            <v>13.624700000000001</v>
          </cell>
          <cell r="C4974">
            <v>11.437682191780823</v>
          </cell>
        </row>
        <row r="4975">
          <cell r="B4975">
            <v>13.6274</v>
          </cell>
          <cell r="C4975">
            <v>11.438224657534247</v>
          </cell>
        </row>
        <row r="4976">
          <cell r="B4976">
            <v>13.630100000000001</v>
          </cell>
          <cell r="C4976">
            <v>11.438767123287672</v>
          </cell>
        </row>
        <row r="4977">
          <cell r="B4977">
            <v>13.632899999999999</v>
          </cell>
          <cell r="C4977">
            <v>11.439309589041097</v>
          </cell>
        </row>
        <row r="4978">
          <cell r="B4978">
            <v>13.6356</v>
          </cell>
          <cell r="C4978">
            <v>11.439852054794521</v>
          </cell>
        </row>
        <row r="4979">
          <cell r="B4979">
            <v>13.638400000000001</v>
          </cell>
          <cell r="C4979">
            <v>11.440394520547946</v>
          </cell>
        </row>
        <row r="4980">
          <cell r="B4980">
            <v>13.6411</v>
          </cell>
          <cell r="C4980">
            <v>11.44093698630137</v>
          </cell>
        </row>
        <row r="4981">
          <cell r="B4981">
            <v>13.643800000000001</v>
          </cell>
          <cell r="C4981">
            <v>11.441479452054795</v>
          </cell>
        </row>
        <row r="4982">
          <cell r="B4982">
            <v>13.646599999999999</v>
          </cell>
          <cell r="C4982">
            <v>11.442021917808219</v>
          </cell>
        </row>
        <row r="4983">
          <cell r="B4983">
            <v>13.6493</v>
          </cell>
          <cell r="C4983">
            <v>11.442564383561646</v>
          </cell>
        </row>
        <row r="4984">
          <cell r="B4984">
            <v>13.652100000000001</v>
          </cell>
          <cell r="C4984">
            <v>11.44310684931507</v>
          </cell>
        </row>
        <row r="4985">
          <cell r="B4985">
            <v>13.6548</v>
          </cell>
          <cell r="C4985">
            <v>11.443649315068495</v>
          </cell>
        </row>
        <row r="4986">
          <cell r="B4986">
            <v>13.657500000000001</v>
          </cell>
          <cell r="C4986">
            <v>11.444191780821919</v>
          </cell>
        </row>
        <row r="4987">
          <cell r="B4987">
            <v>13.660299999999999</v>
          </cell>
          <cell r="C4987">
            <v>11.444734246575344</v>
          </cell>
        </row>
        <row r="4988">
          <cell r="B4988">
            <v>13.663</v>
          </cell>
          <cell r="C4988">
            <v>11.445276712328768</v>
          </cell>
        </row>
        <row r="4989">
          <cell r="B4989">
            <v>13.665800000000001</v>
          </cell>
          <cell r="C4989">
            <v>11.445819178082193</v>
          </cell>
        </row>
        <row r="4990">
          <cell r="B4990">
            <v>13.6685</v>
          </cell>
          <cell r="C4990">
            <v>11.446361643835617</v>
          </cell>
        </row>
        <row r="4991">
          <cell r="B4991">
            <v>13.671200000000001</v>
          </cell>
          <cell r="C4991">
            <v>11.446904109589042</v>
          </cell>
        </row>
        <row r="4992">
          <cell r="B4992">
            <v>13.673999999999999</v>
          </cell>
          <cell r="C4992">
            <v>11.447446575342466</v>
          </cell>
        </row>
        <row r="4993">
          <cell r="B4993">
            <v>13.6767</v>
          </cell>
          <cell r="C4993">
            <v>11.447989041095891</v>
          </cell>
        </row>
        <row r="4994">
          <cell r="B4994">
            <v>13.679500000000001</v>
          </cell>
          <cell r="C4994">
            <v>11.448531506849315</v>
          </cell>
        </row>
        <row r="4995">
          <cell r="B4995">
            <v>13.6822</v>
          </cell>
          <cell r="C4995">
            <v>11.44907397260274</v>
          </cell>
        </row>
        <row r="4996">
          <cell r="B4996">
            <v>13.684900000000001</v>
          </cell>
          <cell r="C4996">
            <v>11.449616438356164</v>
          </cell>
        </row>
        <row r="4997">
          <cell r="B4997">
            <v>13.6877</v>
          </cell>
          <cell r="C4997">
            <v>11.450158904109589</v>
          </cell>
        </row>
        <row r="4998">
          <cell r="B4998">
            <v>13.6904</v>
          </cell>
          <cell r="C4998">
            <v>11.450701369863015</v>
          </cell>
        </row>
        <row r="4999">
          <cell r="B4999">
            <v>13.693199999999999</v>
          </cell>
          <cell r="C4999">
            <v>11.45124383561644</v>
          </cell>
        </row>
        <row r="5000">
          <cell r="B5000">
            <v>13.6959</v>
          </cell>
          <cell r="C5000">
            <v>11.451786301369864</v>
          </cell>
        </row>
        <row r="5001">
          <cell r="B5001">
            <v>13.698600000000001</v>
          </cell>
          <cell r="C5001">
            <v>11.452328767123289</v>
          </cell>
        </row>
        <row r="5002">
          <cell r="B5002">
            <v>13.7014</v>
          </cell>
          <cell r="C5002">
            <v>11.452871232876713</v>
          </cell>
        </row>
        <row r="5003">
          <cell r="B5003">
            <v>13.7041</v>
          </cell>
          <cell r="C5003">
            <v>11.453413698630138</v>
          </cell>
        </row>
        <row r="5004">
          <cell r="B5004">
            <v>13.706799999999999</v>
          </cell>
          <cell r="C5004">
            <v>11.453956164383563</v>
          </cell>
        </row>
        <row r="5005">
          <cell r="B5005">
            <v>13.7096</v>
          </cell>
          <cell r="C5005">
            <v>11.454498630136987</v>
          </cell>
        </row>
        <row r="5006">
          <cell r="B5006">
            <v>13.712300000000001</v>
          </cell>
          <cell r="C5006">
            <v>11.455041095890412</v>
          </cell>
        </row>
        <row r="5007">
          <cell r="B5007">
            <v>13.7151</v>
          </cell>
          <cell r="C5007">
            <v>11.455583561643836</v>
          </cell>
        </row>
        <row r="5008">
          <cell r="B5008">
            <v>13.7178</v>
          </cell>
          <cell r="C5008">
            <v>11.456126027397261</v>
          </cell>
        </row>
        <row r="5009">
          <cell r="B5009">
            <v>13.720499999999999</v>
          </cell>
          <cell r="C5009">
            <v>11.456668493150685</v>
          </cell>
        </row>
        <row r="5010">
          <cell r="B5010">
            <v>13.7233</v>
          </cell>
          <cell r="C5010">
            <v>11.45721095890411</v>
          </cell>
        </row>
        <row r="5011">
          <cell r="B5011">
            <v>13.726000000000001</v>
          </cell>
          <cell r="C5011">
            <v>11.457753424657534</v>
          </cell>
        </row>
        <row r="5012">
          <cell r="B5012">
            <v>13.7288</v>
          </cell>
          <cell r="C5012">
            <v>11.458295890410959</v>
          </cell>
        </row>
        <row r="5013">
          <cell r="B5013">
            <v>13.7315</v>
          </cell>
          <cell r="C5013">
            <v>11.458838356164385</v>
          </cell>
        </row>
        <row r="5014">
          <cell r="B5014">
            <v>13.7342</v>
          </cell>
          <cell r="C5014">
            <v>11.45938082191781</v>
          </cell>
        </row>
        <row r="5015">
          <cell r="B5015">
            <v>13.737</v>
          </cell>
          <cell r="C5015">
            <v>11.459923287671234</v>
          </cell>
        </row>
        <row r="5016">
          <cell r="B5016">
            <v>13.739699999999999</v>
          </cell>
          <cell r="C5016">
            <v>11.460465753424659</v>
          </cell>
        </row>
        <row r="5017">
          <cell r="B5017">
            <v>13.7425</v>
          </cell>
          <cell r="C5017">
            <v>11.461008219178083</v>
          </cell>
        </row>
        <row r="5018">
          <cell r="B5018">
            <v>13.745200000000001</v>
          </cell>
          <cell r="C5018">
            <v>11.461550684931508</v>
          </cell>
        </row>
        <row r="5019">
          <cell r="B5019">
            <v>13.7479</v>
          </cell>
          <cell r="C5019">
            <v>11.462093150684932</v>
          </cell>
        </row>
        <row r="5020">
          <cell r="B5020">
            <v>13.7507</v>
          </cell>
          <cell r="C5020">
            <v>11.462635616438357</v>
          </cell>
        </row>
        <row r="5021">
          <cell r="B5021">
            <v>13.753399999999999</v>
          </cell>
          <cell r="C5021">
            <v>11.463178082191781</v>
          </cell>
        </row>
        <row r="5022">
          <cell r="B5022">
            <v>13.7562</v>
          </cell>
          <cell r="C5022">
            <v>11.463720547945206</v>
          </cell>
        </row>
        <row r="5023">
          <cell r="B5023">
            <v>13.758900000000001</v>
          </cell>
          <cell r="C5023">
            <v>11.464263013698631</v>
          </cell>
        </row>
        <row r="5024">
          <cell r="B5024">
            <v>13.7616</v>
          </cell>
          <cell r="C5024">
            <v>11.464805479452055</v>
          </cell>
        </row>
        <row r="5025">
          <cell r="B5025">
            <v>13.7644</v>
          </cell>
          <cell r="C5025">
            <v>11.46534794520548</v>
          </cell>
        </row>
        <row r="5026">
          <cell r="B5026">
            <v>13.767099999999999</v>
          </cell>
          <cell r="C5026">
            <v>11.465890410958904</v>
          </cell>
        </row>
        <row r="5027">
          <cell r="B5027">
            <v>13.7699</v>
          </cell>
          <cell r="C5027">
            <v>11.466432876712329</v>
          </cell>
        </row>
        <row r="5028">
          <cell r="B5028">
            <v>13.772600000000001</v>
          </cell>
          <cell r="C5028">
            <v>11.466975342465755</v>
          </cell>
        </row>
        <row r="5029">
          <cell r="B5029">
            <v>13.7753</v>
          </cell>
          <cell r="C5029">
            <v>11.46751780821918</v>
          </cell>
        </row>
        <row r="5030">
          <cell r="B5030">
            <v>13.7781</v>
          </cell>
          <cell r="C5030">
            <v>11.468060273972604</v>
          </cell>
        </row>
        <row r="5031">
          <cell r="B5031">
            <v>13.780799999999999</v>
          </cell>
          <cell r="C5031">
            <v>11.468602739726029</v>
          </cell>
        </row>
        <row r="5032">
          <cell r="B5032">
            <v>13.7836</v>
          </cell>
          <cell r="C5032">
            <v>11.469145205479453</v>
          </cell>
        </row>
        <row r="5033">
          <cell r="B5033">
            <v>13.786300000000001</v>
          </cell>
          <cell r="C5033">
            <v>11.469687671232878</v>
          </cell>
        </row>
        <row r="5034">
          <cell r="B5034">
            <v>13.789</v>
          </cell>
          <cell r="C5034">
            <v>11.470230136986302</v>
          </cell>
        </row>
        <row r="5035">
          <cell r="B5035">
            <v>13.7918</v>
          </cell>
          <cell r="C5035">
            <v>11.470772602739727</v>
          </cell>
        </row>
        <row r="5036">
          <cell r="B5036">
            <v>13.794499999999999</v>
          </cell>
          <cell r="C5036">
            <v>11.471315068493151</v>
          </cell>
        </row>
        <row r="5037">
          <cell r="B5037">
            <v>13.7973</v>
          </cell>
          <cell r="C5037">
            <v>11.471857534246576</v>
          </cell>
        </row>
        <row r="5038">
          <cell r="B5038">
            <v>13.8</v>
          </cell>
          <cell r="C5038">
            <v>11.4724</v>
          </cell>
        </row>
        <row r="5039">
          <cell r="B5039">
            <v>13.8027</v>
          </cell>
          <cell r="C5039">
            <v>11.472942465753425</v>
          </cell>
        </row>
        <row r="5040">
          <cell r="B5040">
            <v>13.8055</v>
          </cell>
          <cell r="C5040">
            <v>11.473484931506849</v>
          </cell>
        </row>
        <row r="5041">
          <cell r="B5041">
            <v>13.808199999999999</v>
          </cell>
          <cell r="C5041">
            <v>11.474027397260274</v>
          </cell>
        </row>
        <row r="5042">
          <cell r="B5042">
            <v>13.811</v>
          </cell>
          <cell r="C5042">
            <v>11.474569863013699</v>
          </cell>
        </row>
        <row r="5043">
          <cell r="B5043">
            <v>13.813700000000001</v>
          </cell>
          <cell r="C5043">
            <v>11.475112328767125</v>
          </cell>
        </row>
        <row r="5044">
          <cell r="B5044">
            <v>13.8164</v>
          </cell>
          <cell r="C5044">
            <v>11.475654794520549</v>
          </cell>
        </row>
        <row r="5045">
          <cell r="B5045">
            <v>13.8192</v>
          </cell>
          <cell r="C5045">
            <v>11.476197260273974</v>
          </cell>
        </row>
        <row r="5046">
          <cell r="B5046">
            <v>13.821899999999999</v>
          </cell>
          <cell r="C5046">
            <v>11.476739726027398</v>
          </cell>
        </row>
        <row r="5047">
          <cell r="B5047">
            <v>13.8247</v>
          </cell>
          <cell r="C5047">
            <v>11.477282191780823</v>
          </cell>
        </row>
        <row r="5048">
          <cell r="B5048">
            <v>13.827400000000001</v>
          </cell>
          <cell r="C5048">
            <v>11.477824657534248</v>
          </cell>
        </row>
        <row r="5049">
          <cell r="B5049">
            <v>13.8301</v>
          </cell>
          <cell r="C5049">
            <v>11.478367123287672</v>
          </cell>
        </row>
        <row r="5050">
          <cell r="B5050">
            <v>13.8329</v>
          </cell>
          <cell r="C5050">
            <v>11.478909589041097</v>
          </cell>
        </row>
        <row r="5051">
          <cell r="B5051">
            <v>13.835599999999999</v>
          </cell>
          <cell r="C5051">
            <v>11.479452054794521</v>
          </cell>
        </row>
        <row r="5052">
          <cell r="B5052">
            <v>13.8384</v>
          </cell>
          <cell r="C5052">
            <v>11.479994520547946</v>
          </cell>
        </row>
        <row r="5053">
          <cell r="B5053">
            <v>13.841100000000001</v>
          </cell>
          <cell r="C5053">
            <v>11.48053698630137</v>
          </cell>
        </row>
        <row r="5054">
          <cell r="B5054">
            <v>13.8438</v>
          </cell>
          <cell r="C5054">
            <v>11.481079452054795</v>
          </cell>
        </row>
        <row r="5055">
          <cell r="B5055">
            <v>13.8466</v>
          </cell>
          <cell r="C5055">
            <v>11.481621917808219</v>
          </cell>
        </row>
        <row r="5056">
          <cell r="B5056">
            <v>13.849299999999999</v>
          </cell>
          <cell r="C5056">
            <v>11.482164383561644</v>
          </cell>
        </row>
        <row r="5057">
          <cell r="B5057">
            <v>13.8521</v>
          </cell>
          <cell r="C5057">
            <v>11.482706849315068</v>
          </cell>
        </row>
        <row r="5058">
          <cell r="B5058">
            <v>13.854799999999999</v>
          </cell>
          <cell r="C5058">
            <v>11.483249315068495</v>
          </cell>
        </row>
        <row r="5059">
          <cell r="B5059">
            <v>13.8575</v>
          </cell>
          <cell r="C5059">
            <v>11.483791780821919</v>
          </cell>
        </row>
        <row r="5060">
          <cell r="B5060">
            <v>13.860300000000001</v>
          </cell>
          <cell r="C5060">
            <v>11.484334246575344</v>
          </cell>
        </row>
        <row r="5061">
          <cell r="B5061">
            <v>13.863</v>
          </cell>
          <cell r="C5061">
            <v>11.484876712328768</v>
          </cell>
        </row>
        <row r="5062">
          <cell r="B5062">
            <v>13.8658</v>
          </cell>
          <cell r="C5062">
            <v>11.485419178082193</v>
          </cell>
        </row>
        <row r="5063">
          <cell r="B5063">
            <v>13.868499999999999</v>
          </cell>
          <cell r="C5063">
            <v>11.485961643835617</v>
          </cell>
        </row>
        <row r="5064">
          <cell r="B5064">
            <v>13.8712</v>
          </cell>
          <cell r="C5064">
            <v>11.486504109589042</v>
          </cell>
        </row>
        <row r="5065">
          <cell r="B5065">
            <v>13.874000000000001</v>
          </cell>
          <cell r="C5065">
            <v>11.487046575342466</v>
          </cell>
        </row>
        <row r="5066">
          <cell r="B5066">
            <v>13.8767</v>
          </cell>
          <cell r="C5066">
            <v>11.487589041095891</v>
          </cell>
        </row>
        <row r="5067">
          <cell r="B5067">
            <v>13.8795</v>
          </cell>
          <cell r="C5067">
            <v>11.488131506849315</v>
          </cell>
        </row>
        <row r="5068">
          <cell r="B5068">
            <v>13.882199999999999</v>
          </cell>
          <cell r="C5068">
            <v>11.48867397260274</v>
          </cell>
        </row>
        <row r="5069">
          <cell r="B5069">
            <v>13.8849</v>
          </cell>
          <cell r="C5069">
            <v>11.489216438356165</v>
          </cell>
        </row>
        <row r="5070">
          <cell r="B5070">
            <v>13.887700000000001</v>
          </cell>
          <cell r="C5070">
            <v>11.489758904109589</v>
          </cell>
        </row>
        <row r="5071">
          <cell r="B5071">
            <v>13.8904</v>
          </cell>
          <cell r="C5071">
            <v>11.490301369863014</v>
          </cell>
        </row>
        <row r="5072">
          <cell r="B5072">
            <v>13.8932</v>
          </cell>
          <cell r="C5072">
            <v>11.49084383561644</v>
          </cell>
        </row>
        <row r="5073">
          <cell r="B5073">
            <v>13.895899999999999</v>
          </cell>
          <cell r="C5073">
            <v>11.491386301369864</v>
          </cell>
        </row>
        <row r="5074">
          <cell r="B5074">
            <v>13.8986</v>
          </cell>
          <cell r="C5074">
            <v>11.491928767123289</v>
          </cell>
        </row>
        <row r="5075">
          <cell r="B5075">
            <v>13.901400000000001</v>
          </cell>
          <cell r="C5075">
            <v>11.492471232876714</v>
          </cell>
        </row>
        <row r="5076">
          <cell r="B5076">
            <v>13.9041</v>
          </cell>
          <cell r="C5076">
            <v>11.493013698630138</v>
          </cell>
        </row>
        <row r="5077">
          <cell r="B5077">
            <v>13.9068</v>
          </cell>
          <cell r="C5077">
            <v>11.493556164383563</v>
          </cell>
        </row>
        <row r="5078">
          <cell r="B5078">
            <v>13.909599999999999</v>
          </cell>
          <cell r="C5078">
            <v>11.494098630136987</v>
          </cell>
        </row>
        <row r="5079">
          <cell r="B5079">
            <v>13.9123</v>
          </cell>
          <cell r="C5079">
            <v>11.494641095890412</v>
          </cell>
        </row>
        <row r="5080">
          <cell r="B5080">
            <v>13.915100000000001</v>
          </cell>
          <cell r="C5080">
            <v>11.495183561643836</v>
          </cell>
        </row>
        <row r="5081">
          <cell r="B5081">
            <v>13.9178</v>
          </cell>
          <cell r="C5081">
            <v>11.495726027397261</v>
          </cell>
        </row>
        <row r="5082">
          <cell r="B5082">
            <v>13.920500000000001</v>
          </cell>
          <cell r="C5082">
            <v>11.496268493150685</v>
          </cell>
        </row>
        <row r="5083">
          <cell r="B5083">
            <v>13.923299999999999</v>
          </cell>
          <cell r="C5083">
            <v>11.49681095890411</v>
          </cell>
        </row>
        <row r="5084">
          <cell r="B5084">
            <v>13.926</v>
          </cell>
          <cell r="C5084">
            <v>11.497353424657534</v>
          </cell>
        </row>
        <row r="5085">
          <cell r="B5085">
            <v>13.928800000000001</v>
          </cell>
          <cell r="C5085">
            <v>11.497895890410959</v>
          </cell>
        </row>
        <row r="5086">
          <cell r="B5086">
            <v>13.9315</v>
          </cell>
          <cell r="C5086">
            <v>11.498438356164385</v>
          </cell>
        </row>
        <row r="5087">
          <cell r="B5087">
            <v>13.934200000000001</v>
          </cell>
          <cell r="C5087">
            <v>11.49898082191781</v>
          </cell>
        </row>
        <row r="5088">
          <cell r="B5088">
            <v>13.936999999999999</v>
          </cell>
          <cell r="C5088">
            <v>11.499523287671234</v>
          </cell>
        </row>
        <row r="5089">
          <cell r="B5089">
            <v>13.9397</v>
          </cell>
          <cell r="C5089">
            <v>11.500065753424659</v>
          </cell>
        </row>
        <row r="5090">
          <cell r="B5090">
            <v>13.942500000000001</v>
          </cell>
          <cell r="C5090">
            <v>11.500608219178083</v>
          </cell>
        </row>
        <row r="5091">
          <cell r="B5091">
            <v>13.9452</v>
          </cell>
          <cell r="C5091">
            <v>11.501150684931508</v>
          </cell>
        </row>
        <row r="5092">
          <cell r="B5092">
            <v>13.947900000000001</v>
          </cell>
          <cell r="C5092">
            <v>11.501693150684932</v>
          </cell>
        </row>
        <row r="5093">
          <cell r="B5093">
            <v>13.950699999999999</v>
          </cell>
          <cell r="C5093">
            <v>11.502235616438357</v>
          </cell>
        </row>
        <row r="5094">
          <cell r="B5094">
            <v>13.9534</v>
          </cell>
          <cell r="C5094">
            <v>11.502778082191782</v>
          </cell>
        </row>
        <row r="5095">
          <cell r="B5095">
            <v>13.956200000000001</v>
          </cell>
          <cell r="C5095">
            <v>11.503320547945206</v>
          </cell>
        </row>
        <row r="5096">
          <cell r="B5096">
            <v>13.9589</v>
          </cell>
          <cell r="C5096">
            <v>11.503863013698631</v>
          </cell>
        </row>
        <row r="5097">
          <cell r="B5097">
            <v>13.961600000000001</v>
          </cell>
          <cell r="C5097">
            <v>11.504405479452055</v>
          </cell>
        </row>
        <row r="5098">
          <cell r="B5098">
            <v>13.964399999999999</v>
          </cell>
          <cell r="C5098">
            <v>11.50494794520548</v>
          </cell>
        </row>
        <row r="5099">
          <cell r="B5099">
            <v>13.9671</v>
          </cell>
          <cell r="C5099">
            <v>11.505490410958904</v>
          </cell>
        </row>
        <row r="5100">
          <cell r="B5100">
            <v>13.969900000000001</v>
          </cell>
          <cell r="C5100">
            <v>11.506032876712329</v>
          </cell>
        </row>
        <row r="5101">
          <cell r="B5101">
            <v>13.9726</v>
          </cell>
          <cell r="C5101">
            <v>11.506575342465755</v>
          </cell>
        </row>
        <row r="5102">
          <cell r="B5102">
            <v>13.975300000000001</v>
          </cell>
          <cell r="C5102">
            <v>11.50711780821918</v>
          </cell>
        </row>
        <row r="5103">
          <cell r="B5103">
            <v>13.9781</v>
          </cell>
          <cell r="C5103">
            <v>11.507660273972604</v>
          </cell>
        </row>
        <row r="5104">
          <cell r="B5104">
            <v>13.9808</v>
          </cell>
          <cell r="C5104">
            <v>11.508202739726029</v>
          </cell>
        </row>
        <row r="5105">
          <cell r="B5105">
            <v>13.983599999999999</v>
          </cell>
          <cell r="C5105">
            <v>11.508745205479453</v>
          </cell>
        </row>
        <row r="5106">
          <cell r="B5106">
            <v>13.9863</v>
          </cell>
          <cell r="C5106">
            <v>11.509287671232878</v>
          </cell>
        </row>
        <row r="5107">
          <cell r="B5107">
            <v>13.989000000000001</v>
          </cell>
          <cell r="C5107">
            <v>11.509830136986302</v>
          </cell>
        </row>
        <row r="5108">
          <cell r="B5108">
            <v>13.9918</v>
          </cell>
          <cell r="C5108">
            <v>11.510372602739727</v>
          </cell>
        </row>
        <row r="5109">
          <cell r="B5109">
            <v>13.9945</v>
          </cell>
          <cell r="C5109">
            <v>11.510915068493151</v>
          </cell>
        </row>
        <row r="5110">
          <cell r="B5110">
            <v>13.997299999999999</v>
          </cell>
          <cell r="C5110">
            <v>11.511457534246576</v>
          </cell>
        </row>
        <row r="5111">
          <cell r="B5111">
            <v>14</v>
          </cell>
          <cell r="C5111">
            <v>11.512</v>
          </cell>
        </row>
        <row r="5112">
          <cell r="B5112">
            <v>14.002700000000001</v>
          </cell>
          <cell r="C5112">
            <v>11.512542465753425</v>
          </cell>
        </row>
        <row r="5113">
          <cell r="B5113">
            <v>14.0055</v>
          </cell>
          <cell r="C5113">
            <v>11.51308493150685</v>
          </cell>
        </row>
        <row r="5114">
          <cell r="B5114">
            <v>14.0082</v>
          </cell>
          <cell r="C5114">
            <v>11.513627397260274</v>
          </cell>
        </row>
        <row r="5115">
          <cell r="B5115">
            <v>14.010999999999999</v>
          </cell>
          <cell r="C5115">
            <v>11.514169863013699</v>
          </cell>
        </row>
        <row r="5116">
          <cell r="B5116">
            <v>14.0137</v>
          </cell>
          <cell r="C5116">
            <v>11.514712328767125</v>
          </cell>
        </row>
        <row r="5117">
          <cell r="B5117">
            <v>14.016400000000001</v>
          </cell>
          <cell r="C5117">
            <v>11.515254794520549</v>
          </cell>
        </row>
        <row r="5118">
          <cell r="B5118">
            <v>14.0192</v>
          </cell>
          <cell r="C5118">
            <v>11.515797260273974</v>
          </cell>
        </row>
        <row r="5119">
          <cell r="B5119">
            <v>14.0219</v>
          </cell>
          <cell r="C5119">
            <v>11.516339726027399</v>
          </cell>
        </row>
        <row r="5120">
          <cell r="B5120">
            <v>14.024699999999999</v>
          </cell>
          <cell r="C5120">
            <v>11.516882191780823</v>
          </cell>
        </row>
        <row r="5121">
          <cell r="B5121">
            <v>14.0274</v>
          </cell>
          <cell r="C5121">
            <v>11.517424657534248</v>
          </cell>
        </row>
        <row r="5122">
          <cell r="B5122">
            <v>14.030099999999999</v>
          </cell>
          <cell r="C5122">
            <v>11.517967123287672</v>
          </cell>
        </row>
        <row r="5123">
          <cell r="B5123">
            <v>14.0329</v>
          </cell>
          <cell r="C5123">
            <v>11.518509589041097</v>
          </cell>
        </row>
        <row r="5124">
          <cell r="B5124">
            <v>14.035600000000001</v>
          </cell>
          <cell r="C5124">
            <v>11.519052054794521</v>
          </cell>
        </row>
        <row r="5125">
          <cell r="B5125">
            <v>14.038399999999999</v>
          </cell>
          <cell r="C5125">
            <v>11.519594520547946</v>
          </cell>
        </row>
        <row r="5126">
          <cell r="B5126">
            <v>14.0411</v>
          </cell>
          <cell r="C5126">
            <v>11.52013698630137</v>
          </cell>
        </row>
        <row r="5127">
          <cell r="B5127">
            <v>14.043799999999999</v>
          </cell>
          <cell r="C5127">
            <v>11.520679452054795</v>
          </cell>
        </row>
        <row r="5128">
          <cell r="B5128">
            <v>14.0466</v>
          </cell>
          <cell r="C5128">
            <v>11.521221917808219</v>
          </cell>
        </row>
        <row r="5129">
          <cell r="B5129">
            <v>14.049300000000001</v>
          </cell>
          <cell r="C5129">
            <v>11.521764383561644</v>
          </cell>
        </row>
        <row r="5130">
          <cell r="B5130">
            <v>14.052099999999999</v>
          </cell>
          <cell r="C5130">
            <v>11.522306849315068</v>
          </cell>
        </row>
        <row r="5131">
          <cell r="B5131">
            <v>14.0548</v>
          </cell>
          <cell r="C5131">
            <v>11.522849315068495</v>
          </cell>
        </row>
        <row r="5132">
          <cell r="B5132">
            <v>14.057499999999999</v>
          </cell>
          <cell r="C5132">
            <v>11.523391780821919</v>
          </cell>
        </row>
        <row r="5133">
          <cell r="B5133">
            <v>14.0603</v>
          </cell>
          <cell r="C5133">
            <v>11.523934246575344</v>
          </cell>
        </row>
        <row r="5134">
          <cell r="B5134">
            <v>14.063000000000001</v>
          </cell>
          <cell r="C5134">
            <v>11.524476712328768</v>
          </cell>
        </row>
        <row r="5135">
          <cell r="B5135">
            <v>14.065799999999999</v>
          </cell>
          <cell r="C5135">
            <v>11.525019178082193</v>
          </cell>
        </row>
        <row r="5136">
          <cell r="B5136">
            <v>14.0685</v>
          </cell>
          <cell r="C5136">
            <v>11.525561643835617</v>
          </cell>
        </row>
        <row r="5137">
          <cell r="B5137">
            <v>14.071199999999999</v>
          </cell>
          <cell r="C5137">
            <v>11.526104109589042</v>
          </cell>
        </row>
        <row r="5138">
          <cell r="B5138">
            <v>14.074</v>
          </cell>
          <cell r="C5138">
            <v>11.526646575342467</v>
          </cell>
        </row>
        <row r="5139">
          <cell r="B5139">
            <v>14.076700000000001</v>
          </cell>
          <cell r="C5139">
            <v>11.527189041095891</v>
          </cell>
        </row>
        <row r="5140">
          <cell r="B5140">
            <v>14.079499999999999</v>
          </cell>
          <cell r="C5140">
            <v>11.527731506849316</v>
          </cell>
        </row>
        <row r="5141">
          <cell r="B5141">
            <v>14.0822</v>
          </cell>
          <cell r="C5141">
            <v>11.52827397260274</v>
          </cell>
        </row>
        <row r="5142">
          <cell r="B5142">
            <v>14.084899999999999</v>
          </cell>
          <cell r="C5142">
            <v>11.528816438356165</v>
          </cell>
        </row>
        <row r="5143">
          <cell r="B5143">
            <v>14.0877</v>
          </cell>
          <cell r="C5143">
            <v>11.529358904109589</v>
          </cell>
        </row>
        <row r="5144">
          <cell r="B5144">
            <v>14.090400000000001</v>
          </cell>
          <cell r="C5144">
            <v>11.529901369863014</v>
          </cell>
        </row>
        <row r="5145">
          <cell r="B5145">
            <v>14.0932</v>
          </cell>
          <cell r="C5145">
            <v>11.530443835616438</v>
          </cell>
        </row>
        <row r="5146">
          <cell r="B5146">
            <v>14.0959</v>
          </cell>
          <cell r="C5146">
            <v>11.530986301369865</v>
          </cell>
        </row>
        <row r="5147">
          <cell r="B5147">
            <v>14.098599999999999</v>
          </cell>
          <cell r="C5147">
            <v>11.531528767123289</v>
          </cell>
        </row>
        <row r="5148">
          <cell r="B5148">
            <v>14.1014</v>
          </cell>
          <cell r="C5148">
            <v>11.532071232876714</v>
          </cell>
        </row>
        <row r="5149">
          <cell r="B5149">
            <v>14.104100000000001</v>
          </cell>
          <cell r="C5149">
            <v>11.532613698630138</v>
          </cell>
        </row>
        <row r="5150">
          <cell r="B5150">
            <v>14.1068</v>
          </cell>
          <cell r="C5150">
            <v>11.533156164383563</v>
          </cell>
        </row>
        <row r="5151">
          <cell r="B5151">
            <v>14.1096</v>
          </cell>
          <cell r="C5151">
            <v>11.533698630136987</v>
          </cell>
        </row>
        <row r="5152">
          <cell r="B5152">
            <v>14.112299999999999</v>
          </cell>
          <cell r="C5152">
            <v>11.534241095890412</v>
          </cell>
        </row>
        <row r="5153">
          <cell r="B5153">
            <v>14.1151</v>
          </cell>
          <cell r="C5153">
            <v>11.534783561643836</v>
          </cell>
        </row>
        <row r="5154">
          <cell r="B5154">
            <v>14.117800000000001</v>
          </cell>
          <cell r="C5154">
            <v>11.535326027397261</v>
          </cell>
        </row>
        <row r="5155">
          <cell r="B5155">
            <v>14.1205</v>
          </cell>
          <cell r="C5155">
            <v>11.535868493150685</v>
          </cell>
        </row>
        <row r="5156">
          <cell r="B5156">
            <v>14.1233</v>
          </cell>
          <cell r="C5156">
            <v>11.53641095890411</v>
          </cell>
        </row>
        <row r="5157">
          <cell r="B5157">
            <v>14.125999999999999</v>
          </cell>
          <cell r="C5157">
            <v>11.536953424657534</v>
          </cell>
        </row>
        <row r="5158">
          <cell r="B5158">
            <v>14.1288</v>
          </cell>
          <cell r="C5158">
            <v>11.537495890410959</v>
          </cell>
        </row>
        <row r="5159">
          <cell r="B5159">
            <v>14.131500000000001</v>
          </cell>
          <cell r="C5159">
            <v>11.538038356164384</v>
          </cell>
        </row>
        <row r="5160">
          <cell r="B5160">
            <v>14.1342</v>
          </cell>
          <cell r="C5160">
            <v>11.538580821917808</v>
          </cell>
        </row>
        <row r="5161">
          <cell r="B5161">
            <v>14.137</v>
          </cell>
          <cell r="C5161">
            <v>11.539123287671234</v>
          </cell>
        </row>
        <row r="5162">
          <cell r="B5162">
            <v>14.139699999999999</v>
          </cell>
          <cell r="C5162">
            <v>11.539665753424659</v>
          </cell>
        </row>
        <row r="5163">
          <cell r="B5163">
            <v>14.1425</v>
          </cell>
          <cell r="C5163">
            <v>11.540208219178083</v>
          </cell>
        </row>
        <row r="5164">
          <cell r="B5164">
            <v>14.145200000000001</v>
          </cell>
          <cell r="C5164">
            <v>11.540750684931508</v>
          </cell>
        </row>
        <row r="5165">
          <cell r="B5165">
            <v>14.1479</v>
          </cell>
          <cell r="C5165">
            <v>11.541293150684933</v>
          </cell>
        </row>
        <row r="5166">
          <cell r="B5166">
            <v>14.150700000000001</v>
          </cell>
          <cell r="C5166">
            <v>11.541835616438357</v>
          </cell>
        </row>
        <row r="5167">
          <cell r="B5167">
            <v>14.1534</v>
          </cell>
          <cell r="C5167">
            <v>11.542378082191782</v>
          </cell>
        </row>
        <row r="5168">
          <cell r="B5168">
            <v>14.1562</v>
          </cell>
          <cell r="C5168">
            <v>11.542920547945206</v>
          </cell>
        </row>
        <row r="5169">
          <cell r="B5169">
            <v>14.158899999999999</v>
          </cell>
          <cell r="C5169">
            <v>11.543463013698631</v>
          </cell>
        </row>
        <row r="5170">
          <cell r="B5170">
            <v>14.1616</v>
          </cell>
          <cell r="C5170">
            <v>11.544005479452055</v>
          </cell>
        </row>
        <row r="5171">
          <cell r="B5171">
            <v>14.164400000000001</v>
          </cell>
          <cell r="C5171">
            <v>11.54454794520548</v>
          </cell>
        </row>
        <row r="5172">
          <cell r="B5172">
            <v>14.1671</v>
          </cell>
          <cell r="C5172">
            <v>11.545090410958904</v>
          </cell>
        </row>
        <row r="5173">
          <cell r="B5173">
            <v>14.1699</v>
          </cell>
          <cell r="C5173">
            <v>11.545632876712329</v>
          </cell>
        </row>
        <row r="5174">
          <cell r="B5174">
            <v>14.172599999999999</v>
          </cell>
          <cell r="C5174">
            <v>11.546175342465753</v>
          </cell>
        </row>
        <row r="5175">
          <cell r="B5175">
            <v>14.1753</v>
          </cell>
          <cell r="C5175">
            <v>11.546717808219178</v>
          </cell>
        </row>
        <row r="5176">
          <cell r="B5176">
            <v>14.178100000000001</v>
          </cell>
          <cell r="C5176">
            <v>11.547260273972604</v>
          </cell>
        </row>
        <row r="5177">
          <cell r="B5177">
            <v>14.1808</v>
          </cell>
          <cell r="C5177">
            <v>11.547802739726029</v>
          </cell>
        </row>
        <row r="5178">
          <cell r="B5178">
            <v>14.1836</v>
          </cell>
          <cell r="C5178">
            <v>11.548345205479453</v>
          </cell>
        </row>
        <row r="5179">
          <cell r="B5179">
            <v>14.186299999999999</v>
          </cell>
          <cell r="C5179">
            <v>11.548887671232878</v>
          </cell>
        </row>
        <row r="5180">
          <cell r="B5180">
            <v>14.189</v>
          </cell>
          <cell r="C5180">
            <v>11.549430136986302</v>
          </cell>
        </row>
        <row r="5181">
          <cell r="B5181">
            <v>14.191800000000001</v>
          </cell>
          <cell r="C5181">
            <v>11.549972602739727</v>
          </cell>
        </row>
        <row r="5182">
          <cell r="B5182">
            <v>14.1945</v>
          </cell>
          <cell r="C5182">
            <v>11.550515068493151</v>
          </cell>
        </row>
        <row r="5183">
          <cell r="B5183">
            <v>14.1973</v>
          </cell>
          <cell r="C5183">
            <v>11.551057534246576</v>
          </cell>
        </row>
        <row r="5184">
          <cell r="B5184">
            <v>14.2</v>
          </cell>
          <cell r="C5184">
            <v>11.551600000000001</v>
          </cell>
        </row>
        <row r="5185">
          <cell r="B5185">
            <v>14.2027</v>
          </cell>
          <cell r="C5185">
            <v>11.552142465753425</v>
          </cell>
        </row>
        <row r="5186">
          <cell r="B5186">
            <v>14.205500000000001</v>
          </cell>
          <cell r="C5186">
            <v>11.55268493150685</v>
          </cell>
        </row>
        <row r="5187">
          <cell r="B5187">
            <v>14.2082</v>
          </cell>
          <cell r="C5187">
            <v>11.553227397260274</v>
          </cell>
        </row>
        <row r="5188">
          <cell r="B5188">
            <v>14.211</v>
          </cell>
          <cell r="C5188">
            <v>11.553769863013699</v>
          </cell>
        </row>
        <row r="5189">
          <cell r="B5189">
            <v>14.213699999999999</v>
          </cell>
          <cell r="C5189">
            <v>11.554312328767125</v>
          </cell>
        </row>
        <row r="5190">
          <cell r="B5190">
            <v>14.2164</v>
          </cell>
          <cell r="C5190">
            <v>11.55485479452055</v>
          </cell>
        </row>
        <row r="5191">
          <cell r="B5191">
            <v>14.219200000000001</v>
          </cell>
          <cell r="C5191">
            <v>11.555397260273974</v>
          </cell>
        </row>
        <row r="5192">
          <cell r="B5192">
            <v>14.2219</v>
          </cell>
          <cell r="C5192">
            <v>11.555939726027399</v>
          </cell>
        </row>
        <row r="5193">
          <cell r="B5193">
            <v>14.2247</v>
          </cell>
          <cell r="C5193">
            <v>11.556482191780823</v>
          </cell>
        </row>
        <row r="5194">
          <cell r="B5194">
            <v>14.227399999999999</v>
          </cell>
          <cell r="C5194">
            <v>11.557024657534248</v>
          </cell>
        </row>
        <row r="5195">
          <cell r="B5195">
            <v>14.2301</v>
          </cell>
          <cell r="C5195">
            <v>11.557567123287672</v>
          </cell>
        </row>
        <row r="5196">
          <cell r="B5196">
            <v>14.232900000000001</v>
          </cell>
          <cell r="C5196">
            <v>11.558109589041097</v>
          </cell>
        </row>
        <row r="5197">
          <cell r="B5197">
            <v>14.2356</v>
          </cell>
          <cell r="C5197">
            <v>11.558652054794521</v>
          </cell>
        </row>
        <row r="5198">
          <cell r="B5198">
            <v>14.2384</v>
          </cell>
          <cell r="C5198">
            <v>11.559194520547946</v>
          </cell>
        </row>
        <row r="5199">
          <cell r="B5199">
            <v>14.241099999999999</v>
          </cell>
          <cell r="C5199">
            <v>11.55973698630137</v>
          </cell>
        </row>
        <row r="5200">
          <cell r="B5200">
            <v>14.2438</v>
          </cell>
          <cell r="C5200">
            <v>11.560279452054795</v>
          </cell>
        </row>
        <row r="5201">
          <cell r="B5201">
            <v>14.246600000000001</v>
          </cell>
          <cell r="C5201">
            <v>11.560821917808219</v>
          </cell>
        </row>
        <row r="5202">
          <cell r="B5202">
            <v>14.2493</v>
          </cell>
          <cell r="C5202">
            <v>11.561364383561644</v>
          </cell>
        </row>
        <row r="5203">
          <cell r="B5203">
            <v>14.2521</v>
          </cell>
          <cell r="C5203">
            <v>11.561906849315069</v>
          </cell>
        </row>
        <row r="5204">
          <cell r="B5204">
            <v>14.254799999999999</v>
          </cell>
          <cell r="C5204">
            <v>11.562449315068495</v>
          </cell>
        </row>
        <row r="5205">
          <cell r="B5205">
            <v>14.2575</v>
          </cell>
          <cell r="C5205">
            <v>11.562991780821919</v>
          </cell>
        </row>
        <row r="5206">
          <cell r="B5206">
            <v>14.260300000000001</v>
          </cell>
          <cell r="C5206">
            <v>11.563534246575344</v>
          </cell>
        </row>
        <row r="5207">
          <cell r="B5207">
            <v>14.263</v>
          </cell>
          <cell r="C5207">
            <v>11.564076712328768</v>
          </cell>
        </row>
        <row r="5208">
          <cell r="B5208">
            <v>14.2658</v>
          </cell>
          <cell r="C5208">
            <v>11.564619178082193</v>
          </cell>
        </row>
        <row r="5209">
          <cell r="B5209">
            <v>14.2685</v>
          </cell>
          <cell r="C5209">
            <v>11.565161643835618</v>
          </cell>
        </row>
        <row r="5210">
          <cell r="B5210">
            <v>14.2712</v>
          </cell>
          <cell r="C5210">
            <v>11.565704109589042</v>
          </cell>
        </row>
        <row r="5211">
          <cell r="B5211">
            <v>14.273999999999999</v>
          </cell>
          <cell r="C5211">
            <v>11.566246575342467</v>
          </cell>
        </row>
        <row r="5212">
          <cell r="B5212">
            <v>14.2767</v>
          </cell>
          <cell r="C5212">
            <v>11.566789041095891</v>
          </cell>
        </row>
        <row r="5213">
          <cell r="B5213">
            <v>14.279500000000001</v>
          </cell>
          <cell r="C5213">
            <v>11.567331506849316</v>
          </cell>
        </row>
        <row r="5214">
          <cell r="B5214">
            <v>14.2822</v>
          </cell>
          <cell r="C5214">
            <v>11.56787397260274</v>
          </cell>
        </row>
        <row r="5215">
          <cell r="B5215">
            <v>14.2849</v>
          </cell>
          <cell r="C5215">
            <v>11.568416438356165</v>
          </cell>
        </row>
        <row r="5216">
          <cell r="B5216">
            <v>14.287699999999999</v>
          </cell>
          <cell r="C5216">
            <v>11.568958904109589</v>
          </cell>
        </row>
        <row r="5217">
          <cell r="B5217">
            <v>14.2904</v>
          </cell>
          <cell r="C5217">
            <v>11.569501369863014</v>
          </cell>
        </row>
        <row r="5218">
          <cell r="B5218">
            <v>14.293200000000001</v>
          </cell>
          <cell r="C5218">
            <v>11.570043835616438</v>
          </cell>
        </row>
        <row r="5219">
          <cell r="B5219">
            <v>14.2959</v>
          </cell>
          <cell r="C5219">
            <v>11.570586301369865</v>
          </cell>
        </row>
        <row r="5220">
          <cell r="B5220">
            <v>14.2986</v>
          </cell>
          <cell r="C5220">
            <v>11.571128767123289</v>
          </cell>
        </row>
        <row r="5221">
          <cell r="B5221">
            <v>14.301399999999999</v>
          </cell>
          <cell r="C5221">
            <v>11.571671232876714</v>
          </cell>
        </row>
        <row r="5222">
          <cell r="B5222">
            <v>14.3041</v>
          </cell>
          <cell r="C5222">
            <v>11.572213698630138</v>
          </cell>
        </row>
        <row r="5223">
          <cell r="B5223">
            <v>14.306800000000001</v>
          </cell>
          <cell r="C5223">
            <v>11.572756164383563</v>
          </cell>
        </row>
        <row r="5224">
          <cell r="B5224">
            <v>14.3096</v>
          </cell>
          <cell r="C5224">
            <v>11.573298630136987</v>
          </cell>
        </row>
        <row r="5225">
          <cell r="B5225">
            <v>14.3123</v>
          </cell>
          <cell r="C5225">
            <v>11.573841095890412</v>
          </cell>
        </row>
        <row r="5226">
          <cell r="B5226">
            <v>14.315099999999999</v>
          </cell>
          <cell r="C5226">
            <v>11.574383561643836</v>
          </cell>
        </row>
        <row r="5227">
          <cell r="B5227">
            <v>14.3178</v>
          </cell>
          <cell r="C5227">
            <v>11.574926027397261</v>
          </cell>
        </row>
        <row r="5228">
          <cell r="B5228">
            <v>14.320499999999999</v>
          </cell>
          <cell r="C5228">
            <v>11.575468493150685</v>
          </cell>
        </row>
        <row r="5229">
          <cell r="B5229">
            <v>14.3233</v>
          </cell>
          <cell r="C5229">
            <v>11.57601095890411</v>
          </cell>
        </row>
        <row r="5230">
          <cell r="B5230">
            <v>14.326000000000001</v>
          </cell>
          <cell r="C5230">
            <v>11.576553424657535</v>
          </cell>
        </row>
        <row r="5231">
          <cell r="B5231">
            <v>14.328799999999999</v>
          </cell>
          <cell r="C5231">
            <v>11.577095890410959</v>
          </cell>
        </row>
        <row r="5232">
          <cell r="B5232">
            <v>14.3315</v>
          </cell>
          <cell r="C5232">
            <v>11.577638356164384</v>
          </cell>
        </row>
        <row r="5233">
          <cell r="B5233">
            <v>14.334199999999999</v>
          </cell>
          <cell r="C5233">
            <v>11.578180821917808</v>
          </cell>
        </row>
        <row r="5234">
          <cell r="B5234">
            <v>14.337</v>
          </cell>
          <cell r="C5234">
            <v>11.578723287671234</v>
          </cell>
        </row>
        <row r="5235">
          <cell r="B5235">
            <v>14.339700000000001</v>
          </cell>
          <cell r="C5235">
            <v>11.579265753424659</v>
          </cell>
        </row>
        <row r="5236">
          <cell r="B5236">
            <v>14.342499999999999</v>
          </cell>
          <cell r="C5236">
            <v>11.579808219178084</v>
          </cell>
        </row>
        <row r="5237">
          <cell r="B5237">
            <v>14.3452</v>
          </cell>
          <cell r="C5237">
            <v>11.580350684931508</v>
          </cell>
        </row>
        <row r="5238">
          <cell r="B5238">
            <v>14.347899999999999</v>
          </cell>
          <cell r="C5238">
            <v>11.580893150684933</v>
          </cell>
        </row>
        <row r="5239">
          <cell r="B5239">
            <v>14.3507</v>
          </cell>
          <cell r="C5239">
            <v>11.581435616438357</v>
          </cell>
        </row>
        <row r="5240">
          <cell r="B5240">
            <v>14.353400000000001</v>
          </cell>
          <cell r="C5240">
            <v>11.581978082191782</v>
          </cell>
        </row>
        <row r="5241">
          <cell r="B5241">
            <v>14.356199999999999</v>
          </cell>
          <cell r="C5241">
            <v>11.582520547945206</v>
          </cell>
        </row>
        <row r="5242">
          <cell r="B5242">
            <v>14.3589</v>
          </cell>
          <cell r="C5242">
            <v>11.583063013698631</v>
          </cell>
        </row>
        <row r="5243">
          <cell r="B5243">
            <v>14.361599999999999</v>
          </cell>
          <cell r="C5243">
            <v>11.583605479452055</v>
          </cell>
        </row>
        <row r="5244">
          <cell r="B5244">
            <v>14.3644</v>
          </cell>
          <cell r="C5244">
            <v>11.58414794520548</v>
          </cell>
        </row>
        <row r="5245">
          <cell r="B5245">
            <v>14.367100000000001</v>
          </cell>
          <cell r="C5245">
            <v>11.584690410958904</v>
          </cell>
        </row>
        <row r="5246">
          <cell r="B5246">
            <v>14.369899999999999</v>
          </cell>
          <cell r="C5246">
            <v>11.585232876712329</v>
          </cell>
        </row>
        <row r="5247">
          <cell r="B5247">
            <v>14.3726</v>
          </cell>
          <cell r="C5247">
            <v>11.585775342465753</v>
          </cell>
        </row>
        <row r="5248">
          <cell r="B5248">
            <v>14.375299999999999</v>
          </cell>
          <cell r="C5248">
            <v>11.586317808219178</v>
          </cell>
        </row>
        <row r="5249">
          <cell r="B5249">
            <v>14.3781</v>
          </cell>
          <cell r="C5249">
            <v>11.586860273972604</v>
          </cell>
        </row>
        <row r="5250">
          <cell r="B5250">
            <v>14.380800000000001</v>
          </cell>
          <cell r="C5250">
            <v>11.587402739726029</v>
          </cell>
        </row>
        <row r="5251">
          <cell r="B5251">
            <v>14.383599999999999</v>
          </cell>
          <cell r="C5251">
            <v>11.587945205479453</v>
          </cell>
        </row>
        <row r="5252">
          <cell r="B5252">
            <v>14.3863</v>
          </cell>
          <cell r="C5252">
            <v>11.588487671232878</v>
          </cell>
        </row>
        <row r="5253">
          <cell r="B5253">
            <v>14.388999999999999</v>
          </cell>
          <cell r="C5253">
            <v>11.589030136986302</v>
          </cell>
        </row>
        <row r="5254">
          <cell r="B5254">
            <v>14.3918</v>
          </cell>
          <cell r="C5254">
            <v>11.589572602739727</v>
          </cell>
        </row>
        <row r="5255">
          <cell r="B5255">
            <v>14.394500000000001</v>
          </cell>
          <cell r="C5255">
            <v>11.590115068493152</v>
          </cell>
        </row>
        <row r="5256">
          <cell r="B5256">
            <v>14.3973</v>
          </cell>
          <cell r="C5256">
            <v>11.590657534246576</v>
          </cell>
        </row>
        <row r="5257">
          <cell r="B5257">
            <v>14.4</v>
          </cell>
          <cell r="C5257">
            <v>11.591200000000001</v>
          </cell>
        </row>
        <row r="5258">
          <cell r="B5258">
            <v>14.402699999999999</v>
          </cell>
          <cell r="C5258">
            <v>11.591742465753425</v>
          </cell>
        </row>
        <row r="5259">
          <cell r="B5259">
            <v>14.4055</v>
          </cell>
          <cell r="C5259">
            <v>11.59228493150685</v>
          </cell>
        </row>
        <row r="5260">
          <cell r="B5260">
            <v>14.408200000000001</v>
          </cell>
          <cell r="C5260">
            <v>11.592827397260274</v>
          </cell>
        </row>
        <row r="5261">
          <cell r="B5261">
            <v>14.411</v>
          </cell>
          <cell r="C5261">
            <v>11.593369863013699</v>
          </cell>
        </row>
        <row r="5262">
          <cell r="B5262">
            <v>14.4137</v>
          </cell>
          <cell r="C5262">
            <v>11.593912328767123</v>
          </cell>
        </row>
        <row r="5263">
          <cell r="B5263">
            <v>14.416399999999999</v>
          </cell>
          <cell r="C5263">
            <v>11.594454794520548</v>
          </cell>
        </row>
        <row r="5264">
          <cell r="B5264">
            <v>14.4192</v>
          </cell>
          <cell r="C5264">
            <v>11.594997260273974</v>
          </cell>
        </row>
        <row r="5265">
          <cell r="B5265">
            <v>14.421900000000001</v>
          </cell>
          <cell r="C5265">
            <v>11.595539726027399</v>
          </cell>
        </row>
        <row r="5266">
          <cell r="B5266">
            <v>14.4247</v>
          </cell>
          <cell r="C5266">
            <v>11.596082191780823</v>
          </cell>
        </row>
        <row r="5267">
          <cell r="B5267">
            <v>14.4274</v>
          </cell>
          <cell r="C5267">
            <v>11.596624657534248</v>
          </cell>
        </row>
        <row r="5268">
          <cell r="B5268">
            <v>14.430099999999999</v>
          </cell>
          <cell r="C5268">
            <v>11.597167123287672</v>
          </cell>
        </row>
        <row r="5269">
          <cell r="B5269">
            <v>14.4329</v>
          </cell>
          <cell r="C5269">
            <v>11.597709589041097</v>
          </cell>
        </row>
        <row r="5270">
          <cell r="B5270">
            <v>14.435600000000001</v>
          </cell>
          <cell r="C5270">
            <v>11.598252054794521</v>
          </cell>
        </row>
        <row r="5271">
          <cell r="B5271">
            <v>14.4384</v>
          </cell>
          <cell r="C5271">
            <v>11.598794520547946</v>
          </cell>
        </row>
        <row r="5272">
          <cell r="B5272">
            <v>14.4411</v>
          </cell>
          <cell r="C5272">
            <v>11.59933698630137</v>
          </cell>
        </row>
        <row r="5273">
          <cell r="B5273">
            <v>14.4438</v>
          </cell>
          <cell r="C5273">
            <v>11.599879452054795</v>
          </cell>
        </row>
        <row r="5274">
          <cell r="B5274">
            <v>14.4466</v>
          </cell>
          <cell r="C5274">
            <v>11.60042191780822</v>
          </cell>
        </row>
        <row r="5275">
          <cell r="B5275">
            <v>14.449299999999999</v>
          </cell>
          <cell r="C5275">
            <v>11.600964383561644</v>
          </cell>
        </row>
        <row r="5276">
          <cell r="B5276">
            <v>14.4521</v>
          </cell>
          <cell r="C5276">
            <v>11.601506849315069</v>
          </cell>
        </row>
        <row r="5277">
          <cell r="B5277">
            <v>14.454800000000001</v>
          </cell>
          <cell r="C5277">
            <v>11.602049315068493</v>
          </cell>
        </row>
        <row r="5278">
          <cell r="B5278">
            <v>14.4575</v>
          </cell>
          <cell r="C5278">
            <v>11.602591780821918</v>
          </cell>
        </row>
        <row r="5279">
          <cell r="B5279">
            <v>14.4603</v>
          </cell>
          <cell r="C5279">
            <v>11.603134246575344</v>
          </cell>
        </row>
        <row r="5280">
          <cell r="B5280">
            <v>14.462999999999999</v>
          </cell>
          <cell r="C5280">
            <v>11.603676712328769</v>
          </cell>
        </row>
        <row r="5281">
          <cell r="B5281">
            <v>14.4658</v>
          </cell>
          <cell r="C5281">
            <v>11.604219178082193</v>
          </cell>
        </row>
        <row r="5282">
          <cell r="B5282">
            <v>14.468500000000001</v>
          </cell>
          <cell r="C5282">
            <v>11.604761643835618</v>
          </cell>
        </row>
        <row r="5283">
          <cell r="B5283">
            <v>14.4712</v>
          </cell>
          <cell r="C5283">
            <v>11.605304109589042</v>
          </cell>
        </row>
        <row r="5284">
          <cell r="B5284">
            <v>14.474</v>
          </cell>
          <cell r="C5284">
            <v>11.605846575342467</v>
          </cell>
        </row>
        <row r="5285">
          <cell r="B5285">
            <v>14.476699999999999</v>
          </cell>
          <cell r="C5285">
            <v>11.606389041095891</v>
          </cell>
        </row>
        <row r="5286">
          <cell r="B5286">
            <v>14.4795</v>
          </cell>
          <cell r="C5286">
            <v>11.606931506849316</v>
          </cell>
        </row>
        <row r="5287">
          <cell r="B5287">
            <v>14.482200000000001</v>
          </cell>
          <cell r="C5287">
            <v>11.60747397260274</v>
          </cell>
        </row>
        <row r="5288">
          <cell r="B5288">
            <v>14.4849</v>
          </cell>
          <cell r="C5288">
            <v>11.608016438356165</v>
          </cell>
        </row>
        <row r="5289">
          <cell r="B5289">
            <v>14.4877</v>
          </cell>
          <cell r="C5289">
            <v>11.608558904109589</v>
          </cell>
        </row>
        <row r="5290">
          <cell r="B5290">
            <v>14.490399999999999</v>
          </cell>
          <cell r="C5290">
            <v>11.609101369863014</v>
          </cell>
        </row>
        <row r="5291">
          <cell r="B5291">
            <v>14.4932</v>
          </cell>
          <cell r="C5291">
            <v>11.609643835616438</v>
          </cell>
        </row>
        <row r="5292">
          <cell r="B5292">
            <v>14.495900000000001</v>
          </cell>
          <cell r="C5292">
            <v>11.610186301369865</v>
          </cell>
        </row>
        <row r="5293">
          <cell r="B5293">
            <v>14.4986</v>
          </cell>
          <cell r="C5293">
            <v>11.610728767123289</v>
          </cell>
        </row>
        <row r="5294">
          <cell r="B5294">
            <v>14.5014</v>
          </cell>
          <cell r="C5294">
            <v>11.611271232876714</v>
          </cell>
        </row>
        <row r="5295">
          <cell r="B5295">
            <v>14.504099999999999</v>
          </cell>
          <cell r="C5295">
            <v>11.611813698630138</v>
          </cell>
        </row>
        <row r="5296">
          <cell r="B5296">
            <v>14.5068</v>
          </cell>
          <cell r="C5296">
            <v>11.612356164383563</v>
          </cell>
        </row>
        <row r="5297">
          <cell r="B5297">
            <v>14.509600000000001</v>
          </cell>
          <cell r="C5297">
            <v>11.612898630136987</v>
          </cell>
        </row>
        <row r="5298">
          <cell r="B5298">
            <v>14.5123</v>
          </cell>
          <cell r="C5298">
            <v>11.613441095890412</v>
          </cell>
        </row>
        <row r="5299">
          <cell r="B5299">
            <v>14.5151</v>
          </cell>
          <cell r="C5299">
            <v>11.613983561643836</v>
          </cell>
        </row>
        <row r="5300">
          <cell r="B5300">
            <v>14.517799999999999</v>
          </cell>
          <cell r="C5300">
            <v>11.614526027397261</v>
          </cell>
        </row>
        <row r="5301">
          <cell r="B5301">
            <v>14.5205</v>
          </cell>
          <cell r="C5301">
            <v>11.615068493150686</v>
          </cell>
        </row>
        <row r="5302">
          <cell r="B5302">
            <v>14.523300000000001</v>
          </cell>
          <cell r="C5302">
            <v>11.61561095890411</v>
          </cell>
        </row>
        <row r="5303">
          <cell r="B5303">
            <v>14.526</v>
          </cell>
          <cell r="C5303">
            <v>11.616153424657535</v>
          </cell>
        </row>
        <row r="5304">
          <cell r="B5304">
            <v>14.5288</v>
          </cell>
          <cell r="C5304">
            <v>11.616695890410959</v>
          </cell>
        </row>
        <row r="5305">
          <cell r="B5305">
            <v>14.531499999999999</v>
          </cell>
          <cell r="C5305">
            <v>11.617238356164384</v>
          </cell>
        </row>
        <row r="5306">
          <cell r="B5306">
            <v>14.5342</v>
          </cell>
          <cell r="C5306">
            <v>11.617780821917808</v>
          </cell>
        </row>
        <row r="5307">
          <cell r="B5307">
            <v>14.537000000000001</v>
          </cell>
          <cell r="C5307">
            <v>11.618323287671235</v>
          </cell>
        </row>
        <row r="5308">
          <cell r="B5308">
            <v>14.5397</v>
          </cell>
          <cell r="C5308">
            <v>11.618865753424659</v>
          </cell>
        </row>
        <row r="5309">
          <cell r="B5309">
            <v>14.5425</v>
          </cell>
          <cell r="C5309">
            <v>11.619408219178084</v>
          </cell>
        </row>
        <row r="5310">
          <cell r="B5310">
            <v>14.545199999999999</v>
          </cell>
          <cell r="C5310">
            <v>11.619950684931508</v>
          </cell>
        </row>
        <row r="5311">
          <cell r="B5311">
            <v>14.5479</v>
          </cell>
          <cell r="C5311">
            <v>11.620493150684933</v>
          </cell>
        </row>
        <row r="5312">
          <cell r="B5312">
            <v>14.550700000000001</v>
          </cell>
          <cell r="C5312">
            <v>11.621035616438357</v>
          </cell>
        </row>
        <row r="5313">
          <cell r="B5313">
            <v>14.5534</v>
          </cell>
          <cell r="C5313">
            <v>11.621578082191782</v>
          </cell>
        </row>
        <row r="5314">
          <cell r="B5314">
            <v>14.5562</v>
          </cell>
          <cell r="C5314">
            <v>11.622120547945206</v>
          </cell>
        </row>
        <row r="5315">
          <cell r="B5315">
            <v>14.5589</v>
          </cell>
          <cell r="C5315">
            <v>11.622663013698631</v>
          </cell>
        </row>
        <row r="5316">
          <cell r="B5316">
            <v>14.5616</v>
          </cell>
          <cell r="C5316">
            <v>11.623205479452055</v>
          </cell>
        </row>
        <row r="5317">
          <cell r="B5317">
            <v>14.564399999999999</v>
          </cell>
          <cell r="C5317">
            <v>11.62374794520548</v>
          </cell>
        </row>
        <row r="5318">
          <cell r="B5318">
            <v>14.5671</v>
          </cell>
          <cell r="C5318">
            <v>11.624290410958904</v>
          </cell>
        </row>
        <row r="5319">
          <cell r="B5319">
            <v>14.569900000000001</v>
          </cell>
          <cell r="C5319">
            <v>11.624832876712329</v>
          </cell>
        </row>
        <row r="5320">
          <cell r="B5320">
            <v>14.5726</v>
          </cell>
          <cell r="C5320">
            <v>11.625375342465754</v>
          </cell>
        </row>
        <row r="5321">
          <cell r="B5321">
            <v>14.5753</v>
          </cell>
          <cell r="C5321">
            <v>11.625917808219178</v>
          </cell>
        </row>
        <row r="5322">
          <cell r="B5322">
            <v>14.578099999999999</v>
          </cell>
          <cell r="C5322">
            <v>11.626460273972604</v>
          </cell>
        </row>
        <row r="5323">
          <cell r="B5323">
            <v>14.5808</v>
          </cell>
          <cell r="C5323">
            <v>11.627002739726029</v>
          </cell>
        </row>
        <row r="5324">
          <cell r="B5324">
            <v>14.583600000000001</v>
          </cell>
          <cell r="C5324">
            <v>11.627545205479453</v>
          </cell>
        </row>
        <row r="5325">
          <cell r="B5325">
            <v>14.5863</v>
          </cell>
          <cell r="C5325">
            <v>11.628087671232878</v>
          </cell>
        </row>
        <row r="5326">
          <cell r="B5326">
            <v>14.589</v>
          </cell>
          <cell r="C5326">
            <v>11.628630136986303</v>
          </cell>
        </row>
        <row r="5327">
          <cell r="B5327">
            <v>14.591799999999999</v>
          </cell>
          <cell r="C5327">
            <v>11.629172602739727</v>
          </cell>
        </row>
        <row r="5328">
          <cell r="B5328">
            <v>14.5945</v>
          </cell>
          <cell r="C5328">
            <v>11.629715068493152</v>
          </cell>
        </row>
        <row r="5329">
          <cell r="B5329">
            <v>14.597300000000001</v>
          </cell>
          <cell r="C5329">
            <v>11.630257534246576</v>
          </cell>
        </row>
        <row r="5330">
          <cell r="B5330">
            <v>14.6</v>
          </cell>
          <cell r="C5330">
            <v>11.630800000000001</v>
          </cell>
        </row>
        <row r="5331">
          <cell r="B5331">
            <v>14.6027</v>
          </cell>
          <cell r="C5331">
            <v>11.631342465753425</v>
          </cell>
        </row>
        <row r="5332">
          <cell r="B5332">
            <v>14.605499999999999</v>
          </cell>
          <cell r="C5332">
            <v>11.63188493150685</v>
          </cell>
        </row>
        <row r="5333">
          <cell r="B5333">
            <v>14.6082</v>
          </cell>
          <cell r="C5333">
            <v>11.632427397260274</v>
          </cell>
        </row>
        <row r="5334">
          <cell r="B5334">
            <v>14.611000000000001</v>
          </cell>
          <cell r="C5334">
            <v>11.632969863013699</v>
          </cell>
        </row>
        <row r="5335">
          <cell r="B5335">
            <v>14.6137</v>
          </cell>
          <cell r="C5335">
            <v>11.633512328767123</v>
          </cell>
        </row>
        <row r="5336">
          <cell r="B5336">
            <v>14.616400000000001</v>
          </cell>
          <cell r="C5336">
            <v>11.634054794520548</v>
          </cell>
        </row>
        <row r="5337">
          <cell r="B5337">
            <v>14.619199999999999</v>
          </cell>
          <cell r="C5337">
            <v>11.634597260273974</v>
          </cell>
        </row>
        <row r="5338">
          <cell r="B5338">
            <v>14.6219</v>
          </cell>
          <cell r="C5338">
            <v>11.635139726027399</v>
          </cell>
        </row>
        <row r="5339">
          <cell r="B5339">
            <v>14.624700000000001</v>
          </cell>
          <cell r="C5339">
            <v>11.635682191780823</v>
          </cell>
        </row>
        <row r="5340">
          <cell r="B5340">
            <v>14.6274</v>
          </cell>
          <cell r="C5340">
            <v>11.636224657534248</v>
          </cell>
        </row>
        <row r="5341">
          <cell r="B5341">
            <v>14.630100000000001</v>
          </cell>
          <cell r="C5341">
            <v>11.636767123287672</v>
          </cell>
        </row>
        <row r="5342">
          <cell r="B5342">
            <v>14.632899999999999</v>
          </cell>
          <cell r="C5342">
            <v>11.637309589041097</v>
          </cell>
        </row>
        <row r="5343">
          <cell r="B5343">
            <v>14.6356</v>
          </cell>
          <cell r="C5343">
            <v>11.637852054794521</v>
          </cell>
        </row>
        <row r="5344">
          <cell r="B5344">
            <v>14.638400000000001</v>
          </cell>
          <cell r="C5344">
            <v>11.638394520547946</v>
          </cell>
        </row>
        <row r="5345">
          <cell r="B5345">
            <v>14.6411</v>
          </cell>
          <cell r="C5345">
            <v>11.638936986301371</v>
          </cell>
        </row>
        <row r="5346">
          <cell r="B5346">
            <v>14.643800000000001</v>
          </cell>
          <cell r="C5346">
            <v>11.639479452054795</v>
          </cell>
        </row>
        <row r="5347">
          <cell r="B5347">
            <v>14.646599999999999</v>
          </cell>
          <cell r="C5347">
            <v>11.64002191780822</v>
          </cell>
        </row>
        <row r="5348">
          <cell r="B5348">
            <v>14.6493</v>
          </cell>
          <cell r="C5348">
            <v>11.640564383561644</v>
          </cell>
        </row>
        <row r="5349">
          <cell r="B5349">
            <v>14.652100000000001</v>
          </cell>
          <cell r="C5349">
            <v>11.641106849315069</v>
          </cell>
        </row>
        <row r="5350">
          <cell r="B5350">
            <v>14.6548</v>
          </cell>
          <cell r="C5350">
            <v>11.641649315068493</v>
          </cell>
        </row>
        <row r="5351">
          <cell r="B5351">
            <v>14.657500000000001</v>
          </cell>
          <cell r="C5351">
            <v>11.642191780821918</v>
          </cell>
        </row>
        <row r="5352">
          <cell r="B5352">
            <v>14.660299999999999</v>
          </cell>
          <cell r="C5352">
            <v>11.642734246575344</v>
          </cell>
        </row>
        <row r="5353">
          <cell r="B5353">
            <v>14.663</v>
          </cell>
          <cell r="C5353">
            <v>11.643276712328769</v>
          </cell>
        </row>
        <row r="5354">
          <cell r="B5354">
            <v>14.665800000000001</v>
          </cell>
          <cell r="C5354">
            <v>11.643819178082193</v>
          </cell>
        </row>
        <row r="5355">
          <cell r="B5355">
            <v>14.6685</v>
          </cell>
          <cell r="C5355">
            <v>11.644361643835618</v>
          </cell>
        </row>
        <row r="5356">
          <cell r="B5356">
            <v>14.671200000000001</v>
          </cell>
          <cell r="C5356">
            <v>11.644904109589042</v>
          </cell>
        </row>
        <row r="5357">
          <cell r="B5357">
            <v>14.673999999999999</v>
          </cell>
          <cell r="C5357">
            <v>11.645446575342467</v>
          </cell>
        </row>
        <row r="5358">
          <cell r="B5358">
            <v>14.6767</v>
          </cell>
          <cell r="C5358">
            <v>11.645989041095891</v>
          </cell>
        </row>
        <row r="5359">
          <cell r="B5359">
            <v>14.679500000000001</v>
          </cell>
          <cell r="C5359">
            <v>11.646531506849316</v>
          </cell>
        </row>
        <row r="5360">
          <cell r="B5360">
            <v>14.6822</v>
          </cell>
          <cell r="C5360">
            <v>11.64707397260274</v>
          </cell>
        </row>
        <row r="5361">
          <cell r="B5361">
            <v>14.684900000000001</v>
          </cell>
          <cell r="C5361">
            <v>11.647616438356165</v>
          </cell>
        </row>
        <row r="5362">
          <cell r="B5362">
            <v>14.6877</v>
          </cell>
          <cell r="C5362">
            <v>11.648158904109589</v>
          </cell>
        </row>
        <row r="5363">
          <cell r="B5363">
            <v>14.6904</v>
          </cell>
          <cell r="C5363">
            <v>11.648701369863014</v>
          </cell>
        </row>
        <row r="5364">
          <cell r="B5364">
            <v>14.693199999999999</v>
          </cell>
          <cell r="C5364">
            <v>11.649243835616439</v>
          </cell>
        </row>
        <row r="5365">
          <cell r="B5365">
            <v>14.6959</v>
          </cell>
          <cell r="C5365">
            <v>11.649786301369863</v>
          </cell>
        </row>
        <row r="5366">
          <cell r="B5366">
            <v>14.698600000000001</v>
          </cell>
          <cell r="C5366">
            <v>11.650328767123288</v>
          </cell>
        </row>
        <row r="5367">
          <cell r="B5367">
            <v>14.7014</v>
          </cell>
          <cell r="C5367">
            <v>11.650871232876714</v>
          </cell>
        </row>
        <row r="5368">
          <cell r="B5368">
            <v>14.7041</v>
          </cell>
          <cell r="C5368">
            <v>11.651413698630138</v>
          </cell>
        </row>
        <row r="5369">
          <cell r="B5369">
            <v>14.706799999999999</v>
          </cell>
          <cell r="C5369">
            <v>11.651956164383563</v>
          </cell>
        </row>
        <row r="5370">
          <cell r="B5370">
            <v>14.7096</v>
          </cell>
          <cell r="C5370">
            <v>11.652498630136988</v>
          </cell>
        </row>
        <row r="5371">
          <cell r="B5371">
            <v>14.712300000000001</v>
          </cell>
          <cell r="C5371">
            <v>11.653041095890412</v>
          </cell>
        </row>
        <row r="5372">
          <cell r="B5372">
            <v>14.7151</v>
          </cell>
          <cell r="C5372">
            <v>11.653583561643837</v>
          </cell>
        </row>
        <row r="5373">
          <cell r="B5373">
            <v>14.7178</v>
          </cell>
          <cell r="C5373">
            <v>11.654126027397261</v>
          </cell>
        </row>
        <row r="5374">
          <cell r="B5374">
            <v>14.720499999999999</v>
          </cell>
          <cell r="C5374">
            <v>11.654668493150686</v>
          </cell>
        </row>
        <row r="5375">
          <cell r="B5375">
            <v>14.7233</v>
          </cell>
          <cell r="C5375">
            <v>11.65521095890411</v>
          </cell>
        </row>
        <row r="5376">
          <cell r="B5376">
            <v>14.726000000000001</v>
          </cell>
          <cell r="C5376">
            <v>11.655753424657535</v>
          </cell>
        </row>
        <row r="5377">
          <cell r="B5377">
            <v>14.7288</v>
          </cell>
          <cell r="C5377">
            <v>11.656295890410959</v>
          </cell>
        </row>
        <row r="5378">
          <cell r="B5378">
            <v>14.7315</v>
          </cell>
          <cell r="C5378">
            <v>11.656838356164384</v>
          </cell>
        </row>
        <row r="5379">
          <cell r="B5379">
            <v>14.7342</v>
          </cell>
          <cell r="C5379">
            <v>11.657380821917808</v>
          </cell>
        </row>
        <row r="5380">
          <cell r="B5380">
            <v>14.737</v>
          </cell>
          <cell r="C5380">
            <v>11.657923287671233</v>
          </cell>
        </row>
        <row r="5381">
          <cell r="B5381">
            <v>14.739699999999999</v>
          </cell>
          <cell r="C5381">
            <v>11.658465753424657</v>
          </cell>
        </row>
        <row r="5382">
          <cell r="B5382">
            <v>14.7425</v>
          </cell>
          <cell r="C5382">
            <v>11.659008219178084</v>
          </cell>
        </row>
        <row r="5383">
          <cell r="B5383">
            <v>14.745200000000001</v>
          </cell>
          <cell r="C5383">
            <v>11.659550684931508</v>
          </cell>
        </row>
        <row r="5384">
          <cell r="B5384">
            <v>14.7479</v>
          </cell>
          <cell r="C5384">
            <v>11.660093150684933</v>
          </cell>
        </row>
        <row r="5385">
          <cell r="B5385">
            <v>14.7507</v>
          </cell>
          <cell r="C5385">
            <v>11.660635616438357</v>
          </cell>
        </row>
        <row r="5386">
          <cell r="B5386">
            <v>14.753399999999999</v>
          </cell>
          <cell r="C5386">
            <v>11.661178082191782</v>
          </cell>
        </row>
        <row r="5387">
          <cell r="B5387">
            <v>14.7562</v>
          </cell>
          <cell r="C5387">
            <v>11.661720547945206</v>
          </cell>
        </row>
        <row r="5388">
          <cell r="B5388">
            <v>14.758900000000001</v>
          </cell>
          <cell r="C5388">
            <v>11.662263013698631</v>
          </cell>
        </row>
        <row r="5389">
          <cell r="B5389">
            <v>14.7616</v>
          </cell>
          <cell r="C5389">
            <v>11.662805479452055</v>
          </cell>
        </row>
        <row r="5390">
          <cell r="B5390">
            <v>14.7644</v>
          </cell>
          <cell r="C5390">
            <v>11.66334794520548</v>
          </cell>
        </row>
        <row r="5391">
          <cell r="B5391">
            <v>14.767099999999999</v>
          </cell>
          <cell r="C5391">
            <v>11.663890410958905</v>
          </cell>
        </row>
        <row r="5392">
          <cell r="B5392">
            <v>14.7699</v>
          </cell>
          <cell r="C5392">
            <v>11.664432876712329</v>
          </cell>
        </row>
        <row r="5393">
          <cell r="B5393">
            <v>14.772600000000001</v>
          </cell>
          <cell r="C5393">
            <v>11.664975342465754</v>
          </cell>
        </row>
        <row r="5394">
          <cell r="B5394">
            <v>14.7753</v>
          </cell>
          <cell r="C5394">
            <v>11.665517808219178</v>
          </cell>
        </row>
        <row r="5395">
          <cell r="B5395">
            <v>14.7781</v>
          </cell>
          <cell r="C5395">
            <v>11.666060273972604</v>
          </cell>
        </row>
        <row r="5396">
          <cell r="B5396">
            <v>14.780799999999999</v>
          </cell>
          <cell r="C5396">
            <v>11.666602739726029</v>
          </cell>
        </row>
        <row r="5397">
          <cell r="B5397">
            <v>14.7836</v>
          </cell>
          <cell r="C5397">
            <v>11.667145205479454</v>
          </cell>
        </row>
        <row r="5398">
          <cell r="B5398">
            <v>14.786300000000001</v>
          </cell>
          <cell r="C5398">
            <v>11.667687671232878</v>
          </cell>
        </row>
        <row r="5399">
          <cell r="B5399">
            <v>14.789</v>
          </cell>
          <cell r="C5399">
            <v>11.668230136986303</v>
          </cell>
        </row>
        <row r="5400">
          <cell r="B5400">
            <v>14.7918</v>
          </cell>
          <cell r="C5400">
            <v>11.668772602739727</v>
          </cell>
        </row>
        <row r="5401">
          <cell r="B5401">
            <v>14.794499999999999</v>
          </cell>
          <cell r="C5401">
            <v>11.669315068493152</v>
          </cell>
        </row>
        <row r="5402">
          <cell r="B5402">
            <v>14.7973</v>
          </cell>
          <cell r="C5402">
            <v>11.669857534246576</v>
          </cell>
        </row>
        <row r="5403">
          <cell r="B5403">
            <v>14.8</v>
          </cell>
          <cell r="C5403">
            <v>11.670400000000001</v>
          </cell>
        </row>
        <row r="5404">
          <cell r="B5404">
            <v>14.8027</v>
          </cell>
          <cell r="C5404">
            <v>11.670942465753425</v>
          </cell>
        </row>
        <row r="5405">
          <cell r="B5405">
            <v>14.8055</v>
          </cell>
          <cell r="C5405">
            <v>11.67148493150685</v>
          </cell>
        </row>
        <row r="5406">
          <cell r="B5406">
            <v>14.808199999999999</v>
          </cell>
          <cell r="C5406">
            <v>11.672027397260274</v>
          </cell>
        </row>
        <row r="5407">
          <cell r="B5407">
            <v>14.811</v>
          </cell>
          <cell r="C5407">
            <v>11.672569863013699</v>
          </cell>
        </row>
        <row r="5408">
          <cell r="B5408">
            <v>14.813700000000001</v>
          </cell>
          <cell r="C5408">
            <v>11.673112328767123</v>
          </cell>
        </row>
        <row r="5409">
          <cell r="B5409">
            <v>14.8164</v>
          </cell>
          <cell r="C5409">
            <v>11.673654794520548</v>
          </cell>
        </row>
        <row r="5410">
          <cell r="B5410">
            <v>14.8192</v>
          </cell>
          <cell r="C5410">
            <v>11.674197260273974</v>
          </cell>
        </row>
        <row r="5411">
          <cell r="B5411">
            <v>14.821899999999999</v>
          </cell>
          <cell r="C5411">
            <v>11.674739726027399</v>
          </cell>
        </row>
        <row r="5412">
          <cell r="B5412">
            <v>14.8247</v>
          </cell>
          <cell r="C5412">
            <v>11.675282191780823</v>
          </cell>
        </row>
        <row r="5413">
          <cell r="B5413">
            <v>14.827400000000001</v>
          </cell>
          <cell r="C5413">
            <v>11.675824657534248</v>
          </cell>
        </row>
        <row r="5414">
          <cell r="B5414">
            <v>14.8301</v>
          </cell>
          <cell r="C5414">
            <v>11.676367123287672</v>
          </cell>
        </row>
        <row r="5415">
          <cell r="B5415">
            <v>14.8329</v>
          </cell>
          <cell r="C5415">
            <v>11.676909589041097</v>
          </cell>
        </row>
        <row r="5416">
          <cell r="B5416">
            <v>14.835599999999999</v>
          </cell>
          <cell r="C5416">
            <v>11.677452054794522</v>
          </cell>
        </row>
        <row r="5417">
          <cell r="B5417">
            <v>14.8384</v>
          </cell>
          <cell r="C5417">
            <v>11.677994520547946</v>
          </cell>
        </row>
        <row r="5418">
          <cell r="B5418">
            <v>14.841100000000001</v>
          </cell>
          <cell r="C5418">
            <v>11.678536986301371</v>
          </cell>
        </row>
        <row r="5419">
          <cell r="B5419">
            <v>14.8438</v>
          </cell>
          <cell r="C5419">
            <v>11.679079452054795</v>
          </cell>
        </row>
        <row r="5420">
          <cell r="B5420">
            <v>14.8466</v>
          </cell>
          <cell r="C5420">
            <v>11.67962191780822</v>
          </cell>
        </row>
        <row r="5421">
          <cell r="B5421">
            <v>14.849299999999999</v>
          </cell>
          <cell r="C5421">
            <v>11.680164383561644</v>
          </cell>
        </row>
        <row r="5422">
          <cell r="B5422">
            <v>14.8521</v>
          </cell>
          <cell r="C5422">
            <v>11.680706849315069</v>
          </cell>
        </row>
        <row r="5423">
          <cell r="B5423">
            <v>14.854799999999999</v>
          </cell>
          <cell r="C5423">
            <v>11.681249315068493</v>
          </cell>
        </row>
        <row r="5424">
          <cell r="B5424">
            <v>14.8575</v>
          </cell>
          <cell r="C5424">
            <v>11.681791780821918</v>
          </cell>
        </row>
        <row r="5425">
          <cell r="B5425">
            <v>14.860300000000001</v>
          </cell>
          <cell r="C5425">
            <v>11.682334246575344</v>
          </cell>
        </row>
        <row r="5426">
          <cell r="B5426">
            <v>14.863</v>
          </cell>
          <cell r="C5426">
            <v>11.682876712328769</v>
          </cell>
        </row>
        <row r="5427">
          <cell r="B5427">
            <v>14.8658</v>
          </cell>
          <cell r="C5427">
            <v>11.683419178082193</v>
          </cell>
        </row>
        <row r="5428">
          <cell r="B5428">
            <v>14.868499999999999</v>
          </cell>
          <cell r="C5428">
            <v>11.683961643835618</v>
          </cell>
        </row>
        <row r="5429">
          <cell r="B5429">
            <v>14.8712</v>
          </cell>
          <cell r="C5429">
            <v>11.684504109589042</v>
          </cell>
        </row>
        <row r="5430">
          <cell r="B5430">
            <v>14.874000000000001</v>
          </cell>
          <cell r="C5430">
            <v>11.685046575342467</v>
          </cell>
        </row>
        <row r="5431">
          <cell r="B5431">
            <v>14.8767</v>
          </cell>
          <cell r="C5431">
            <v>11.685589041095891</v>
          </cell>
        </row>
        <row r="5432">
          <cell r="B5432">
            <v>14.8795</v>
          </cell>
          <cell r="C5432">
            <v>11.686131506849316</v>
          </cell>
        </row>
        <row r="5433">
          <cell r="B5433">
            <v>14.882199999999999</v>
          </cell>
          <cell r="C5433">
            <v>11.68667397260274</v>
          </cell>
        </row>
        <row r="5434">
          <cell r="B5434">
            <v>14.8849</v>
          </cell>
          <cell r="C5434">
            <v>11.687216438356165</v>
          </cell>
        </row>
        <row r="5435">
          <cell r="B5435">
            <v>14.887700000000001</v>
          </cell>
          <cell r="C5435">
            <v>11.68775890410959</v>
          </cell>
        </row>
        <row r="5436">
          <cell r="B5436">
            <v>14.8904</v>
          </cell>
          <cell r="C5436">
            <v>11.688301369863014</v>
          </cell>
        </row>
        <row r="5437">
          <cell r="B5437">
            <v>14.8932</v>
          </cell>
          <cell r="C5437">
            <v>11.688843835616439</v>
          </cell>
        </row>
        <row r="5438">
          <cell r="B5438">
            <v>14.895899999999999</v>
          </cell>
          <cell r="C5438">
            <v>11.689386301369863</v>
          </cell>
        </row>
        <row r="5439">
          <cell r="B5439">
            <v>14.8986</v>
          </cell>
          <cell r="C5439">
            <v>11.689928767123288</v>
          </cell>
        </row>
        <row r="5440">
          <cell r="B5440">
            <v>14.901400000000001</v>
          </cell>
          <cell r="C5440">
            <v>11.690471232876714</v>
          </cell>
        </row>
        <row r="5441">
          <cell r="B5441">
            <v>14.9041</v>
          </cell>
          <cell r="C5441">
            <v>11.691013698630139</v>
          </cell>
        </row>
        <row r="5442">
          <cell r="B5442">
            <v>14.9068</v>
          </cell>
          <cell r="C5442">
            <v>11.691556164383563</v>
          </cell>
        </row>
        <row r="5443">
          <cell r="B5443">
            <v>14.909599999999999</v>
          </cell>
          <cell r="C5443">
            <v>11.692098630136988</v>
          </cell>
        </row>
        <row r="5444">
          <cell r="B5444">
            <v>14.9123</v>
          </cell>
          <cell r="C5444">
            <v>11.692641095890412</v>
          </cell>
        </row>
        <row r="5445">
          <cell r="B5445">
            <v>14.915100000000001</v>
          </cell>
          <cell r="C5445">
            <v>11.693183561643837</v>
          </cell>
        </row>
        <row r="5446">
          <cell r="B5446">
            <v>14.9178</v>
          </cell>
          <cell r="C5446">
            <v>11.693726027397261</v>
          </cell>
        </row>
        <row r="5447">
          <cell r="B5447">
            <v>14.920500000000001</v>
          </cell>
          <cell r="C5447">
            <v>11.694268493150686</v>
          </cell>
        </row>
        <row r="5448">
          <cell r="B5448">
            <v>14.923299999999999</v>
          </cell>
          <cell r="C5448">
            <v>11.69481095890411</v>
          </cell>
        </row>
        <row r="5449">
          <cell r="B5449">
            <v>14.926</v>
          </cell>
          <cell r="C5449">
            <v>11.695353424657535</v>
          </cell>
        </row>
        <row r="5450">
          <cell r="B5450">
            <v>14.928800000000001</v>
          </cell>
          <cell r="C5450">
            <v>11.695895890410959</v>
          </cell>
        </row>
        <row r="5451">
          <cell r="B5451">
            <v>14.9315</v>
          </cell>
          <cell r="C5451">
            <v>11.696438356164384</v>
          </cell>
        </row>
        <row r="5452">
          <cell r="B5452">
            <v>14.934200000000001</v>
          </cell>
          <cell r="C5452">
            <v>11.696980821917808</v>
          </cell>
        </row>
        <row r="5453">
          <cell r="B5453">
            <v>14.936999999999999</v>
          </cell>
          <cell r="C5453">
            <v>11.697523287671233</v>
          </cell>
        </row>
        <row r="5454">
          <cell r="B5454">
            <v>14.9397</v>
          </cell>
          <cell r="C5454">
            <v>11.698065753424657</v>
          </cell>
        </row>
        <row r="5455">
          <cell r="B5455">
            <v>14.942500000000001</v>
          </cell>
          <cell r="C5455">
            <v>11.698608219178084</v>
          </cell>
        </row>
        <row r="5456">
          <cell r="B5456">
            <v>14.9452</v>
          </cell>
          <cell r="C5456">
            <v>11.699150684931508</v>
          </cell>
        </row>
        <row r="5457">
          <cell r="B5457">
            <v>14.947900000000001</v>
          </cell>
          <cell r="C5457">
            <v>11.699693150684933</v>
          </cell>
        </row>
        <row r="5458">
          <cell r="B5458">
            <v>14.950699999999999</v>
          </cell>
          <cell r="C5458">
            <v>11.700235616438357</v>
          </cell>
        </row>
        <row r="5459">
          <cell r="B5459">
            <v>14.9534</v>
          </cell>
          <cell r="C5459">
            <v>11.700778082191782</v>
          </cell>
        </row>
        <row r="5460">
          <cell r="B5460">
            <v>14.956200000000001</v>
          </cell>
          <cell r="C5460">
            <v>11.701320547945206</v>
          </cell>
        </row>
        <row r="5461">
          <cell r="B5461">
            <v>14.9589</v>
          </cell>
          <cell r="C5461">
            <v>11.701863013698631</v>
          </cell>
        </row>
        <row r="5462">
          <cell r="B5462">
            <v>14.961600000000001</v>
          </cell>
          <cell r="C5462">
            <v>11.702405479452056</v>
          </cell>
        </row>
        <row r="5463">
          <cell r="B5463">
            <v>14.964399999999999</v>
          </cell>
          <cell r="C5463">
            <v>11.70294794520548</v>
          </cell>
        </row>
        <row r="5464">
          <cell r="B5464">
            <v>14.9671</v>
          </cell>
          <cell r="C5464">
            <v>11.703490410958905</v>
          </cell>
        </row>
        <row r="5465">
          <cell r="B5465">
            <v>14.969900000000001</v>
          </cell>
          <cell r="C5465">
            <v>11.704032876712329</v>
          </cell>
        </row>
        <row r="5466">
          <cell r="B5466">
            <v>14.9726</v>
          </cell>
          <cell r="C5466">
            <v>11.704575342465754</v>
          </cell>
        </row>
        <row r="5467">
          <cell r="B5467">
            <v>14.975300000000001</v>
          </cell>
          <cell r="C5467">
            <v>11.705117808219178</v>
          </cell>
        </row>
        <row r="5468">
          <cell r="B5468">
            <v>14.9781</v>
          </cell>
          <cell r="C5468">
            <v>11.705660273972603</v>
          </cell>
        </row>
        <row r="5469">
          <cell r="B5469">
            <v>14.9808</v>
          </cell>
          <cell r="C5469">
            <v>11.706202739726027</v>
          </cell>
        </row>
        <row r="5470">
          <cell r="B5470">
            <v>14.983599999999999</v>
          </cell>
          <cell r="C5470">
            <v>11.706745205479454</v>
          </cell>
        </row>
        <row r="5471">
          <cell r="B5471">
            <v>14.9863</v>
          </cell>
          <cell r="C5471">
            <v>11.707287671232878</v>
          </cell>
        </row>
        <row r="5472">
          <cell r="B5472">
            <v>14.989000000000001</v>
          </cell>
          <cell r="C5472">
            <v>11.707830136986303</v>
          </cell>
        </row>
        <row r="5473">
          <cell r="B5473">
            <v>14.9918</v>
          </cell>
          <cell r="C5473">
            <v>11.708372602739727</v>
          </cell>
        </row>
        <row r="5474">
          <cell r="B5474">
            <v>14.9945</v>
          </cell>
          <cell r="C5474">
            <v>11.708915068493152</v>
          </cell>
        </row>
        <row r="5475">
          <cell r="B5475">
            <v>14.997299999999999</v>
          </cell>
          <cell r="C5475">
            <v>11.709457534246576</v>
          </cell>
        </row>
        <row r="5476">
          <cell r="B5476">
            <v>15</v>
          </cell>
          <cell r="C5476">
            <v>11.71</v>
          </cell>
        </row>
        <row r="5477">
          <cell r="B5477">
            <v>15.002700000000001</v>
          </cell>
          <cell r="C5477">
            <v>11.710087671232877</v>
          </cell>
        </row>
        <row r="5478">
          <cell r="B5478">
            <v>15.0055</v>
          </cell>
          <cell r="C5478">
            <v>11.710175342465755</v>
          </cell>
        </row>
        <row r="5479">
          <cell r="B5479">
            <v>15.0082</v>
          </cell>
          <cell r="C5479">
            <v>11.710263013698631</v>
          </cell>
        </row>
        <row r="5480">
          <cell r="B5480">
            <v>15.010999999999999</v>
          </cell>
          <cell r="C5480">
            <v>11.710350684931507</v>
          </cell>
        </row>
        <row r="5481">
          <cell r="B5481">
            <v>15.0137</v>
          </cell>
          <cell r="C5481">
            <v>11.710438356164385</v>
          </cell>
        </row>
        <row r="5482">
          <cell r="B5482">
            <v>15.016400000000001</v>
          </cell>
          <cell r="C5482">
            <v>11.710526027397261</v>
          </cell>
        </row>
        <row r="5483">
          <cell r="B5483">
            <v>15.0192</v>
          </cell>
          <cell r="C5483">
            <v>11.710613698630137</v>
          </cell>
        </row>
        <row r="5484">
          <cell r="B5484">
            <v>15.0219</v>
          </cell>
          <cell r="C5484">
            <v>11.710701369863015</v>
          </cell>
        </row>
        <row r="5485">
          <cell r="B5485">
            <v>15.024699999999999</v>
          </cell>
          <cell r="C5485">
            <v>11.710789041095891</v>
          </cell>
        </row>
        <row r="5486">
          <cell r="B5486">
            <v>15.0274</v>
          </cell>
          <cell r="C5486">
            <v>11.710876712328767</v>
          </cell>
        </row>
        <row r="5487">
          <cell r="B5487">
            <v>15.030099999999999</v>
          </cell>
          <cell r="C5487">
            <v>11.710964383561645</v>
          </cell>
        </row>
        <row r="5488">
          <cell r="B5488">
            <v>15.0329</v>
          </cell>
          <cell r="C5488">
            <v>11.711052054794521</v>
          </cell>
        </row>
        <row r="5489">
          <cell r="B5489">
            <v>15.035600000000001</v>
          </cell>
          <cell r="C5489">
            <v>11.711139726027398</v>
          </cell>
        </row>
        <row r="5490">
          <cell r="B5490">
            <v>15.038399999999999</v>
          </cell>
          <cell r="C5490">
            <v>11.711227397260275</v>
          </cell>
        </row>
        <row r="5491">
          <cell r="B5491">
            <v>15.0411</v>
          </cell>
          <cell r="C5491">
            <v>11.711315068493152</v>
          </cell>
        </row>
        <row r="5492">
          <cell r="B5492">
            <v>15.043799999999999</v>
          </cell>
          <cell r="C5492">
            <v>11.711402739726028</v>
          </cell>
        </row>
        <row r="5493">
          <cell r="B5493">
            <v>15.0466</v>
          </cell>
          <cell r="C5493">
            <v>11.711490410958906</v>
          </cell>
        </row>
        <row r="5494">
          <cell r="B5494">
            <v>15.049300000000001</v>
          </cell>
          <cell r="C5494">
            <v>11.711578082191782</v>
          </cell>
        </row>
        <row r="5495">
          <cell r="B5495">
            <v>15.052099999999999</v>
          </cell>
          <cell r="C5495">
            <v>11.711665753424658</v>
          </cell>
        </row>
        <row r="5496">
          <cell r="B5496">
            <v>15.0548</v>
          </cell>
          <cell r="C5496">
            <v>11.711753424657536</v>
          </cell>
        </row>
        <row r="5497">
          <cell r="B5497">
            <v>15.057499999999999</v>
          </cell>
          <cell r="C5497">
            <v>11.711841095890412</v>
          </cell>
        </row>
        <row r="5498">
          <cell r="B5498">
            <v>15.0603</v>
          </cell>
          <cell r="C5498">
            <v>11.711928767123288</v>
          </cell>
        </row>
        <row r="5499">
          <cell r="B5499">
            <v>15.063000000000001</v>
          </cell>
          <cell r="C5499">
            <v>11.712016438356166</v>
          </cell>
        </row>
        <row r="5500">
          <cell r="B5500">
            <v>15.065799999999999</v>
          </cell>
          <cell r="C5500">
            <v>11.712104109589042</v>
          </cell>
        </row>
        <row r="5501">
          <cell r="B5501">
            <v>15.0685</v>
          </cell>
          <cell r="C5501">
            <v>11.712191780821918</v>
          </cell>
        </row>
        <row r="5502">
          <cell r="B5502">
            <v>15.071199999999999</v>
          </cell>
          <cell r="C5502">
            <v>11.712279452054796</v>
          </cell>
        </row>
        <row r="5503">
          <cell r="B5503">
            <v>15.074</v>
          </cell>
          <cell r="C5503">
            <v>11.712367123287672</v>
          </cell>
        </row>
        <row r="5504">
          <cell r="B5504">
            <v>15.076700000000001</v>
          </cell>
          <cell r="C5504">
            <v>11.712454794520548</v>
          </cell>
        </row>
        <row r="5505">
          <cell r="B5505">
            <v>15.079499999999999</v>
          </cell>
          <cell r="C5505">
            <v>11.712542465753426</v>
          </cell>
        </row>
        <row r="5506">
          <cell r="B5506">
            <v>15.0822</v>
          </cell>
          <cell r="C5506">
            <v>11.712630136986302</v>
          </cell>
        </row>
        <row r="5507">
          <cell r="B5507">
            <v>15.084899999999999</v>
          </cell>
          <cell r="C5507">
            <v>11.712717808219178</v>
          </cell>
        </row>
        <row r="5508">
          <cell r="B5508">
            <v>15.0877</v>
          </cell>
          <cell r="C5508">
            <v>11.712805479452056</v>
          </cell>
        </row>
        <row r="5509">
          <cell r="B5509">
            <v>15.090400000000001</v>
          </cell>
          <cell r="C5509">
            <v>11.712893150684932</v>
          </cell>
        </row>
        <row r="5510">
          <cell r="B5510">
            <v>15.0932</v>
          </cell>
          <cell r="C5510">
            <v>11.712980821917808</v>
          </cell>
        </row>
        <row r="5511">
          <cell r="B5511">
            <v>15.0959</v>
          </cell>
          <cell r="C5511">
            <v>11.713068493150686</v>
          </cell>
        </row>
        <row r="5512">
          <cell r="B5512">
            <v>15.098599999999999</v>
          </cell>
          <cell r="C5512">
            <v>11.713156164383562</v>
          </cell>
        </row>
        <row r="5513">
          <cell r="B5513">
            <v>15.1014</v>
          </cell>
          <cell r="C5513">
            <v>11.713243835616439</v>
          </cell>
        </row>
        <row r="5514">
          <cell r="B5514">
            <v>15.104100000000001</v>
          </cell>
          <cell r="C5514">
            <v>11.713331506849316</v>
          </cell>
        </row>
        <row r="5515">
          <cell r="B5515">
            <v>15.1068</v>
          </cell>
          <cell r="C5515">
            <v>11.713419178082193</v>
          </cell>
        </row>
        <row r="5516">
          <cell r="B5516">
            <v>15.1096</v>
          </cell>
          <cell r="C5516">
            <v>11.713506849315069</v>
          </cell>
        </row>
        <row r="5517">
          <cell r="B5517">
            <v>15.112299999999999</v>
          </cell>
          <cell r="C5517">
            <v>11.713594520547947</v>
          </cell>
        </row>
        <row r="5518">
          <cell r="B5518">
            <v>15.1151</v>
          </cell>
          <cell r="C5518">
            <v>11.713682191780823</v>
          </cell>
        </row>
        <row r="5519">
          <cell r="B5519">
            <v>15.117800000000001</v>
          </cell>
          <cell r="C5519">
            <v>11.713769863013699</v>
          </cell>
        </row>
        <row r="5520">
          <cell r="B5520">
            <v>15.1205</v>
          </cell>
          <cell r="C5520">
            <v>11.713857534246577</v>
          </cell>
        </row>
        <row r="5521">
          <cell r="B5521">
            <v>15.1233</v>
          </cell>
          <cell r="C5521">
            <v>11.713945205479453</v>
          </cell>
        </row>
        <row r="5522">
          <cell r="B5522">
            <v>15.125999999999999</v>
          </cell>
          <cell r="C5522">
            <v>11.714032876712329</v>
          </cell>
        </row>
        <row r="5523">
          <cell r="B5523">
            <v>15.1288</v>
          </cell>
          <cell r="C5523">
            <v>11.714120547945207</v>
          </cell>
        </row>
        <row r="5524">
          <cell r="B5524">
            <v>15.131500000000001</v>
          </cell>
          <cell r="C5524">
            <v>11.714208219178083</v>
          </cell>
        </row>
        <row r="5525">
          <cell r="B5525">
            <v>15.1342</v>
          </cell>
          <cell r="C5525">
            <v>11.714295890410959</v>
          </cell>
        </row>
        <row r="5526">
          <cell r="B5526">
            <v>15.137</v>
          </cell>
          <cell r="C5526">
            <v>11.714383561643837</v>
          </cell>
        </row>
        <row r="5527">
          <cell r="B5527">
            <v>15.139699999999999</v>
          </cell>
          <cell r="C5527">
            <v>11.714471232876713</v>
          </cell>
        </row>
        <row r="5528">
          <cell r="B5528">
            <v>15.1425</v>
          </cell>
          <cell r="C5528">
            <v>11.714558904109589</v>
          </cell>
        </row>
        <row r="5529">
          <cell r="B5529">
            <v>15.145200000000001</v>
          </cell>
          <cell r="C5529">
            <v>11.714646575342467</v>
          </cell>
        </row>
        <row r="5530">
          <cell r="B5530">
            <v>15.1479</v>
          </cell>
          <cell r="C5530">
            <v>11.714734246575343</v>
          </cell>
        </row>
        <row r="5531">
          <cell r="B5531">
            <v>15.150700000000001</v>
          </cell>
          <cell r="C5531">
            <v>11.714821917808219</v>
          </cell>
        </row>
        <row r="5532">
          <cell r="B5532">
            <v>15.1534</v>
          </cell>
          <cell r="C5532">
            <v>11.714909589041097</v>
          </cell>
        </row>
        <row r="5533">
          <cell r="B5533">
            <v>15.1562</v>
          </cell>
          <cell r="C5533">
            <v>11.714997260273973</v>
          </cell>
        </row>
        <row r="5534">
          <cell r="B5534">
            <v>15.158899999999999</v>
          </cell>
          <cell r="C5534">
            <v>11.715084931506849</v>
          </cell>
        </row>
        <row r="5535">
          <cell r="B5535">
            <v>15.1616</v>
          </cell>
          <cell r="C5535">
            <v>11.715172602739727</v>
          </cell>
        </row>
        <row r="5536">
          <cell r="B5536">
            <v>15.164400000000001</v>
          </cell>
          <cell r="C5536">
            <v>11.715260273972603</v>
          </cell>
        </row>
        <row r="5537">
          <cell r="B5537">
            <v>15.1671</v>
          </cell>
          <cell r="C5537">
            <v>11.71534794520548</v>
          </cell>
        </row>
        <row r="5538">
          <cell r="B5538">
            <v>15.1699</v>
          </cell>
          <cell r="C5538">
            <v>11.715435616438358</v>
          </cell>
        </row>
        <row r="5539">
          <cell r="B5539">
            <v>15.172599999999999</v>
          </cell>
          <cell r="C5539">
            <v>11.715523287671234</v>
          </cell>
        </row>
        <row r="5540">
          <cell r="B5540">
            <v>15.1753</v>
          </cell>
          <cell r="C5540">
            <v>11.71561095890411</v>
          </cell>
        </row>
        <row r="5541">
          <cell r="B5541">
            <v>15.178100000000001</v>
          </cell>
          <cell r="C5541">
            <v>11.715698630136988</v>
          </cell>
        </row>
        <row r="5542">
          <cell r="B5542">
            <v>15.1808</v>
          </cell>
          <cell r="C5542">
            <v>11.715786301369864</v>
          </cell>
        </row>
        <row r="5543">
          <cell r="B5543">
            <v>15.1836</v>
          </cell>
          <cell r="C5543">
            <v>11.71587397260274</v>
          </cell>
        </row>
        <row r="5544">
          <cell r="B5544">
            <v>15.186299999999999</v>
          </cell>
          <cell r="C5544">
            <v>11.715961643835618</v>
          </cell>
        </row>
        <row r="5545">
          <cell r="B5545">
            <v>15.189</v>
          </cell>
          <cell r="C5545">
            <v>11.716049315068494</v>
          </cell>
        </row>
        <row r="5546">
          <cell r="B5546">
            <v>15.191800000000001</v>
          </cell>
          <cell r="C5546">
            <v>11.71613698630137</v>
          </cell>
        </row>
        <row r="5547">
          <cell r="B5547">
            <v>15.1945</v>
          </cell>
          <cell r="C5547">
            <v>11.716224657534248</v>
          </cell>
        </row>
        <row r="5548">
          <cell r="B5548">
            <v>15.1973</v>
          </cell>
          <cell r="C5548">
            <v>11.716312328767124</v>
          </cell>
        </row>
        <row r="5549">
          <cell r="B5549">
            <v>15.2</v>
          </cell>
          <cell r="C5549">
            <v>11.7164</v>
          </cell>
        </row>
        <row r="5550">
          <cell r="B5550">
            <v>15.2027</v>
          </cell>
          <cell r="C5550">
            <v>11.716487671232878</v>
          </cell>
        </row>
        <row r="5551">
          <cell r="B5551">
            <v>15.205500000000001</v>
          </cell>
          <cell r="C5551">
            <v>11.716575342465754</v>
          </cell>
        </row>
        <row r="5552">
          <cell r="B5552">
            <v>15.2082</v>
          </cell>
          <cell r="C5552">
            <v>11.71666301369863</v>
          </cell>
        </row>
        <row r="5553">
          <cell r="B5553">
            <v>15.211</v>
          </cell>
          <cell r="C5553">
            <v>11.716750684931508</v>
          </cell>
        </row>
        <row r="5554">
          <cell r="B5554">
            <v>15.213699999999999</v>
          </cell>
          <cell r="C5554">
            <v>11.716838356164384</v>
          </cell>
        </row>
        <row r="5555">
          <cell r="B5555">
            <v>15.2164</v>
          </cell>
          <cell r="C5555">
            <v>11.71692602739726</v>
          </cell>
        </row>
        <row r="5556">
          <cell r="B5556">
            <v>15.219200000000001</v>
          </cell>
          <cell r="C5556">
            <v>11.717013698630138</v>
          </cell>
        </row>
        <row r="5557">
          <cell r="B5557">
            <v>15.2219</v>
          </cell>
          <cell r="C5557">
            <v>11.717101369863014</v>
          </cell>
        </row>
        <row r="5558">
          <cell r="B5558">
            <v>15.2247</v>
          </cell>
          <cell r="C5558">
            <v>11.717189041095891</v>
          </cell>
        </row>
        <row r="5559">
          <cell r="B5559">
            <v>15.227399999999999</v>
          </cell>
          <cell r="C5559">
            <v>11.717276712328768</v>
          </cell>
        </row>
        <row r="5560">
          <cell r="B5560">
            <v>15.2301</v>
          </cell>
          <cell r="C5560">
            <v>11.717364383561645</v>
          </cell>
        </row>
        <row r="5561">
          <cell r="B5561">
            <v>15.232900000000001</v>
          </cell>
          <cell r="C5561">
            <v>11.717452054794521</v>
          </cell>
        </row>
        <row r="5562">
          <cell r="B5562">
            <v>15.2356</v>
          </cell>
          <cell r="C5562">
            <v>11.717539726027399</v>
          </cell>
        </row>
        <row r="5563">
          <cell r="B5563">
            <v>15.2384</v>
          </cell>
          <cell r="C5563">
            <v>11.717627397260275</v>
          </cell>
        </row>
        <row r="5564">
          <cell r="B5564">
            <v>15.241099999999999</v>
          </cell>
          <cell r="C5564">
            <v>11.717715068493151</v>
          </cell>
        </row>
        <row r="5565">
          <cell r="B5565">
            <v>15.2438</v>
          </cell>
          <cell r="C5565">
            <v>11.717802739726029</v>
          </cell>
        </row>
        <row r="5566">
          <cell r="B5566">
            <v>15.246600000000001</v>
          </cell>
          <cell r="C5566">
            <v>11.717890410958905</v>
          </cell>
        </row>
        <row r="5567">
          <cell r="B5567">
            <v>15.2493</v>
          </cell>
          <cell r="C5567">
            <v>11.717978082191781</v>
          </cell>
        </row>
        <row r="5568">
          <cell r="B5568">
            <v>15.2521</v>
          </cell>
          <cell r="C5568">
            <v>11.718065753424659</v>
          </cell>
        </row>
        <row r="5569">
          <cell r="B5569">
            <v>15.254799999999999</v>
          </cell>
          <cell r="C5569">
            <v>11.718153424657535</v>
          </cell>
        </row>
        <row r="5570">
          <cell r="B5570">
            <v>15.2575</v>
          </cell>
          <cell r="C5570">
            <v>11.718241095890411</v>
          </cell>
        </row>
        <row r="5571">
          <cell r="B5571">
            <v>15.260300000000001</v>
          </cell>
          <cell r="C5571">
            <v>11.718328767123289</v>
          </cell>
        </row>
        <row r="5572">
          <cell r="B5572">
            <v>15.263</v>
          </cell>
          <cell r="C5572">
            <v>11.718416438356165</v>
          </cell>
        </row>
        <row r="5573">
          <cell r="B5573">
            <v>15.2658</v>
          </cell>
          <cell r="C5573">
            <v>11.718504109589041</v>
          </cell>
        </row>
        <row r="5574">
          <cell r="B5574">
            <v>15.2685</v>
          </cell>
          <cell r="C5574">
            <v>11.718591780821919</v>
          </cell>
        </row>
        <row r="5575">
          <cell r="B5575">
            <v>15.2712</v>
          </cell>
          <cell r="C5575">
            <v>11.718679452054795</v>
          </cell>
        </row>
        <row r="5576">
          <cell r="B5576">
            <v>15.273999999999999</v>
          </cell>
          <cell r="C5576">
            <v>11.718767123287671</v>
          </cell>
        </row>
        <row r="5577">
          <cell r="B5577">
            <v>15.2767</v>
          </cell>
          <cell r="C5577">
            <v>11.718854794520549</v>
          </cell>
        </row>
        <row r="5578">
          <cell r="B5578">
            <v>15.279500000000001</v>
          </cell>
          <cell r="C5578">
            <v>11.718942465753425</v>
          </cell>
        </row>
        <row r="5579">
          <cell r="B5579">
            <v>15.2822</v>
          </cell>
          <cell r="C5579">
            <v>11.719030136986301</v>
          </cell>
        </row>
        <row r="5580">
          <cell r="B5580">
            <v>15.2849</v>
          </cell>
          <cell r="C5580">
            <v>11.719117808219179</v>
          </cell>
        </row>
        <row r="5581">
          <cell r="B5581">
            <v>15.287699999999999</v>
          </cell>
          <cell r="C5581">
            <v>11.719205479452055</v>
          </cell>
        </row>
        <row r="5582">
          <cell r="B5582">
            <v>15.2904</v>
          </cell>
          <cell r="C5582">
            <v>11.719293150684932</v>
          </cell>
        </row>
        <row r="5583">
          <cell r="B5583">
            <v>15.293200000000001</v>
          </cell>
          <cell r="C5583">
            <v>11.719380821917809</v>
          </cell>
        </row>
        <row r="5584">
          <cell r="B5584">
            <v>15.2959</v>
          </cell>
          <cell r="C5584">
            <v>11.719468493150686</v>
          </cell>
        </row>
        <row r="5585">
          <cell r="B5585">
            <v>15.2986</v>
          </cell>
          <cell r="C5585">
            <v>11.719556164383562</v>
          </cell>
        </row>
        <row r="5586">
          <cell r="B5586">
            <v>15.301399999999999</v>
          </cell>
          <cell r="C5586">
            <v>11.71964383561644</v>
          </cell>
        </row>
        <row r="5587">
          <cell r="B5587">
            <v>15.3041</v>
          </cell>
          <cell r="C5587">
            <v>11.719731506849316</v>
          </cell>
        </row>
        <row r="5588">
          <cell r="B5588">
            <v>15.306800000000001</v>
          </cell>
          <cell r="C5588">
            <v>11.719819178082192</v>
          </cell>
        </row>
        <row r="5589">
          <cell r="B5589">
            <v>15.3096</v>
          </cell>
          <cell r="C5589">
            <v>11.71990684931507</v>
          </cell>
        </row>
        <row r="5590">
          <cell r="B5590">
            <v>15.3123</v>
          </cell>
          <cell r="C5590">
            <v>11.719994520547946</v>
          </cell>
        </row>
        <row r="5591">
          <cell r="B5591">
            <v>15.315099999999999</v>
          </cell>
          <cell r="C5591">
            <v>11.720082191780822</v>
          </cell>
        </row>
        <row r="5592">
          <cell r="B5592">
            <v>15.3178</v>
          </cell>
          <cell r="C5592">
            <v>11.7201698630137</v>
          </cell>
        </row>
        <row r="5593">
          <cell r="B5593">
            <v>15.320499999999999</v>
          </cell>
          <cell r="C5593">
            <v>11.720257534246576</v>
          </cell>
        </row>
        <row r="5594">
          <cell r="B5594">
            <v>15.3233</v>
          </cell>
          <cell r="C5594">
            <v>11.720345205479452</v>
          </cell>
        </row>
        <row r="5595">
          <cell r="B5595">
            <v>15.326000000000001</v>
          </cell>
          <cell r="C5595">
            <v>11.72043287671233</v>
          </cell>
        </row>
        <row r="5596">
          <cell r="B5596">
            <v>15.328799999999999</v>
          </cell>
          <cell r="C5596">
            <v>11.720520547945206</v>
          </cell>
        </row>
        <row r="5597">
          <cell r="B5597">
            <v>15.3315</v>
          </cell>
          <cell r="C5597">
            <v>11.720608219178082</v>
          </cell>
        </row>
        <row r="5598">
          <cell r="B5598">
            <v>15.334199999999999</v>
          </cell>
          <cell r="C5598">
            <v>11.72069589041096</v>
          </cell>
        </row>
        <row r="5599">
          <cell r="B5599">
            <v>15.337</v>
          </cell>
          <cell r="C5599">
            <v>11.720783561643836</v>
          </cell>
        </row>
        <row r="5600">
          <cell r="B5600">
            <v>15.339700000000001</v>
          </cell>
          <cell r="C5600">
            <v>11.720871232876712</v>
          </cell>
        </row>
        <row r="5601">
          <cell r="B5601">
            <v>15.342499999999999</v>
          </cell>
          <cell r="C5601">
            <v>11.72095890410959</v>
          </cell>
        </row>
        <row r="5602">
          <cell r="B5602">
            <v>15.3452</v>
          </cell>
          <cell r="C5602">
            <v>11.721046575342466</v>
          </cell>
        </row>
        <row r="5603">
          <cell r="B5603">
            <v>15.347899999999999</v>
          </cell>
          <cell r="C5603">
            <v>11.721134246575343</v>
          </cell>
        </row>
        <row r="5604">
          <cell r="B5604">
            <v>15.3507</v>
          </cell>
          <cell r="C5604">
            <v>11.72122191780822</v>
          </cell>
        </row>
        <row r="5605">
          <cell r="B5605">
            <v>15.353400000000001</v>
          </cell>
          <cell r="C5605">
            <v>11.721309589041097</v>
          </cell>
        </row>
        <row r="5606">
          <cell r="B5606">
            <v>15.356199999999999</v>
          </cell>
          <cell r="C5606">
            <v>11.721397260273973</v>
          </cell>
        </row>
        <row r="5607">
          <cell r="B5607">
            <v>15.3589</v>
          </cell>
          <cell r="C5607">
            <v>11.721484931506851</v>
          </cell>
        </row>
        <row r="5608">
          <cell r="B5608">
            <v>15.361599999999999</v>
          </cell>
          <cell r="C5608">
            <v>11.721572602739727</v>
          </cell>
        </row>
        <row r="5609">
          <cell r="B5609">
            <v>15.3644</v>
          </cell>
          <cell r="C5609">
            <v>11.721660273972603</v>
          </cell>
        </row>
        <row r="5610">
          <cell r="B5610">
            <v>15.367100000000001</v>
          </cell>
          <cell r="C5610">
            <v>11.721747945205481</v>
          </cell>
        </row>
        <row r="5611">
          <cell r="B5611">
            <v>15.369899999999999</v>
          </cell>
          <cell r="C5611">
            <v>11.721835616438357</v>
          </cell>
        </row>
        <row r="5612">
          <cell r="B5612">
            <v>15.3726</v>
          </cell>
          <cell r="C5612">
            <v>11.721923287671233</v>
          </cell>
        </row>
        <row r="5613">
          <cell r="B5613">
            <v>15.375299999999999</v>
          </cell>
          <cell r="C5613">
            <v>11.722010958904111</v>
          </cell>
        </row>
        <row r="5614">
          <cell r="B5614">
            <v>15.3781</v>
          </cell>
          <cell r="C5614">
            <v>11.722098630136987</v>
          </cell>
        </row>
        <row r="5615">
          <cell r="B5615">
            <v>15.380800000000001</v>
          </cell>
          <cell r="C5615">
            <v>11.722186301369863</v>
          </cell>
        </row>
        <row r="5616">
          <cell r="B5616">
            <v>15.383599999999999</v>
          </cell>
          <cell r="C5616">
            <v>11.722273972602741</v>
          </cell>
        </row>
        <row r="5617">
          <cell r="B5617">
            <v>15.3863</v>
          </cell>
          <cell r="C5617">
            <v>11.722361643835617</v>
          </cell>
        </row>
        <row r="5618">
          <cell r="B5618">
            <v>15.388999999999999</v>
          </cell>
          <cell r="C5618">
            <v>11.722449315068493</v>
          </cell>
        </row>
        <row r="5619">
          <cell r="B5619">
            <v>15.3918</v>
          </cell>
          <cell r="C5619">
            <v>11.722536986301371</v>
          </cell>
        </row>
        <row r="5620">
          <cell r="B5620">
            <v>15.394500000000001</v>
          </cell>
          <cell r="C5620">
            <v>11.722624657534247</v>
          </cell>
        </row>
        <row r="5621">
          <cell r="B5621">
            <v>15.3973</v>
          </cell>
          <cell r="C5621">
            <v>11.722712328767123</v>
          </cell>
        </row>
        <row r="5622">
          <cell r="B5622">
            <v>15.4</v>
          </cell>
          <cell r="C5622">
            <v>11.722800000000001</v>
          </cell>
        </row>
        <row r="5623">
          <cell r="B5623">
            <v>15.402699999999999</v>
          </cell>
          <cell r="C5623">
            <v>11.722887671232877</v>
          </cell>
        </row>
        <row r="5624">
          <cell r="B5624">
            <v>15.4055</v>
          </cell>
          <cell r="C5624">
            <v>11.722975342465753</v>
          </cell>
        </row>
        <row r="5625">
          <cell r="B5625">
            <v>15.408200000000001</v>
          </cell>
          <cell r="C5625">
            <v>11.723063013698631</v>
          </cell>
        </row>
        <row r="5626">
          <cell r="B5626">
            <v>15.411</v>
          </cell>
          <cell r="C5626">
            <v>11.723150684931507</v>
          </cell>
        </row>
        <row r="5627">
          <cell r="B5627">
            <v>15.4137</v>
          </cell>
          <cell r="C5627">
            <v>11.723238356164384</v>
          </cell>
        </row>
        <row r="5628">
          <cell r="B5628">
            <v>15.416399999999999</v>
          </cell>
          <cell r="C5628">
            <v>11.723326027397261</v>
          </cell>
        </row>
        <row r="5629">
          <cell r="B5629">
            <v>15.4192</v>
          </cell>
          <cell r="C5629">
            <v>11.723413698630138</v>
          </cell>
        </row>
        <row r="5630">
          <cell r="B5630">
            <v>15.421900000000001</v>
          </cell>
          <cell r="C5630">
            <v>11.723501369863014</v>
          </cell>
        </row>
        <row r="5631">
          <cell r="B5631">
            <v>15.4247</v>
          </cell>
          <cell r="C5631">
            <v>11.723589041095892</v>
          </cell>
        </row>
        <row r="5632">
          <cell r="B5632">
            <v>15.4274</v>
          </cell>
          <cell r="C5632">
            <v>11.723676712328768</v>
          </cell>
        </row>
        <row r="5633">
          <cell r="B5633">
            <v>15.430099999999999</v>
          </cell>
          <cell r="C5633">
            <v>11.723764383561644</v>
          </cell>
        </row>
        <row r="5634">
          <cell r="B5634">
            <v>15.4329</v>
          </cell>
          <cell r="C5634">
            <v>11.723852054794522</v>
          </cell>
        </row>
        <row r="5635">
          <cell r="B5635">
            <v>15.435600000000001</v>
          </cell>
          <cell r="C5635">
            <v>11.723939726027398</v>
          </cell>
        </row>
        <row r="5636">
          <cell r="B5636">
            <v>15.4384</v>
          </cell>
          <cell r="C5636">
            <v>11.724027397260274</v>
          </cell>
        </row>
        <row r="5637">
          <cell r="B5637">
            <v>15.4411</v>
          </cell>
          <cell r="C5637">
            <v>11.724115068493152</v>
          </cell>
        </row>
        <row r="5638">
          <cell r="B5638">
            <v>15.4438</v>
          </cell>
          <cell r="C5638">
            <v>11.724202739726028</v>
          </cell>
        </row>
        <row r="5639">
          <cell r="B5639">
            <v>15.4466</v>
          </cell>
          <cell r="C5639">
            <v>11.724290410958904</v>
          </cell>
        </row>
        <row r="5640">
          <cell r="B5640">
            <v>15.449299999999999</v>
          </cell>
          <cell r="C5640">
            <v>11.724378082191782</v>
          </cell>
        </row>
        <row r="5641">
          <cell r="B5641">
            <v>15.4521</v>
          </cell>
          <cell r="C5641">
            <v>11.724465753424658</v>
          </cell>
        </row>
        <row r="5642">
          <cell r="B5642">
            <v>15.454800000000001</v>
          </cell>
          <cell r="C5642">
            <v>11.724553424657534</v>
          </cell>
        </row>
        <row r="5643">
          <cell r="B5643">
            <v>15.4575</v>
          </cell>
          <cell r="C5643">
            <v>11.724641095890412</v>
          </cell>
        </row>
        <row r="5644">
          <cell r="B5644">
            <v>15.4603</v>
          </cell>
          <cell r="C5644">
            <v>11.724728767123288</v>
          </cell>
        </row>
        <row r="5645">
          <cell r="B5645">
            <v>15.462999999999999</v>
          </cell>
          <cell r="C5645">
            <v>11.724816438356164</v>
          </cell>
        </row>
        <row r="5646">
          <cell r="B5646">
            <v>15.4658</v>
          </cell>
          <cell r="C5646">
            <v>11.724904109589042</v>
          </cell>
        </row>
        <row r="5647">
          <cell r="B5647">
            <v>15.468500000000001</v>
          </cell>
          <cell r="C5647">
            <v>11.724991780821918</v>
          </cell>
        </row>
        <row r="5648">
          <cell r="B5648">
            <v>15.4712</v>
          </cell>
          <cell r="C5648">
            <v>11.725079452054795</v>
          </cell>
        </row>
        <row r="5649">
          <cell r="B5649">
            <v>15.474</v>
          </cell>
          <cell r="C5649">
            <v>11.725167123287672</v>
          </cell>
        </row>
        <row r="5650">
          <cell r="B5650">
            <v>15.476699999999999</v>
          </cell>
          <cell r="C5650">
            <v>11.725254794520549</v>
          </cell>
        </row>
        <row r="5651">
          <cell r="B5651">
            <v>15.4795</v>
          </cell>
          <cell r="C5651">
            <v>11.725342465753425</v>
          </cell>
        </row>
        <row r="5652">
          <cell r="B5652">
            <v>15.482200000000001</v>
          </cell>
          <cell r="C5652">
            <v>11.725430136986303</v>
          </cell>
        </row>
        <row r="5653">
          <cell r="B5653">
            <v>15.4849</v>
          </cell>
          <cell r="C5653">
            <v>11.725517808219179</v>
          </cell>
        </row>
        <row r="5654">
          <cell r="B5654">
            <v>15.4877</v>
          </cell>
          <cell r="C5654">
            <v>11.725605479452055</v>
          </cell>
        </row>
        <row r="5655">
          <cell r="B5655">
            <v>15.490399999999999</v>
          </cell>
          <cell r="C5655">
            <v>11.725693150684933</v>
          </cell>
        </row>
        <row r="5656">
          <cell r="B5656">
            <v>15.4932</v>
          </cell>
          <cell r="C5656">
            <v>11.725780821917809</v>
          </cell>
        </row>
        <row r="5657">
          <cell r="B5657">
            <v>15.495900000000001</v>
          </cell>
          <cell r="C5657">
            <v>11.725868493150685</v>
          </cell>
        </row>
        <row r="5658">
          <cell r="B5658">
            <v>15.4986</v>
          </cell>
          <cell r="C5658">
            <v>11.725956164383563</v>
          </cell>
        </row>
        <row r="5659">
          <cell r="B5659">
            <v>15.5014</v>
          </cell>
          <cell r="C5659">
            <v>11.726043835616439</v>
          </cell>
        </row>
        <row r="5660">
          <cell r="B5660">
            <v>15.504099999999999</v>
          </cell>
          <cell r="C5660">
            <v>11.726131506849315</v>
          </cell>
        </row>
        <row r="5661">
          <cell r="B5661">
            <v>15.5068</v>
          </cell>
          <cell r="C5661">
            <v>11.726219178082193</v>
          </cell>
        </row>
        <row r="5662">
          <cell r="B5662">
            <v>15.509600000000001</v>
          </cell>
          <cell r="C5662">
            <v>11.726306849315069</v>
          </cell>
        </row>
        <row r="5663">
          <cell r="B5663">
            <v>15.5123</v>
          </cell>
          <cell r="C5663">
            <v>11.726394520547945</v>
          </cell>
        </row>
        <row r="5664">
          <cell r="B5664">
            <v>15.5151</v>
          </cell>
          <cell r="C5664">
            <v>11.726482191780823</v>
          </cell>
        </row>
        <row r="5665">
          <cell r="B5665">
            <v>15.517799999999999</v>
          </cell>
          <cell r="C5665">
            <v>11.726569863013699</v>
          </cell>
        </row>
        <row r="5666">
          <cell r="B5666">
            <v>15.5205</v>
          </cell>
          <cell r="C5666">
            <v>11.726657534246575</v>
          </cell>
        </row>
        <row r="5667">
          <cell r="B5667">
            <v>15.523300000000001</v>
          </cell>
          <cell r="C5667">
            <v>11.726745205479453</v>
          </cell>
        </row>
        <row r="5668">
          <cell r="B5668">
            <v>15.526</v>
          </cell>
          <cell r="C5668">
            <v>11.726832876712329</v>
          </cell>
        </row>
        <row r="5669">
          <cell r="B5669">
            <v>15.5288</v>
          </cell>
          <cell r="C5669">
            <v>11.726920547945205</v>
          </cell>
        </row>
        <row r="5670">
          <cell r="B5670">
            <v>15.531499999999999</v>
          </cell>
          <cell r="C5670">
            <v>11.727008219178083</v>
          </cell>
        </row>
        <row r="5671">
          <cell r="B5671">
            <v>15.5342</v>
          </cell>
          <cell r="C5671">
            <v>11.727095890410959</v>
          </cell>
        </row>
        <row r="5672">
          <cell r="B5672">
            <v>15.537000000000001</v>
          </cell>
          <cell r="C5672">
            <v>11.727183561643836</v>
          </cell>
        </row>
        <row r="5673">
          <cell r="B5673">
            <v>15.5397</v>
          </cell>
          <cell r="C5673">
            <v>11.727271232876713</v>
          </cell>
        </row>
        <row r="5674">
          <cell r="B5674">
            <v>15.5425</v>
          </cell>
          <cell r="C5674">
            <v>11.72735890410959</v>
          </cell>
        </row>
        <row r="5675">
          <cell r="B5675">
            <v>15.545199999999999</v>
          </cell>
          <cell r="C5675">
            <v>11.727446575342466</v>
          </cell>
        </row>
        <row r="5676">
          <cell r="B5676">
            <v>15.5479</v>
          </cell>
          <cell r="C5676">
            <v>11.727534246575344</v>
          </cell>
        </row>
        <row r="5677">
          <cell r="B5677">
            <v>15.550700000000001</v>
          </cell>
          <cell r="C5677">
            <v>11.72762191780822</v>
          </cell>
        </row>
        <row r="5678">
          <cell r="B5678">
            <v>15.5534</v>
          </cell>
          <cell r="C5678">
            <v>11.727709589041096</v>
          </cell>
        </row>
        <row r="5679">
          <cell r="B5679">
            <v>15.5562</v>
          </cell>
          <cell r="C5679">
            <v>11.727797260273974</v>
          </cell>
        </row>
        <row r="5680">
          <cell r="B5680">
            <v>15.5589</v>
          </cell>
          <cell r="C5680">
            <v>11.72788493150685</v>
          </cell>
        </row>
        <row r="5681">
          <cell r="B5681">
            <v>15.5616</v>
          </cell>
          <cell r="C5681">
            <v>11.727972602739726</v>
          </cell>
        </row>
        <row r="5682">
          <cell r="B5682">
            <v>15.564399999999999</v>
          </cell>
          <cell r="C5682">
            <v>11.728060273972604</v>
          </cell>
        </row>
        <row r="5683">
          <cell r="B5683">
            <v>15.5671</v>
          </cell>
          <cell r="C5683">
            <v>11.72814794520548</v>
          </cell>
        </row>
        <row r="5684">
          <cell r="B5684">
            <v>15.569900000000001</v>
          </cell>
          <cell r="C5684">
            <v>11.728235616438356</v>
          </cell>
        </row>
        <row r="5685">
          <cell r="B5685">
            <v>15.5726</v>
          </cell>
          <cell r="C5685">
            <v>11.728323287671234</v>
          </cell>
        </row>
        <row r="5686">
          <cell r="B5686">
            <v>15.5753</v>
          </cell>
          <cell r="C5686">
            <v>11.72841095890411</v>
          </cell>
        </row>
        <row r="5687">
          <cell r="B5687">
            <v>15.578099999999999</v>
          </cell>
          <cell r="C5687">
            <v>11.728498630136986</v>
          </cell>
        </row>
        <row r="5688">
          <cell r="B5688">
            <v>15.5808</v>
          </cell>
          <cell r="C5688">
            <v>11.728586301369864</v>
          </cell>
        </row>
        <row r="5689">
          <cell r="B5689">
            <v>15.583600000000001</v>
          </cell>
          <cell r="C5689">
            <v>11.72867397260274</v>
          </cell>
        </row>
        <row r="5690">
          <cell r="B5690">
            <v>15.5863</v>
          </cell>
          <cell r="C5690">
            <v>11.728761643835616</v>
          </cell>
        </row>
        <row r="5691">
          <cell r="B5691">
            <v>15.589</v>
          </cell>
          <cell r="C5691">
            <v>11.728849315068494</v>
          </cell>
        </row>
        <row r="5692">
          <cell r="B5692">
            <v>15.591799999999999</v>
          </cell>
          <cell r="C5692">
            <v>11.72893698630137</v>
          </cell>
        </row>
        <row r="5693">
          <cell r="B5693">
            <v>15.5945</v>
          </cell>
          <cell r="C5693">
            <v>11.729024657534247</v>
          </cell>
        </row>
        <row r="5694">
          <cell r="B5694">
            <v>15.597300000000001</v>
          </cell>
          <cell r="C5694">
            <v>11.729112328767124</v>
          </cell>
        </row>
        <row r="5695">
          <cell r="B5695">
            <v>15.6</v>
          </cell>
          <cell r="C5695">
            <v>11.729200000000001</v>
          </cell>
        </row>
        <row r="5696">
          <cell r="B5696">
            <v>15.6027</v>
          </cell>
          <cell r="C5696">
            <v>11.729287671232877</v>
          </cell>
        </row>
        <row r="5697">
          <cell r="B5697">
            <v>15.605499999999999</v>
          </cell>
          <cell r="C5697">
            <v>11.729375342465755</v>
          </cell>
        </row>
        <row r="5698">
          <cell r="B5698">
            <v>15.6082</v>
          </cell>
          <cell r="C5698">
            <v>11.729463013698631</v>
          </cell>
        </row>
        <row r="5699">
          <cell r="B5699">
            <v>15.611000000000001</v>
          </cell>
          <cell r="C5699">
            <v>11.729550684931507</v>
          </cell>
        </row>
        <row r="5700">
          <cell r="B5700">
            <v>15.6137</v>
          </cell>
          <cell r="C5700">
            <v>11.729638356164385</v>
          </cell>
        </row>
        <row r="5701">
          <cell r="B5701">
            <v>15.616400000000001</v>
          </cell>
          <cell r="C5701">
            <v>11.729726027397261</v>
          </cell>
        </row>
        <row r="5702">
          <cell r="B5702">
            <v>15.619199999999999</v>
          </cell>
          <cell r="C5702">
            <v>11.729813698630137</v>
          </cell>
        </row>
        <row r="5703">
          <cell r="B5703">
            <v>15.6219</v>
          </cell>
          <cell r="C5703">
            <v>11.729901369863015</v>
          </cell>
        </row>
        <row r="5704">
          <cell r="B5704">
            <v>15.624700000000001</v>
          </cell>
          <cell r="C5704">
            <v>11.729989041095891</v>
          </cell>
        </row>
        <row r="5705">
          <cell r="B5705">
            <v>15.6274</v>
          </cell>
          <cell r="C5705">
            <v>11.730076712328767</v>
          </cell>
        </row>
        <row r="5706">
          <cell r="B5706">
            <v>15.630100000000001</v>
          </cell>
          <cell r="C5706">
            <v>11.730164383561645</v>
          </cell>
        </row>
        <row r="5707">
          <cell r="B5707">
            <v>15.632899999999999</v>
          </cell>
          <cell r="C5707">
            <v>11.730252054794521</v>
          </cell>
        </row>
        <row r="5708">
          <cell r="B5708">
            <v>15.6356</v>
          </cell>
          <cell r="C5708">
            <v>11.730339726027397</v>
          </cell>
        </row>
        <row r="5709">
          <cell r="B5709">
            <v>15.638400000000001</v>
          </cell>
          <cell r="C5709">
            <v>11.730427397260275</v>
          </cell>
        </row>
        <row r="5710">
          <cell r="B5710">
            <v>15.6411</v>
          </cell>
          <cell r="C5710">
            <v>11.730515068493151</v>
          </cell>
        </row>
        <row r="5711">
          <cell r="B5711">
            <v>15.643800000000001</v>
          </cell>
          <cell r="C5711">
            <v>11.730602739726027</v>
          </cell>
        </row>
        <row r="5712">
          <cell r="B5712">
            <v>15.646599999999999</v>
          </cell>
          <cell r="C5712">
            <v>11.730690410958905</v>
          </cell>
        </row>
        <row r="5713">
          <cell r="B5713">
            <v>15.6493</v>
          </cell>
          <cell r="C5713">
            <v>11.730778082191781</v>
          </cell>
        </row>
        <row r="5714">
          <cell r="B5714">
            <v>15.652100000000001</v>
          </cell>
          <cell r="C5714">
            <v>11.730865753424657</v>
          </cell>
        </row>
        <row r="5715">
          <cell r="B5715">
            <v>15.6548</v>
          </cell>
          <cell r="C5715">
            <v>11.730953424657535</v>
          </cell>
        </row>
        <row r="5716">
          <cell r="B5716">
            <v>15.657500000000001</v>
          </cell>
          <cell r="C5716">
            <v>11.731041095890411</v>
          </cell>
        </row>
        <row r="5717">
          <cell r="B5717">
            <v>15.660299999999999</v>
          </cell>
          <cell r="C5717">
            <v>11.731128767123288</v>
          </cell>
        </row>
        <row r="5718">
          <cell r="B5718">
            <v>15.663</v>
          </cell>
          <cell r="C5718">
            <v>11.731216438356165</v>
          </cell>
        </row>
        <row r="5719">
          <cell r="B5719">
            <v>15.665800000000001</v>
          </cell>
          <cell r="C5719">
            <v>11.731304109589042</v>
          </cell>
        </row>
        <row r="5720">
          <cell r="B5720">
            <v>15.6685</v>
          </cell>
          <cell r="C5720">
            <v>11.731391780821918</v>
          </cell>
        </row>
        <row r="5721">
          <cell r="B5721">
            <v>15.671200000000001</v>
          </cell>
          <cell r="C5721">
            <v>11.731479452054796</v>
          </cell>
        </row>
        <row r="5722">
          <cell r="B5722">
            <v>15.673999999999999</v>
          </cell>
          <cell r="C5722">
            <v>11.731567123287672</v>
          </cell>
        </row>
        <row r="5723">
          <cell r="B5723">
            <v>15.6767</v>
          </cell>
          <cell r="C5723">
            <v>11.731654794520548</v>
          </cell>
        </row>
        <row r="5724">
          <cell r="B5724">
            <v>15.679500000000001</v>
          </cell>
          <cell r="C5724">
            <v>11.731742465753426</v>
          </cell>
        </row>
        <row r="5725">
          <cell r="B5725">
            <v>15.6822</v>
          </cell>
          <cell r="C5725">
            <v>11.731830136986302</v>
          </cell>
        </row>
        <row r="5726">
          <cell r="B5726">
            <v>15.684900000000001</v>
          </cell>
          <cell r="C5726">
            <v>11.731917808219178</v>
          </cell>
        </row>
        <row r="5727">
          <cell r="B5727">
            <v>15.6877</v>
          </cell>
          <cell r="C5727">
            <v>11.732005479452056</v>
          </cell>
        </row>
        <row r="5728">
          <cell r="B5728">
            <v>15.6904</v>
          </cell>
          <cell r="C5728">
            <v>11.732093150684932</v>
          </cell>
        </row>
        <row r="5729">
          <cell r="B5729">
            <v>15.693199999999999</v>
          </cell>
          <cell r="C5729">
            <v>11.732180821917808</v>
          </cell>
        </row>
        <row r="5730">
          <cell r="B5730">
            <v>15.6959</v>
          </cell>
          <cell r="C5730">
            <v>11.732268493150686</v>
          </cell>
        </row>
        <row r="5731">
          <cell r="B5731">
            <v>15.698600000000001</v>
          </cell>
          <cell r="C5731">
            <v>11.732356164383562</v>
          </cell>
        </row>
        <row r="5732">
          <cell r="B5732">
            <v>15.7014</v>
          </cell>
          <cell r="C5732">
            <v>11.732443835616438</v>
          </cell>
        </row>
        <row r="5733">
          <cell r="B5733">
            <v>15.7041</v>
          </cell>
          <cell r="C5733">
            <v>11.732531506849316</v>
          </cell>
        </row>
        <row r="5734">
          <cell r="B5734">
            <v>15.706799999999999</v>
          </cell>
          <cell r="C5734">
            <v>11.732619178082192</v>
          </cell>
        </row>
        <row r="5735">
          <cell r="B5735">
            <v>15.7096</v>
          </cell>
          <cell r="C5735">
            <v>11.732706849315068</v>
          </cell>
        </row>
        <row r="5736">
          <cell r="B5736">
            <v>15.712300000000001</v>
          </cell>
          <cell r="C5736">
            <v>11.732794520547946</v>
          </cell>
        </row>
        <row r="5737">
          <cell r="B5737">
            <v>15.7151</v>
          </cell>
          <cell r="C5737">
            <v>11.732882191780822</v>
          </cell>
        </row>
        <row r="5738">
          <cell r="B5738">
            <v>15.7178</v>
          </cell>
          <cell r="C5738">
            <v>11.732969863013698</v>
          </cell>
        </row>
        <row r="5739">
          <cell r="B5739">
            <v>15.720499999999999</v>
          </cell>
          <cell r="C5739">
            <v>11.733057534246576</v>
          </cell>
        </row>
        <row r="5740">
          <cell r="B5740">
            <v>15.7233</v>
          </cell>
          <cell r="C5740">
            <v>11.733145205479452</v>
          </cell>
        </row>
        <row r="5741">
          <cell r="B5741">
            <v>15.726000000000001</v>
          </cell>
          <cell r="C5741">
            <v>11.733232876712329</v>
          </cell>
        </row>
        <row r="5742">
          <cell r="B5742">
            <v>15.7288</v>
          </cell>
          <cell r="C5742">
            <v>11.733320547945207</v>
          </cell>
        </row>
        <row r="5743">
          <cell r="B5743">
            <v>15.7315</v>
          </cell>
          <cell r="C5743">
            <v>11.733408219178083</v>
          </cell>
        </row>
        <row r="5744">
          <cell r="B5744">
            <v>15.7342</v>
          </cell>
          <cell r="C5744">
            <v>11.733495890410959</v>
          </cell>
        </row>
        <row r="5745">
          <cell r="B5745">
            <v>15.737</v>
          </cell>
          <cell r="C5745">
            <v>11.733583561643837</v>
          </cell>
        </row>
        <row r="5746">
          <cell r="B5746">
            <v>15.739699999999999</v>
          </cell>
          <cell r="C5746">
            <v>11.733671232876713</v>
          </cell>
        </row>
        <row r="5747">
          <cell r="B5747">
            <v>15.7425</v>
          </cell>
          <cell r="C5747">
            <v>11.733758904109589</v>
          </cell>
        </row>
        <row r="5748">
          <cell r="B5748">
            <v>15.745200000000001</v>
          </cell>
          <cell r="C5748">
            <v>11.733846575342467</v>
          </cell>
        </row>
        <row r="5749">
          <cell r="B5749">
            <v>15.7479</v>
          </cell>
          <cell r="C5749">
            <v>11.733934246575343</v>
          </cell>
        </row>
        <row r="5750">
          <cell r="B5750">
            <v>15.7507</v>
          </cell>
          <cell r="C5750">
            <v>11.734021917808219</v>
          </cell>
        </row>
        <row r="5751">
          <cell r="B5751">
            <v>15.753399999999999</v>
          </cell>
          <cell r="C5751">
            <v>11.734109589041097</v>
          </cell>
        </row>
        <row r="5752">
          <cell r="B5752">
            <v>15.7562</v>
          </cell>
          <cell r="C5752">
            <v>11.734197260273973</v>
          </cell>
        </row>
        <row r="5753">
          <cell r="B5753">
            <v>15.758900000000001</v>
          </cell>
          <cell r="C5753">
            <v>11.734284931506849</v>
          </cell>
        </row>
        <row r="5754">
          <cell r="B5754">
            <v>15.7616</v>
          </cell>
          <cell r="C5754">
            <v>11.734372602739727</v>
          </cell>
        </row>
        <row r="5755">
          <cell r="B5755">
            <v>15.7644</v>
          </cell>
          <cell r="C5755">
            <v>11.734460273972603</v>
          </cell>
        </row>
        <row r="5756">
          <cell r="B5756">
            <v>15.767099999999999</v>
          </cell>
          <cell r="C5756">
            <v>11.734547945205479</v>
          </cell>
        </row>
        <row r="5757">
          <cell r="B5757">
            <v>15.7699</v>
          </cell>
          <cell r="C5757">
            <v>11.734635616438357</v>
          </cell>
        </row>
        <row r="5758">
          <cell r="B5758">
            <v>15.772600000000001</v>
          </cell>
          <cell r="C5758">
            <v>11.734723287671233</v>
          </cell>
        </row>
        <row r="5759">
          <cell r="B5759">
            <v>15.7753</v>
          </cell>
          <cell r="C5759">
            <v>11.734810958904109</v>
          </cell>
        </row>
        <row r="5760">
          <cell r="B5760">
            <v>15.7781</v>
          </cell>
          <cell r="C5760">
            <v>11.734898630136987</v>
          </cell>
        </row>
        <row r="5761">
          <cell r="B5761">
            <v>15.780799999999999</v>
          </cell>
          <cell r="C5761">
            <v>11.734986301369863</v>
          </cell>
        </row>
        <row r="5762">
          <cell r="B5762">
            <v>15.7836</v>
          </cell>
          <cell r="C5762">
            <v>11.73507397260274</v>
          </cell>
        </row>
        <row r="5763">
          <cell r="B5763">
            <v>15.786300000000001</v>
          </cell>
          <cell r="C5763">
            <v>11.735161643835617</v>
          </cell>
        </row>
        <row r="5764">
          <cell r="B5764">
            <v>15.789</v>
          </cell>
          <cell r="C5764">
            <v>11.735249315068494</v>
          </cell>
        </row>
        <row r="5765">
          <cell r="B5765">
            <v>15.7918</v>
          </cell>
          <cell r="C5765">
            <v>11.73533698630137</v>
          </cell>
        </row>
        <row r="5766">
          <cell r="B5766">
            <v>15.794499999999999</v>
          </cell>
          <cell r="C5766">
            <v>11.735424657534248</v>
          </cell>
        </row>
        <row r="5767">
          <cell r="B5767">
            <v>15.7973</v>
          </cell>
          <cell r="C5767">
            <v>11.735512328767124</v>
          </cell>
        </row>
        <row r="5768">
          <cell r="B5768">
            <v>15.8</v>
          </cell>
          <cell r="C5768">
            <v>11.7356</v>
          </cell>
        </row>
        <row r="5769">
          <cell r="B5769">
            <v>15.8027</v>
          </cell>
          <cell r="C5769">
            <v>11.735687671232878</v>
          </cell>
        </row>
        <row r="5770">
          <cell r="B5770">
            <v>15.8055</v>
          </cell>
          <cell r="C5770">
            <v>11.735775342465754</v>
          </cell>
        </row>
        <row r="5771">
          <cell r="B5771">
            <v>15.808199999999999</v>
          </cell>
          <cell r="C5771">
            <v>11.73586301369863</v>
          </cell>
        </row>
        <row r="5772">
          <cell r="B5772">
            <v>15.811</v>
          </cell>
          <cell r="C5772">
            <v>11.735950684931508</v>
          </cell>
        </row>
        <row r="5773">
          <cell r="B5773">
            <v>15.813700000000001</v>
          </cell>
          <cell r="C5773">
            <v>11.736038356164384</v>
          </cell>
        </row>
        <row r="5774">
          <cell r="B5774">
            <v>15.8164</v>
          </cell>
          <cell r="C5774">
            <v>11.73612602739726</v>
          </cell>
        </row>
        <row r="5775">
          <cell r="B5775">
            <v>15.8192</v>
          </cell>
          <cell r="C5775">
            <v>11.736213698630138</v>
          </cell>
        </row>
        <row r="5776">
          <cell r="B5776">
            <v>15.821899999999999</v>
          </cell>
          <cell r="C5776">
            <v>11.736301369863014</v>
          </cell>
        </row>
        <row r="5777">
          <cell r="B5777">
            <v>15.8247</v>
          </cell>
          <cell r="C5777">
            <v>11.73638904109589</v>
          </cell>
        </row>
        <row r="5778">
          <cell r="B5778">
            <v>15.827400000000001</v>
          </cell>
          <cell r="C5778">
            <v>11.736476712328768</v>
          </cell>
        </row>
        <row r="5779">
          <cell r="B5779">
            <v>15.8301</v>
          </cell>
          <cell r="C5779">
            <v>11.736564383561644</v>
          </cell>
        </row>
        <row r="5780">
          <cell r="B5780">
            <v>15.8329</v>
          </cell>
          <cell r="C5780">
            <v>11.73665205479452</v>
          </cell>
        </row>
        <row r="5781">
          <cell r="B5781">
            <v>15.835599999999999</v>
          </cell>
          <cell r="C5781">
            <v>11.736739726027398</v>
          </cell>
        </row>
        <row r="5782">
          <cell r="B5782">
            <v>15.8384</v>
          </cell>
          <cell r="C5782">
            <v>11.736827397260274</v>
          </cell>
        </row>
        <row r="5783">
          <cell r="B5783">
            <v>15.841100000000001</v>
          </cell>
          <cell r="C5783">
            <v>11.73691506849315</v>
          </cell>
        </row>
        <row r="5784">
          <cell r="B5784">
            <v>15.8438</v>
          </cell>
          <cell r="C5784">
            <v>11.737002739726028</v>
          </cell>
        </row>
        <row r="5785">
          <cell r="B5785">
            <v>15.8466</v>
          </cell>
          <cell r="C5785">
            <v>11.737090410958904</v>
          </cell>
        </row>
        <row r="5786">
          <cell r="B5786">
            <v>15.849299999999999</v>
          </cell>
          <cell r="C5786">
            <v>11.737178082191781</v>
          </cell>
        </row>
        <row r="5787">
          <cell r="B5787">
            <v>15.8521</v>
          </cell>
          <cell r="C5787">
            <v>11.737265753424658</v>
          </cell>
        </row>
        <row r="5788">
          <cell r="B5788">
            <v>15.854799999999999</v>
          </cell>
          <cell r="C5788">
            <v>11.737353424657535</v>
          </cell>
        </row>
        <row r="5789">
          <cell r="B5789">
            <v>15.8575</v>
          </cell>
          <cell r="C5789">
            <v>11.737441095890411</v>
          </cell>
        </row>
        <row r="5790">
          <cell r="B5790">
            <v>15.860300000000001</v>
          </cell>
          <cell r="C5790">
            <v>11.737528767123289</v>
          </cell>
        </row>
        <row r="5791">
          <cell r="B5791">
            <v>15.863</v>
          </cell>
          <cell r="C5791">
            <v>11.737616438356165</v>
          </cell>
        </row>
        <row r="5792">
          <cell r="B5792">
            <v>15.8658</v>
          </cell>
          <cell r="C5792">
            <v>11.737704109589041</v>
          </cell>
        </row>
        <row r="5793">
          <cell r="B5793">
            <v>15.868499999999999</v>
          </cell>
          <cell r="C5793">
            <v>11.737791780821919</v>
          </cell>
        </row>
        <row r="5794">
          <cell r="B5794">
            <v>15.8712</v>
          </cell>
          <cell r="C5794">
            <v>11.737879452054795</v>
          </cell>
        </row>
        <row r="5795">
          <cell r="B5795">
            <v>15.874000000000001</v>
          </cell>
          <cell r="C5795">
            <v>11.737967123287671</v>
          </cell>
        </row>
        <row r="5796">
          <cell r="B5796">
            <v>15.8767</v>
          </cell>
          <cell r="C5796">
            <v>11.738054794520549</v>
          </cell>
        </row>
        <row r="5797">
          <cell r="B5797">
            <v>15.8795</v>
          </cell>
          <cell r="C5797">
            <v>11.738142465753425</v>
          </cell>
        </row>
        <row r="5798">
          <cell r="B5798">
            <v>15.882199999999999</v>
          </cell>
          <cell r="C5798">
            <v>11.738230136986301</v>
          </cell>
        </row>
        <row r="5799">
          <cell r="B5799">
            <v>15.8849</v>
          </cell>
          <cell r="C5799">
            <v>11.738317808219179</v>
          </cell>
        </row>
        <row r="5800">
          <cell r="B5800">
            <v>15.887700000000001</v>
          </cell>
          <cell r="C5800">
            <v>11.738405479452055</v>
          </cell>
        </row>
        <row r="5801">
          <cell r="B5801">
            <v>15.8904</v>
          </cell>
          <cell r="C5801">
            <v>11.738493150684931</v>
          </cell>
        </row>
        <row r="5802">
          <cell r="B5802">
            <v>15.8932</v>
          </cell>
          <cell r="C5802">
            <v>11.738580821917809</v>
          </cell>
        </row>
        <row r="5803">
          <cell r="B5803">
            <v>15.895899999999999</v>
          </cell>
          <cell r="C5803">
            <v>11.738668493150685</v>
          </cell>
        </row>
        <row r="5804">
          <cell r="B5804">
            <v>15.8986</v>
          </cell>
          <cell r="C5804">
            <v>11.738756164383561</v>
          </cell>
        </row>
        <row r="5805">
          <cell r="B5805">
            <v>15.901400000000001</v>
          </cell>
          <cell r="C5805">
            <v>11.738843835616439</v>
          </cell>
        </row>
        <row r="5806">
          <cell r="B5806">
            <v>15.9041</v>
          </cell>
          <cell r="C5806">
            <v>11.738931506849315</v>
          </cell>
        </row>
        <row r="5807">
          <cell r="B5807">
            <v>15.9068</v>
          </cell>
          <cell r="C5807">
            <v>11.739019178082192</v>
          </cell>
        </row>
        <row r="5808">
          <cell r="B5808">
            <v>15.909599999999999</v>
          </cell>
          <cell r="C5808">
            <v>11.739106849315069</v>
          </cell>
        </row>
        <row r="5809">
          <cell r="B5809">
            <v>15.9123</v>
          </cell>
          <cell r="C5809">
            <v>11.739194520547946</v>
          </cell>
        </row>
        <row r="5810">
          <cell r="B5810">
            <v>15.915100000000001</v>
          </cell>
          <cell r="C5810">
            <v>11.739282191780822</v>
          </cell>
        </row>
        <row r="5811">
          <cell r="B5811">
            <v>15.9178</v>
          </cell>
          <cell r="C5811">
            <v>11.7393698630137</v>
          </cell>
        </row>
        <row r="5812">
          <cell r="B5812">
            <v>15.920500000000001</v>
          </cell>
          <cell r="C5812">
            <v>11.739457534246576</v>
          </cell>
        </row>
        <row r="5813">
          <cell r="B5813">
            <v>15.923299999999999</v>
          </cell>
          <cell r="C5813">
            <v>11.739545205479452</v>
          </cell>
        </row>
        <row r="5814">
          <cell r="B5814">
            <v>15.926</v>
          </cell>
          <cell r="C5814">
            <v>11.73963287671233</v>
          </cell>
        </row>
        <row r="5815">
          <cell r="B5815">
            <v>15.928800000000001</v>
          </cell>
          <cell r="C5815">
            <v>11.739720547945206</v>
          </cell>
        </row>
        <row r="5816">
          <cell r="B5816">
            <v>15.9315</v>
          </cell>
          <cell r="C5816">
            <v>11.739808219178082</v>
          </cell>
        </row>
        <row r="5817">
          <cell r="B5817">
            <v>15.934200000000001</v>
          </cell>
          <cell r="C5817">
            <v>11.73989589041096</v>
          </cell>
        </row>
        <row r="5818">
          <cell r="B5818">
            <v>15.936999999999999</v>
          </cell>
          <cell r="C5818">
            <v>11.739983561643836</v>
          </cell>
        </row>
        <row r="5819">
          <cell r="B5819">
            <v>15.9397</v>
          </cell>
          <cell r="C5819">
            <v>11.740071232876712</v>
          </cell>
        </row>
        <row r="5820">
          <cell r="B5820">
            <v>15.942500000000001</v>
          </cell>
          <cell r="C5820">
            <v>11.74015890410959</v>
          </cell>
        </row>
        <row r="5821">
          <cell r="B5821">
            <v>15.9452</v>
          </cell>
          <cell r="C5821">
            <v>11.740246575342466</v>
          </cell>
        </row>
        <row r="5822">
          <cell r="B5822">
            <v>15.947900000000001</v>
          </cell>
          <cell r="C5822">
            <v>11.740334246575342</v>
          </cell>
        </row>
        <row r="5823">
          <cell r="B5823">
            <v>15.950699999999999</v>
          </cell>
          <cell r="C5823">
            <v>11.74042191780822</v>
          </cell>
        </row>
        <row r="5824">
          <cell r="B5824">
            <v>15.9534</v>
          </cell>
          <cell r="C5824">
            <v>11.740509589041096</v>
          </cell>
        </row>
        <row r="5825">
          <cell r="B5825">
            <v>15.956200000000001</v>
          </cell>
          <cell r="C5825">
            <v>11.740597260273972</v>
          </cell>
        </row>
        <row r="5826">
          <cell r="B5826">
            <v>15.9589</v>
          </cell>
          <cell r="C5826">
            <v>11.74068493150685</v>
          </cell>
        </row>
        <row r="5827">
          <cell r="B5827">
            <v>15.961600000000001</v>
          </cell>
          <cell r="C5827">
            <v>11.740772602739726</v>
          </cell>
        </row>
        <row r="5828">
          <cell r="B5828">
            <v>15.964399999999999</v>
          </cell>
          <cell r="C5828">
            <v>11.740860273972602</v>
          </cell>
        </row>
        <row r="5829">
          <cell r="B5829">
            <v>15.9671</v>
          </cell>
          <cell r="C5829">
            <v>11.74094794520548</v>
          </cell>
        </row>
        <row r="5830">
          <cell r="B5830">
            <v>15.969900000000001</v>
          </cell>
          <cell r="C5830">
            <v>11.741035616438356</v>
          </cell>
        </row>
        <row r="5831">
          <cell r="B5831">
            <v>15.9726</v>
          </cell>
          <cell r="C5831">
            <v>11.741123287671233</v>
          </cell>
        </row>
        <row r="5832">
          <cell r="B5832">
            <v>15.975300000000001</v>
          </cell>
          <cell r="C5832">
            <v>11.74121095890411</v>
          </cell>
        </row>
        <row r="5833">
          <cell r="B5833">
            <v>15.9781</v>
          </cell>
          <cell r="C5833">
            <v>11.741298630136987</v>
          </cell>
        </row>
        <row r="5834">
          <cell r="B5834">
            <v>15.9808</v>
          </cell>
          <cell r="C5834">
            <v>11.741386301369863</v>
          </cell>
        </row>
        <row r="5835">
          <cell r="B5835">
            <v>15.983599999999999</v>
          </cell>
          <cell r="C5835">
            <v>11.741473972602741</v>
          </cell>
        </row>
        <row r="5836">
          <cell r="B5836">
            <v>15.9863</v>
          </cell>
          <cell r="C5836">
            <v>11.741561643835617</v>
          </cell>
        </row>
        <row r="5837">
          <cell r="B5837">
            <v>15.989000000000001</v>
          </cell>
          <cell r="C5837">
            <v>11.741649315068493</v>
          </cell>
        </row>
        <row r="5838">
          <cell r="B5838">
            <v>15.9918</v>
          </cell>
          <cell r="C5838">
            <v>11.741736986301371</v>
          </cell>
        </row>
        <row r="5839">
          <cell r="B5839">
            <v>15.9945</v>
          </cell>
          <cell r="C5839">
            <v>11.741824657534247</v>
          </cell>
        </row>
        <row r="5840">
          <cell r="B5840">
            <v>15.997299999999999</v>
          </cell>
          <cell r="C5840">
            <v>11.741912328767123</v>
          </cell>
        </row>
        <row r="5841">
          <cell r="B5841">
            <v>16</v>
          </cell>
          <cell r="C5841">
            <v>11.742000000000001</v>
          </cell>
        </row>
        <row r="5842">
          <cell r="B5842">
            <v>16.002700000000001</v>
          </cell>
          <cell r="C5842">
            <v>11.742087671232877</v>
          </cell>
        </row>
        <row r="5843">
          <cell r="B5843">
            <v>16.005500000000001</v>
          </cell>
          <cell r="C5843">
            <v>11.742175342465753</v>
          </cell>
        </row>
        <row r="5844">
          <cell r="B5844">
            <v>16.008199999999999</v>
          </cell>
          <cell r="C5844">
            <v>11.742263013698631</v>
          </cell>
        </row>
        <row r="5845">
          <cell r="B5845">
            <v>16.010999999999999</v>
          </cell>
          <cell r="C5845">
            <v>11.742350684931507</v>
          </cell>
        </row>
        <row r="5846">
          <cell r="B5846">
            <v>16.0137</v>
          </cell>
          <cell r="C5846">
            <v>11.742438356164383</v>
          </cell>
        </row>
        <row r="5847">
          <cell r="B5847">
            <v>16.016400000000001</v>
          </cell>
          <cell r="C5847">
            <v>11.742526027397261</v>
          </cell>
        </row>
        <row r="5848">
          <cell r="B5848">
            <v>16.019200000000001</v>
          </cell>
          <cell r="C5848">
            <v>11.742613698630137</v>
          </cell>
        </row>
        <row r="5849">
          <cell r="B5849">
            <v>16.021899999999999</v>
          </cell>
          <cell r="C5849">
            <v>11.742701369863013</v>
          </cell>
        </row>
        <row r="5850">
          <cell r="B5850">
            <v>16.024699999999999</v>
          </cell>
          <cell r="C5850">
            <v>11.742789041095891</v>
          </cell>
        </row>
        <row r="5851">
          <cell r="B5851">
            <v>16.0274</v>
          </cell>
          <cell r="C5851">
            <v>11.742876712328767</v>
          </cell>
        </row>
        <row r="5852">
          <cell r="B5852">
            <v>16.030100000000001</v>
          </cell>
          <cell r="C5852">
            <v>11.742964383561644</v>
          </cell>
        </row>
        <row r="5853">
          <cell r="B5853">
            <v>16.032900000000001</v>
          </cell>
          <cell r="C5853">
            <v>11.743052054794521</v>
          </cell>
        </row>
        <row r="5854">
          <cell r="B5854">
            <v>16.035599999999999</v>
          </cell>
          <cell r="C5854">
            <v>11.743139726027398</v>
          </cell>
        </row>
        <row r="5855">
          <cell r="B5855">
            <v>16.038399999999999</v>
          </cell>
          <cell r="C5855">
            <v>11.743227397260274</v>
          </cell>
        </row>
        <row r="5856">
          <cell r="B5856">
            <v>16.0411</v>
          </cell>
          <cell r="C5856">
            <v>11.743315068493152</v>
          </cell>
        </row>
        <row r="5857">
          <cell r="B5857">
            <v>16.043800000000001</v>
          </cell>
          <cell r="C5857">
            <v>11.743402739726028</v>
          </cell>
        </row>
        <row r="5858">
          <cell r="B5858">
            <v>16.046600000000002</v>
          </cell>
          <cell r="C5858">
            <v>11.743490410958904</v>
          </cell>
        </row>
        <row r="5859">
          <cell r="B5859">
            <v>16.049299999999999</v>
          </cell>
          <cell r="C5859">
            <v>11.743578082191782</v>
          </cell>
        </row>
        <row r="5860">
          <cell r="B5860">
            <v>16.052099999999999</v>
          </cell>
          <cell r="C5860">
            <v>11.743665753424658</v>
          </cell>
        </row>
        <row r="5861">
          <cell r="B5861">
            <v>16.0548</v>
          </cell>
          <cell r="C5861">
            <v>11.743753424657534</v>
          </cell>
        </row>
        <row r="5862">
          <cell r="B5862">
            <v>16.057500000000001</v>
          </cell>
          <cell r="C5862">
            <v>11.743841095890412</v>
          </cell>
        </row>
        <row r="5863">
          <cell r="B5863">
            <v>16.060300000000002</v>
          </cell>
          <cell r="C5863">
            <v>11.743928767123288</v>
          </cell>
        </row>
        <row r="5864">
          <cell r="B5864">
            <v>16.062999999999999</v>
          </cell>
          <cell r="C5864">
            <v>11.744016438356164</v>
          </cell>
        </row>
        <row r="5865">
          <cell r="B5865">
            <v>16.065799999999999</v>
          </cell>
          <cell r="C5865">
            <v>11.744104109589042</v>
          </cell>
        </row>
        <row r="5866">
          <cell r="B5866">
            <v>16.0685</v>
          </cell>
          <cell r="C5866">
            <v>11.744191780821918</v>
          </cell>
        </row>
        <row r="5867">
          <cell r="B5867">
            <v>16.071200000000001</v>
          </cell>
          <cell r="C5867">
            <v>11.744279452054794</v>
          </cell>
        </row>
        <row r="5868">
          <cell r="B5868">
            <v>16.074000000000002</v>
          </cell>
          <cell r="C5868">
            <v>11.744367123287672</v>
          </cell>
        </row>
        <row r="5869">
          <cell r="B5869">
            <v>16.076699999999999</v>
          </cell>
          <cell r="C5869">
            <v>11.744454794520548</v>
          </cell>
        </row>
        <row r="5870">
          <cell r="B5870">
            <v>16.079499999999999</v>
          </cell>
          <cell r="C5870">
            <v>11.744542465753424</v>
          </cell>
        </row>
        <row r="5871">
          <cell r="B5871">
            <v>16.0822</v>
          </cell>
          <cell r="C5871">
            <v>11.744630136986302</v>
          </cell>
        </row>
        <row r="5872">
          <cell r="B5872">
            <v>16.084900000000001</v>
          </cell>
          <cell r="C5872">
            <v>11.744717808219178</v>
          </cell>
        </row>
        <row r="5873">
          <cell r="B5873">
            <v>16.087700000000002</v>
          </cell>
          <cell r="C5873">
            <v>11.744805479452054</v>
          </cell>
        </row>
        <row r="5874">
          <cell r="B5874">
            <v>16.090399999999999</v>
          </cell>
          <cell r="C5874">
            <v>11.744893150684932</v>
          </cell>
        </row>
        <row r="5875">
          <cell r="B5875">
            <v>16.0932</v>
          </cell>
          <cell r="C5875">
            <v>11.744980821917808</v>
          </cell>
        </row>
        <row r="5876">
          <cell r="B5876">
            <v>16.0959</v>
          </cell>
          <cell r="C5876">
            <v>11.745068493150685</v>
          </cell>
        </row>
        <row r="5877">
          <cell r="B5877">
            <v>16.098600000000001</v>
          </cell>
          <cell r="C5877">
            <v>11.745156164383562</v>
          </cell>
        </row>
        <row r="5878">
          <cell r="B5878">
            <v>16.101400000000002</v>
          </cell>
          <cell r="C5878">
            <v>11.745243835616439</v>
          </cell>
        </row>
        <row r="5879">
          <cell r="B5879">
            <v>16.104099999999999</v>
          </cell>
          <cell r="C5879">
            <v>11.745331506849315</v>
          </cell>
        </row>
        <row r="5880">
          <cell r="B5880">
            <v>16.1068</v>
          </cell>
          <cell r="C5880">
            <v>11.745419178082193</v>
          </cell>
        </row>
        <row r="5881">
          <cell r="B5881">
            <v>16.1096</v>
          </cell>
          <cell r="C5881">
            <v>11.745506849315069</v>
          </cell>
        </row>
        <row r="5882">
          <cell r="B5882">
            <v>16.112300000000001</v>
          </cell>
          <cell r="C5882">
            <v>11.745594520547945</v>
          </cell>
        </row>
        <row r="5883">
          <cell r="B5883">
            <v>16.115100000000002</v>
          </cell>
          <cell r="C5883">
            <v>11.745682191780823</v>
          </cell>
        </row>
        <row r="5884">
          <cell r="B5884">
            <v>16.117799999999999</v>
          </cell>
          <cell r="C5884">
            <v>11.745769863013699</v>
          </cell>
        </row>
        <row r="5885">
          <cell r="B5885">
            <v>16.1205</v>
          </cell>
          <cell r="C5885">
            <v>11.745857534246575</v>
          </cell>
        </row>
        <row r="5886">
          <cell r="B5886">
            <v>16.1233</v>
          </cell>
          <cell r="C5886">
            <v>11.745945205479453</v>
          </cell>
        </row>
        <row r="5887">
          <cell r="B5887">
            <v>16.126000000000001</v>
          </cell>
          <cell r="C5887">
            <v>11.746032876712329</v>
          </cell>
        </row>
        <row r="5888">
          <cell r="B5888">
            <v>16.128799999999998</v>
          </cell>
          <cell r="C5888">
            <v>11.746120547945205</v>
          </cell>
        </row>
        <row r="5889">
          <cell r="B5889">
            <v>16.131499999999999</v>
          </cell>
          <cell r="C5889">
            <v>11.746208219178083</v>
          </cell>
        </row>
        <row r="5890">
          <cell r="B5890">
            <v>16.1342</v>
          </cell>
          <cell r="C5890">
            <v>11.746295890410959</v>
          </cell>
        </row>
        <row r="5891">
          <cell r="B5891">
            <v>16.137</v>
          </cell>
          <cell r="C5891">
            <v>11.746383561643835</v>
          </cell>
        </row>
        <row r="5892">
          <cell r="B5892">
            <v>16.139700000000001</v>
          </cell>
          <cell r="C5892">
            <v>11.746471232876713</v>
          </cell>
        </row>
        <row r="5893">
          <cell r="B5893">
            <v>16.142499999999998</v>
          </cell>
          <cell r="C5893">
            <v>11.746558904109589</v>
          </cell>
        </row>
        <row r="5894">
          <cell r="B5894">
            <v>16.145199999999999</v>
          </cell>
          <cell r="C5894">
            <v>11.746646575342465</v>
          </cell>
        </row>
        <row r="5895">
          <cell r="B5895">
            <v>16.1479</v>
          </cell>
          <cell r="C5895">
            <v>11.746734246575343</v>
          </cell>
        </row>
        <row r="5896">
          <cell r="B5896">
            <v>16.150700000000001</v>
          </cell>
          <cell r="C5896">
            <v>11.746821917808219</v>
          </cell>
        </row>
        <row r="5897">
          <cell r="B5897">
            <v>16.153400000000001</v>
          </cell>
          <cell r="C5897">
            <v>11.746909589041096</v>
          </cell>
        </row>
        <row r="5898">
          <cell r="B5898">
            <v>16.156199999999998</v>
          </cell>
          <cell r="C5898">
            <v>11.746997260273973</v>
          </cell>
        </row>
        <row r="5899">
          <cell r="B5899">
            <v>16.158899999999999</v>
          </cell>
          <cell r="C5899">
            <v>11.74708493150685</v>
          </cell>
        </row>
        <row r="5900">
          <cell r="B5900">
            <v>16.1616</v>
          </cell>
          <cell r="C5900">
            <v>11.747172602739726</v>
          </cell>
        </row>
        <row r="5901">
          <cell r="B5901">
            <v>16.164400000000001</v>
          </cell>
          <cell r="C5901">
            <v>11.747260273972604</v>
          </cell>
        </row>
        <row r="5902">
          <cell r="B5902">
            <v>16.167100000000001</v>
          </cell>
          <cell r="C5902">
            <v>11.74734794520548</v>
          </cell>
        </row>
        <row r="5903">
          <cell r="B5903">
            <v>16.169899999999998</v>
          </cell>
          <cell r="C5903">
            <v>11.747435616438356</v>
          </cell>
        </row>
        <row r="5904">
          <cell r="B5904">
            <v>16.172599999999999</v>
          </cell>
          <cell r="C5904">
            <v>11.747523287671234</v>
          </cell>
        </row>
        <row r="5905">
          <cell r="B5905">
            <v>16.1753</v>
          </cell>
          <cell r="C5905">
            <v>11.74761095890411</v>
          </cell>
        </row>
        <row r="5906">
          <cell r="B5906">
            <v>16.178100000000001</v>
          </cell>
          <cell r="C5906">
            <v>11.747698630136986</v>
          </cell>
        </row>
        <row r="5907">
          <cell r="B5907">
            <v>16.180800000000001</v>
          </cell>
          <cell r="C5907">
            <v>11.747786301369864</v>
          </cell>
        </row>
        <row r="5908">
          <cell r="B5908">
            <v>16.183599999999998</v>
          </cell>
          <cell r="C5908">
            <v>11.74787397260274</v>
          </cell>
        </row>
        <row r="5909">
          <cell r="B5909">
            <v>16.186299999999999</v>
          </cell>
          <cell r="C5909">
            <v>11.747961643835616</v>
          </cell>
        </row>
        <row r="5910">
          <cell r="B5910">
            <v>16.189</v>
          </cell>
          <cell r="C5910">
            <v>11.748049315068494</v>
          </cell>
        </row>
        <row r="5911">
          <cell r="B5911">
            <v>16.191800000000001</v>
          </cell>
          <cell r="C5911">
            <v>11.74813698630137</v>
          </cell>
        </row>
        <row r="5912">
          <cell r="B5912">
            <v>16.194500000000001</v>
          </cell>
          <cell r="C5912">
            <v>11.748224657534246</v>
          </cell>
        </row>
        <row r="5913">
          <cell r="B5913">
            <v>16.197299999999998</v>
          </cell>
          <cell r="C5913">
            <v>11.748312328767124</v>
          </cell>
        </row>
        <row r="5914">
          <cell r="B5914">
            <v>16.2</v>
          </cell>
          <cell r="C5914">
            <v>11.7484</v>
          </cell>
        </row>
        <row r="5915">
          <cell r="B5915">
            <v>16.2027</v>
          </cell>
          <cell r="C5915">
            <v>11.748487671232876</v>
          </cell>
        </row>
        <row r="5916">
          <cell r="B5916">
            <v>16.205500000000001</v>
          </cell>
          <cell r="C5916">
            <v>11.748575342465754</v>
          </cell>
        </row>
        <row r="5917">
          <cell r="B5917">
            <v>16.208200000000001</v>
          </cell>
          <cell r="C5917">
            <v>11.74866301369863</v>
          </cell>
        </row>
        <row r="5918">
          <cell r="B5918">
            <v>16.210999999999999</v>
          </cell>
          <cell r="C5918">
            <v>11.748750684931506</v>
          </cell>
        </row>
        <row r="5919">
          <cell r="B5919">
            <v>16.213699999999999</v>
          </cell>
          <cell r="C5919">
            <v>11.748838356164384</v>
          </cell>
        </row>
        <row r="5920">
          <cell r="B5920">
            <v>16.2164</v>
          </cell>
          <cell r="C5920">
            <v>11.74892602739726</v>
          </cell>
        </row>
        <row r="5921">
          <cell r="B5921">
            <v>16.219200000000001</v>
          </cell>
          <cell r="C5921">
            <v>11.749013698630137</v>
          </cell>
        </row>
        <row r="5922">
          <cell r="B5922">
            <v>16.221900000000002</v>
          </cell>
          <cell r="C5922">
            <v>11.749101369863014</v>
          </cell>
        </row>
        <row r="5923">
          <cell r="B5923">
            <v>16.224699999999999</v>
          </cell>
          <cell r="C5923">
            <v>11.749189041095891</v>
          </cell>
        </row>
        <row r="5924">
          <cell r="B5924">
            <v>16.227399999999999</v>
          </cell>
          <cell r="C5924">
            <v>11.749276712328768</v>
          </cell>
        </row>
        <row r="5925">
          <cell r="B5925">
            <v>16.2301</v>
          </cell>
          <cell r="C5925">
            <v>11.749364383561645</v>
          </cell>
        </row>
        <row r="5926">
          <cell r="B5926">
            <v>16.232900000000001</v>
          </cell>
          <cell r="C5926">
            <v>11.749452054794521</v>
          </cell>
        </row>
        <row r="5927">
          <cell r="B5927">
            <v>16.235600000000002</v>
          </cell>
          <cell r="C5927">
            <v>11.749539726027397</v>
          </cell>
        </row>
        <row r="5928">
          <cell r="B5928">
            <v>16.238399999999999</v>
          </cell>
          <cell r="C5928">
            <v>11.749627397260275</v>
          </cell>
        </row>
        <row r="5929">
          <cell r="B5929">
            <v>16.241099999999999</v>
          </cell>
          <cell r="C5929">
            <v>11.749715068493151</v>
          </cell>
        </row>
        <row r="5930">
          <cell r="B5930">
            <v>16.2438</v>
          </cell>
          <cell r="C5930">
            <v>11.749802739726029</v>
          </cell>
        </row>
        <row r="5931">
          <cell r="B5931">
            <v>16.246600000000001</v>
          </cell>
          <cell r="C5931">
            <v>11.749890410958905</v>
          </cell>
        </row>
        <row r="5932">
          <cell r="B5932">
            <v>16.249300000000002</v>
          </cell>
          <cell r="C5932">
            <v>11.749978082191781</v>
          </cell>
        </row>
        <row r="5933">
          <cell r="B5933">
            <v>16.252099999999999</v>
          </cell>
          <cell r="C5933">
            <v>11.750065753424657</v>
          </cell>
        </row>
        <row r="5934">
          <cell r="B5934">
            <v>16.254799999999999</v>
          </cell>
          <cell r="C5934">
            <v>11.750153424657535</v>
          </cell>
        </row>
        <row r="5935">
          <cell r="B5935">
            <v>16.2575</v>
          </cell>
          <cell r="C5935">
            <v>11.750241095890411</v>
          </cell>
        </row>
        <row r="5936">
          <cell r="B5936">
            <v>16.260300000000001</v>
          </cell>
          <cell r="C5936">
            <v>11.750328767123289</v>
          </cell>
        </row>
        <row r="5937">
          <cell r="B5937">
            <v>16.263000000000002</v>
          </cell>
          <cell r="C5937">
            <v>11.750416438356165</v>
          </cell>
        </row>
        <row r="5938">
          <cell r="B5938">
            <v>16.265799999999999</v>
          </cell>
          <cell r="C5938">
            <v>11.750504109589041</v>
          </cell>
        </row>
        <row r="5939">
          <cell r="B5939">
            <v>16.2685</v>
          </cell>
          <cell r="C5939">
            <v>11.750591780821919</v>
          </cell>
        </row>
        <row r="5940">
          <cell r="B5940">
            <v>16.2712</v>
          </cell>
          <cell r="C5940">
            <v>11.750679452054795</v>
          </cell>
        </row>
        <row r="5941">
          <cell r="B5941">
            <v>16.274000000000001</v>
          </cell>
          <cell r="C5941">
            <v>11.750767123287671</v>
          </cell>
        </row>
        <row r="5942">
          <cell r="B5942">
            <v>16.276700000000002</v>
          </cell>
          <cell r="C5942">
            <v>11.750854794520549</v>
          </cell>
        </row>
        <row r="5943">
          <cell r="B5943">
            <v>16.279499999999999</v>
          </cell>
          <cell r="C5943">
            <v>11.750942465753425</v>
          </cell>
        </row>
        <row r="5944">
          <cell r="B5944">
            <v>16.2822</v>
          </cell>
          <cell r="C5944">
            <v>11.751030136986301</v>
          </cell>
        </row>
        <row r="5945">
          <cell r="B5945">
            <v>16.2849</v>
          </cell>
          <cell r="C5945">
            <v>11.751117808219179</v>
          </cell>
        </row>
        <row r="5946">
          <cell r="B5946">
            <v>16.287700000000001</v>
          </cell>
          <cell r="C5946">
            <v>11.751205479452056</v>
          </cell>
        </row>
        <row r="5947">
          <cell r="B5947">
            <v>16.290400000000002</v>
          </cell>
          <cell r="C5947">
            <v>11.751293150684932</v>
          </cell>
        </row>
        <row r="5948">
          <cell r="B5948">
            <v>16.293199999999999</v>
          </cell>
          <cell r="C5948">
            <v>11.75138082191781</v>
          </cell>
        </row>
        <row r="5949">
          <cell r="B5949">
            <v>16.2959</v>
          </cell>
          <cell r="C5949">
            <v>11.751468493150686</v>
          </cell>
        </row>
        <row r="5950">
          <cell r="B5950">
            <v>16.2986</v>
          </cell>
          <cell r="C5950">
            <v>11.751556164383562</v>
          </cell>
        </row>
        <row r="5951">
          <cell r="B5951">
            <v>16.301400000000001</v>
          </cell>
          <cell r="C5951">
            <v>11.75164383561644</v>
          </cell>
        </row>
        <row r="5952">
          <cell r="B5952">
            <v>16.304099999999998</v>
          </cell>
          <cell r="C5952">
            <v>11.751731506849316</v>
          </cell>
        </row>
        <row r="5953">
          <cell r="B5953">
            <v>16.306799999999999</v>
          </cell>
          <cell r="C5953">
            <v>11.751819178082192</v>
          </cell>
        </row>
        <row r="5954">
          <cell r="B5954">
            <v>16.3096</v>
          </cell>
          <cell r="C5954">
            <v>11.75190684931507</v>
          </cell>
        </row>
        <row r="5955">
          <cell r="B5955">
            <v>16.3123</v>
          </cell>
          <cell r="C5955">
            <v>11.751994520547946</v>
          </cell>
        </row>
        <row r="5956">
          <cell r="B5956">
            <v>16.315100000000001</v>
          </cell>
          <cell r="C5956">
            <v>11.752082191780822</v>
          </cell>
        </row>
        <row r="5957">
          <cell r="B5957">
            <v>16.317799999999998</v>
          </cell>
          <cell r="C5957">
            <v>11.7521698630137</v>
          </cell>
        </row>
        <row r="5958">
          <cell r="B5958">
            <v>16.320499999999999</v>
          </cell>
          <cell r="C5958">
            <v>11.752257534246576</v>
          </cell>
        </row>
        <row r="5959">
          <cell r="B5959">
            <v>16.3233</v>
          </cell>
          <cell r="C5959">
            <v>11.752345205479452</v>
          </cell>
        </row>
        <row r="5960">
          <cell r="B5960">
            <v>16.326000000000001</v>
          </cell>
          <cell r="C5960">
            <v>11.75243287671233</v>
          </cell>
        </row>
        <row r="5961">
          <cell r="B5961">
            <v>16.328800000000001</v>
          </cell>
          <cell r="C5961">
            <v>11.752520547945206</v>
          </cell>
        </row>
        <row r="5962">
          <cell r="B5962">
            <v>16.331499999999998</v>
          </cell>
          <cell r="C5962">
            <v>11.752608219178082</v>
          </cell>
        </row>
        <row r="5963">
          <cell r="B5963">
            <v>16.334199999999999</v>
          </cell>
          <cell r="C5963">
            <v>11.75269589041096</v>
          </cell>
        </row>
        <row r="5964">
          <cell r="B5964">
            <v>16.337</v>
          </cell>
          <cell r="C5964">
            <v>11.752783561643836</v>
          </cell>
        </row>
        <row r="5965">
          <cell r="B5965">
            <v>16.339700000000001</v>
          </cell>
          <cell r="C5965">
            <v>11.752871232876712</v>
          </cell>
        </row>
        <row r="5966">
          <cell r="B5966">
            <v>16.342500000000001</v>
          </cell>
          <cell r="C5966">
            <v>11.75295890410959</v>
          </cell>
        </row>
        <row r="5967">
          <cell r="B5967">
            <v>16.345199999999998</v>
          </cell>
          <cell r="C5967">
            <v>11.753046575342466</v>
          </cell>
        </row>
        <row r="5968">
          <cell r="B5968">
            <v>16.347899999999999</v>
          </cell>
          <cell r="C5968">
            <v>11.753134246575343</v>
          </cell>
        </row>
        <row r="5969">
          <cell r="B5969">
            <v>16.3507</v>
          </cell>
          <cell r="C5969">
            <v>11.75322191780822</v>
          </cell>
        </row>
        <row r="5970">
          <cell r="B5970">
            <v>16.353400000000001</v>
          </cell>
          <cell r="C5970">
            <v>11.753309589041097</v>
          </cell>
        </row>
        <row r="5971">
          <cell r="B5971">
            <v>16.356200000000001</v>
          </cell>
          <cell r="C5971">
            <v>11.753397260273973</v>
          </cell>
        </row>
        <row r="5972">
          <cell r="B5972">
            <v>16.358899999999998</v>
          </cell>
          <cell r="C5972">
            <v>11.753484931506851</v>
          </cell>
        </row>
        <row r="5973">
          <cell r="B5973">
            <v>16.361599999999999</v>
          </cell>
          <cell r="C5973">
            <v>11.753572602739727</v>
          </cell>
        </row>
        <row r="5974">
          <cell r="B5974">
            <v>16.3644</v>
          </cell>
          <cell r="C5974">
            <v>11.753660273972603</v>
          </cell>
        </row>
        <row r="5975">
          <cell r="B5975">
            <v>16.367100000000001</v>
          </cell>
          <cell r="C5975">
            <v>11.753747945205481</v>
          </cell>
        </row>
        <row r="5976">
          <cell r="B5976">
            <v>16.369900000000001</v>
          </cell>
          <cell r="C5976">
            <v>11.753835616438357</v>
          </cell>
        </row>
        <row r="5977">
          <cell r="B5977">
            <v>16.372599999999998</v>
          </cell>
          <cell r="C5977">
            <v>11.753923287671233</v>
          </cell>
        </row>
        <row r="5978">
          <cell r="B5978">
            <v>16.375299999999999</v>
          </cell>
          <cell r="C5978">
            <v>11.754010958904111</v>
          </cell>
        </row>
        <row r="5979">
          <cell r="B5979">
            <v>16.3781</v>
          </cell>
          <cell r="C5979">
            <v>11.754098630136987</v>
          </cell>
        </row>
        <row r="5980">
          <cell r="B5980">
            <v>16.380800000000001</v>
          </cell>
          <cell r="C5980">
            <v>11.754186301369863</v>
          </cell>
        </row>
        <row r="5981">
          <cell r="B5981">
            <v>16.383600000000001</v>
          </cell>
          <cell r="C5981">
            <v>11.754273972602741</v>
          </cell>
        </row>
        <row r="5982">
          <cell r="B5982">
            <v>16.386299999999999</v>
          </cell>
          <cell r="C5982">
            <v>11.754361643835617</v>
          </cell>
        </row>
        <row r="5983">
          <cell r="B5983">
            <v>16.388999999999999</v>
          </cell>
          <cell r="C5983">
            <v>11.754449315068493</v>
          </cell>
        </row>
        <row r="5984">
          <cell r="B5984">
            <v>16.3918</v>
          </cell>
          <cell r="C5984">
            <v>11.754536986301371</v>
          </cell>
        </row>
        <row r="5985">
          <cell r="B5985">
            <v>16.394500000000001</v>
          </cell>
          <cell r="C5985">
            <v>11.754624657534247</v>
          </cell>
        </row>
        <row r="5986">
          <cell r="B5986">
            <v>16.397300000000001</v>
          </cell>
          <cell r="C5986">
            <v>11.754712328767123</v>
          </cell>
        </row>
        <row r="5987">
          <cell r="B5987">
            <v>16.399999999999999</v>
          </cell>
          <cell r="C5987">
            <v>11.754800000000001</v>
          </cell>
        </row>
        <row r="5988">
          <cell r="B5988">
            <v>16.402699999999999</v>
          </cell>
          <cell r="C5988">
            <v>11.754887671232877</v>
          </cell>
        </row>
        <row r="5989">
          <cell r="B5989">
            <v>16.4055</v>
          </cell>
          <cell r="C5989">
            <v>11.754975342465753</v>
          </cell>
        </row>
        <row r="5990">
          <cell r="B5990">
            <v>16.408200000000001</v>
          </cell>
          <cell r="C5990">
            <v>11.755063013698631</v>
          </cell>
        </row>
        <row r="5991">
          <cell r="B5991">
            <v>16.411000000000001</v>
          </cell>
          <cell r="C5991">
            <v>11.755150684931507</v>
          </cell>
        </row>
        <row r="5992">
          <cell r="B5992">
            <v>16.413699999999999</v>
          </cell>
          <cell r="C5992">
            <v>11.755238356164384</v>
          </cell>
        </row>
        <row r="5993">
          <cell r="B5993">
            <v>16.416399999999999</v>
          </cell>
          <cell r="C5993">
            <v>11.755326027397262</v>
          </cell>
        </row>
        <row r="5994">
          <cell r="B5994">
            <v>16.4192</v>
          </cell>
          <cell r="C5994">
            <v>11.755413698630138</v>
          </cell>
        </row>
        <row r="5995">
          <cell r="B5995">
            <v>16.421900000000001</v>
          </cell>
          <cell r="C5995">
            <v>11.755501369863014</v>
          </cell>
        </row>
        <row r="5996">
          <cell r="B5996">
            <v>16.424700000000001</v>
          </cell>
          <cell r="C5996">
            <v>11.755589041095892</v>
          </cell>
        </row>
        <row r="5997">
          <cell r="B5997">
            <v>16.427399999999999</v>
          </cell>
          <cell r="C5997">
            <v>11.755676712328768</v>
          </cell>
        </row>
        <row r="5998">
          <cell r="B5998">
            <v>16.430099999999999</v>
          </cell>
          <cell r="C5998">
            <v>11.755764383561644</v>
          </cell>
        </row>
        <row r="5999">
          <cell r="B5999">
            <v>16.4329</v>
          </cell>
          <cell r="C5999">
            <v>11.755852054794522</v>
          </cell>
        </row>
        <row r="6000">
          <cell r="B6000">
            <v>16.435600000000001</v>
          </cell>
          <cell r="C6000">
            <v>11.755939726027398</v>
          </cell>
        </row>
        <row r="6001">
          <cell r="B6001">
            <v>16.438400000000001</v>
          </cell>
          <cell r="C6001">
            <v>11.756027397260274</v>
          </cell>
        </row>
        <row r="6002">
          <cell r="B6002">
            <v>16.441099999999999</v>
          </cell>
          <cell r="C6002">
            <v>11.756115068493152</v>
          </cell>
        </row>
        <row r="6003">
          <cell r="B6003">
            <v>16.4438</v>
          </cell>
          <cell r="C6003">
            <v>11.756202739726028</v>
          </cell>
        </row>
        <row r="6004">
          <cell r="B6004">
            <v>16.4466</v>
          </cell>
          <cell r="C6004">
            <v>11.756290410958904</v>
          </cell>
        </row>
        <row r="6005">
          <cell r="B6005">
            <v>16.449300000000001</v>
          </cell>
          <cell r="C6005">
            <v>11.756378082191782</v>
          </cell>
        </row>
        <row r="6006">
          <cell r="B6006">
            <v>16.452100000000002</v>
          </cell>
          <cell r="C6006">
            <v>11.756465753424658</v>
          </cell>
        </row>
        <row r="6007">
          <cell r="B6007">
            <v>16.454799999999999</v>
          </cell>
          <cell r="C6007">
            <v>11.756553424657534</v>
          </cell>
        </row>
        <row r="6008">
          <cell r="B6008">
            <v>16.4575</v>
          </cell>
          <cell r="C6008">
            <v>11.756641095890412</v>
          </cell>
        </row>
        <row r="6009">
          <cell r="B6009">
            <v>16.4603</v>
          </cell>
          <cell r="C6009">
            <v>11.756728767123288</v>
          </cell>
        </row>
        <row r="6010">
          <cell r="B6010">
            <v>16.463000000000001</v>
          </cell>
          <cell r="C6010">
            <v>11.756816438356164</v>
          </cell>
        </row>
        <row r="6011">
          <cell r="B6011">
            <v>16.465800000000002</v>
          </cell>
          <cell r="C6011">
            <v>11.756904109589042</v>
          </cell>
        </row>
        <row r="6012">
          <cell r="B6012">
            <v>16.468499999999999</v>
          </cell>
          <cell r="C6012">
            <v>11.756991780821918</v>
          </cell>
        </row>
        <row r="6013">
          <cell r="B6013">
            <v>16.4712</v>
          </cell>
          <cell r="C6013">
            <v>11.757079452054795</v>
          </cell>
        </row>
        <row r="6014">
          <cell r="B6014">
            <v>16.474</v>
          </cell>
          <cell r="C6014">
            <v>11.757167123287672</v>
          </cell>
        </row>
        <row r="6015">
          <cell r="B6015">
            <v>16.476700000000001</v>
          </cell>
          <cell r="C6015">
            <v>11.757254794520549</v>
          </cell>
        </row>
        <row r="6016">
          <cell r="B6016">
            <v>16.479500000000002</v>
          </cell>
          <cell r="C6016">
            <v>11.757342465753425</v>
          </cell>
        </row>
        <row r="6017">
          <cell r="B6017">
            <v>16.482199999999999</v>
          </cell>
          <cell r="C6017">
            <v>11.757430136986303</v>
          </cell>
        </row>
        <row r="6018">
          <cell r="B6018">
            <v>16.4849</v>
          </cell>
          <cell r="C6018">
            <v>11.757517808219179</v>
          </cell>
        </row>
        <row r="6019">
          <cell r="B6019">
            <v>16.4877</v>
          </cell>
          <cell r="C6019">
            <v>11.757605479452055</v>
          </cell>
        </row>
        <row r="6020">
          <cell r="B6020">
            <v>16.490400000000001</v>
          </cell>
          <cell r="C6020">
            <v>11.757693150684933</v>
          </cell>
        </row>
        <row r="6021">
          <cell r="B6021">
            <v>16.493200000000002</v>
          </cell>
          <cell r="C6021">
            <v>11.757780821917809</v>
          </cell>
        </row>
        <row r="6022">
          <cell r="B6022">
            <v>16.495899999999999</v>
          </cell>
          <cell r="C6022">
            <v>11.757868493150685</v>
          </cell>
        </row>
        <row r="6023">
          <cell r="B6023">
            <v>16.4986</v>
          </cell>
          <cell r="C6023">
            <v>11.757956164383563</v>
          </cell>
        </row>
        <row r="6024">
          <cell r="B6024">
            <v>16.5014</v>
          </cell>
          <cell r="C6024">
            <v>11.758043835616439</v>
          </cell>
        </row>
        <row r="6025">
          <cell r="B6025">
            <v>16.504100000000001</v>
          </cell>
          <cell r="C6025">
            <v>11.758131506849315</v>
          </cell>
        </row>
        <row r="6026">
          <cell r="B6026">
            <v>16.506799999999998</v>
          </cell>
          <cell r="C6026">
            <v>11.758219178082193</v>
          </cell>
        </row>
        <row r="6027">
          <cell r="B6027">
            <v>16.509599999999999</v>
          </cell>
          <cell r="C6027">
            <v>11.758306849315069</v>
          </cell>
        </row>
        <row r="6028">
          <cell r="B6028">
            <v>16.5123</v>
          </cell>
          <cell r="C6028">
            <v>11.758394520547945</v>
          </cell>
        </row>
        <row r="6029">
          <cell r="B6029">
            <v>16.5151</v>
          </cell>
          <cell r="C6029">
            <v>11.758482191780823</v>
          </cell>
        </row>
        <row r="6030">
          <cell r="B6030">
            <v>16.517800000000001</v>
          </cell>
          <cell r="C6030">
            <v>11.758569863013699</v>
          </cell>
        </row>
        <row r="6031">
          <cell r="B6031">
            <v>16.520499999999998</v>
          </cell>
          <cell r="C6031">
            <v>11.758657534246575</v>
          </cell>
        </row>
        <row r="6032">
          <cell r="B6032">
            <v>16.523299999999999</v>
          </cell>
          <cell r="C6032">
            <v>11.758745205479453</v>
          </cell>
        </row>
        <row r="6033">
          <cell r="B6033">
            <v>16.526</v>
          </cell>
          <cell r="C6033">
            <v>11.758832876712329</v>
          </cell>
        </row>
        <row r="6034">
          <cell r="B6034">
            <v>16.5288</v>
          </cell>
          <cell r="C6034">
            <v>11.758920547945205</v>
          </cell>
        </row>
        <row r="6035">
          <cell r="B6035">
            <v>16.531500000000001</v>
          </cell>
          <cell r="C6035">
            <v>11.759008219178083</v>
          </cell>
        </row>
        <row r="6036">
          <cell r="B6036">
            <v>16.534199999999998</v>
          </cell>
          <cell r="C6036">
            <v>11.759095890410959</v>
          </cell>
        </row>
        <row r="6037">
          <cell r="B6037">
            <v>16.536999999999999</v>
          </cell>
          <cell r="C6037">
            <v>11.759183561643836</v>
          </cell>
        </row>
        <row r="6038">
          <cell r="B6038">
            <v>16.5397</v>
          </cell>
          <cell r="C6038">
            <v>11.759271232876713</v>
          </cell>
        </row>
        <row r="6039">
          <cell r="B6039">
            <v>16.5425</v>
          </cell>
          <cell r="C6039">
            <v>11.75935890410959</v>
          </cell>
        </row>
        <row r="6040">
          <cell r="B6040">
            <v>16.545200000000001</v>
          </cell>
          <cell r="C6040">
            <v>11.759446575342466</v>
          </cell>
        </row>
        <row r="6041">
          <cell r="B6041">
            <v>16.547899999999998</v>
          </cell>
          <cell r="C6041">
            <v>11.759534246575344</v>
          </cell>
        </row>
        <row r="6042">
          <cell r="B6042">
            <v>16.550699999999999</v>
          </cell>
          <cell r="C6042">
            <v>11.75962191780822</v>
          </cell>
        </row>
        <row r="6043">
          <cell r="B6043">
            <v>16.5534</v>
          </cell>
          <cell r="C6043">
            <v>11.759709589041096</v>
          </cell>
        </row>
        <row r="6044">
          <cell r="B6044">
            <v>16.5562</v>
          </cell>
          <cell r="C6044">
            <v>11.759797260273974</v>
          </cell>
        </row>
        <row r="6045">
          <cell r="B6045">
            <v>16.558900000000001</v>
          </cell>
          <cell r="C6045">
            <v>11.75988493150685</v>
          </cell>
        </row>
        <row r="6046">
          <cell r="B6046">
            <v>16.561599999999999</v>
          </cell>
          <cell r="C6046">
            <v>11.759972602739726</v>
          </cell>
        </row>
        <row r="6047">
          <cell r="B6047">
            <v>16.564399999999999</v>
          </cell>
          <cell r="C6047">
            <v>11.760060273972604</v>
          </cell>
        </row>
        <row r="6048">
          <cell r="B6048">
            <v>16.5671</v>
          </cell>
          <cell r="C6048">
            <v>11.76014794520548</v>
          </cell>
        </row>
        <row r="6049">
          <cell r="B6049">
            <v>16.569900000000001</v>
          </cell>
          <cell r="C6049">
            <v>11.760235616438356</v>
          </cell>
        </row>
        <row r="6050">
          <cell r="B6050">
            <v>16.572600000000001</v>
          </cell>
          <cell r="C6050">
            <v>11.760323287671234</v>
          </cell>
        </row>
        <row r="6051">
          <cell r="B6051">
            <v>16.575299999999999</v>
          </cell>
          <cell r="C6051">
            <v>11.76041095890411</v>
          </cell>
        </row>
        <row r="6052">
          <cell r="B6052">
            <v>16.578099999999999</v>
          </cell>
          <cell r="C6052">
            <v>11.760498630136986</v>
          </cell>
        </row>
        <row r="6053">
          <cell r="B6053">
            <v>16.5808</v>
          </cell>
          <cell r="C6053">
            <v>11.760586301369864</v>
          </cell>
        </row>
        <row r="6054">
          <cell r="B6054">
            <v>16.583600000000001</v>
          </cell>
          <cell r="C6054">
            <v>11.76067397260274</v>
          </cell>
        </row>
        <row r="6055">
          <cell r="B6055">
            <v>16.586300000000001</v>
          </cell>
          <cell r="C6055">
            <v>11.760761643835616</v>
          </cell>
        </row>
        <row r="6056">
          <cell r="B6056">
            <v>16.588999999999999</v>
          </cell>
          <cell r="C6056">
            <v>11.760849315068494</v>
          </cell>
        </row>
        <row r="6057">
          <cell r="B6057">
            <v>16.591799999999999</v>
          </cell>
          <cell r="C6057">
            <v>11.76093698630137</v>
          </cell>
        </row>
        <row r="6058">
          <cell r="B6058">
            <v>16.5945</v>
          </cell>
          <cell r="C6058">
            <v>11.761024657534247</v>
          </cell>
        </row>
        <row r="6059">
          <cell r="B6059">
            <v>16.597300000000001</v>
          </cell>
          <cell r="C6059">
            <v>11.761112328767124</v>
          </cell>
        </row>
        <row r="6060">
          <cell r="B6060">
            <v>16.600000000000001</v>
          </cell>
          <cell r="C6060">
            <v>11.761200000000001</v>
          </cell>
        </row>
        <row r="6061">
          <cell r="B6061">
            <v>16.602699999999999</v>
          </cell>
          <cell r="C6061">
            <v>11.761287671232877</v>
          </cell>
        </row>
        <row r="6062">
          <cell r="B6062">
            <v>16.605499999999999</v>
          </cell>
          <cell r="C6062">
            <v>11.761375342465755</v>
          </cell>
        </row>
        <row r="6063">
          <cell r="B6063">
            <v>16.6082</v>
          </cell>
          <cell r="C6063">
            <v>11.761463013698631</v>
          </cell>
        </row>
        <row r="6064">
          <cell r="B6064">
            <v>16.611000000000001</v>
          </cell>
          <cell r="C6064">
            <v>11.761550684931507</v>
          </cell>
        </row>
        <row r="6065">
          <cell r="B6065">
            <v>16.613700000000001</v>
          </cell>
          <cell r="C6065">
            <v>11.761638356164385</v>
          </cell>
        </row>
        <row r="6066">
          <cell r="B6066">
            <v>16.616399999999999</v>
          </cell>
          <cell r="C6066">
            <v>11.761726027397261</v>
          </cell>
        </row>
        <row r="6067">
          <cell r="B6067">
            <v>16.619199999999999</v>
          </cell>
          <cell r="C6067">
            <v>11.761813698630137</v>
          </cell>
        </row>
        <row r="6068">
          <cell r="B6068">
            <v>16.6219</v>
          </cell>
          <cell r="C6068">
            <v>11.761901369863015</v>
          </cell>
        </row>
        <row r="6069">
          <cell r="B6069">
            <v>16.624700000000001</v>
          </cell>
          <cell r="C6069">
            <v>11.761989041095891</v>
          </cell>
        </row>
        <row r="6070">
          <cell r="B6070">
            <v>16.627400000000002</v>
          </cell>
          <cell r="C6070">
            <v>11.762076712328767</v>
          </cell>
        </row>
        <row r="6071">
          <cell r="B6071">
            <v>16.630099999999999</v>
          </cell>
          <cell r="C6071">
            <v>11.762164383561645</v>
          </cell>
        </row>
        <row r="6072">
          <cell r="B6072">
            <v>16.632899999999999</v>
          </cell>
          <cell r="C6072">
            <v>11.762252054794521</v>
          </cell>
        </row>
        <row r="6073">
          <cell r="B6073">
            <v>16.6356</v>
          </cell>
          <cell r="C6073">
            <v>11.762339726027397</v>
          </cell>
        </row>
        <row r="6074">
          <cell r="B6074">
            <v>16.638400000000001</v>
          </cell>
          <cell r="C6074">
            <v>11.762427397260275</v>
          </cell>
        </row>
        <row r="6075">
          <cell r="B6075">
            <v>16.641100000000002</v>
          </cell>
          <cell r="C6075">
            <v>11.762515068493151</v>
          </cell>
        </row>
        <row r="6076">
          <cell r="B6076">
            <v>16.643799999999999</v>
          </cell>
          <cell r="C6076">
            <v>11.762602739726027</v>
          </cell>
        </row>
        <row r="6077">
          <cell r="B6077">
            <v>16.646599999999999</v>
          </cell>
          <cell r="C6077">
            <v>11.762690410958905</v>
          </cell>
        </row>
        <row r="6078">
          <cell r="B6078">
            <v>16.6493</v>
          </cell>
          <cell r="C6078">
            <v>11.762778082191781</v>
          </cell>
        </row>
        <row r="6079">
          <cell r="B6079">
            <v>16.652100000000001</v>
          </cell>
          <cell r="C6079">
            <v>11.762865753424657</v>
          </cell>
        </row>
        <row r="6080">
          <cell r="B6080">
            <v>16.654800000000002</v>
          </cell>
          <cell r="C6080">
            <v>11.762953424657535</v>
          </cell>
        </row>
        <row r="6081">
          <cell r="B6081">
            <v>16.657499999999999</v>
          </cell>
          <cell r="C6081">
            <v>11.763041095890411</v>
          </cell>
        </row>
        <row r="6082">
          <cell r="B6082">
            <v>16.660299999999999</v>
          </cell>
          <cell r="C6082">
            <v>11.763128767123288</v>
          </cell>
        </row>
        <row r="6083">
          <cell r="B6083">
            <v>16.663</v>
          </cell>
          <cell r="C6083">
            <v>11.763216438356165</v>
          </cell>
        </row>
        <row r="6084">
          <cell r="B6084">
            <v>16.665800000000001</v>
          </cell>
          <cell r="C6084">
            <v>11.763304109589042</v>
          </cell>
        </row>
        <row r="6085">
          <cell r="B6085">
            <v>16.668500000000002</v>
          </cell>
          <cell r="C6085">
            <v>11.763391780821918</v>
          </cell>
        </row>
        <row r="6086">
          <cell r="B6086">
            <v>16.671199999999999</v>
          </cell>
          <cell r="C6086">
            <v>11.763479452054796</v>
          </cell>
        </row>
        <row r="6087">
          <cell r="B6087">
            <v>16.673999999999999</v>
          </cell>
          <cell r="C6087">
            <v>11.763567123287672</v>
          </cell>
        </row>
        <row r="6088">
          <cell r="B6088">
            <v>16.6767</v>
          </cell>
          <cell r="C6088">
            <v>11.763654794520548</v>
          </cell>
        </row>
        <row r="6089">
          <cell r="B6089">
            <v>16.679500000000001</v>
          </cell>
          <cell r="C6089">
            <v>11.763742465753426</v>
          </cell>
        </row>
        <row r="6090">
          <cell r="B6090">
            <v>16.682200000000002</v>
          </cell>
          <cell r="C6090">
            <v>11.763830136986302</v>
          </cell>
        </row>
        <row r="6091">
          <cell r="B6091">
            <v>16.684899999999999</v>
          </cell>
          <cell r="C6091">
            <v>11.763917808219178</v>
          </cell>
        </row>
        <row r="6092">
          <cell r="B6092">
            <v>16.6877</v>
          </cell>
          <cell r="C6092">
            <v>11.764005479452056</v>
          </cell>
        </row>
        <row r="6093">
          <cell r="B6093">
            <v>16.6904</v>
          </cell>
          <cell r="C6093">
            <v>11.764093150684932</v>
          </cell>
        </row>
        <row r="6094">
          <cell r="B6094">
            <v>16.693200000000001</v>
          </cell>
          <cell r="C6094">
            <v>11.764180821917808</v>
          </cell>
        </row>
        <row r="6095">
          <cell r="B6095">
            <v>16.695900000000002</v>
          </cell>
          <cell r="C6095">
            <v>11.764268493150686</v>
          </cell>
        </row>
        <row r="6096">
          <cell r="B6096">
            <v>16.698599999999999</v>
          </cell>
          <cell r="C6096">
            <v>11.764356164383562</v>
          </cell>
        </row>
        <row r="6097">
          <cell r="B6097">
            <v>16.7014</v>
          </cell>
          <cell r="C6097">
            <v>11.764443835616438</v>
          </cell>
        </row>
        <row r="6098">
          <cell r="B6098">
            <v>16.7041</v>
          </cell>
          <cell r="C6098">
            <v>11.764531506849316</v>
          </cell>
        </row>
        <row r="6099">
          <cell r="B6099">
            <v>16.706800000000001</v>
          </cell>
          <cell r="C6099">
            <v>11.764619178082192</v>
          </cell>
        </row>
        <row r="6100">
          <cell r="B6100">
            <v>16.709599999999998</v>
          </cell>
          <cell r="C6100">
            <v>11.764706849315068</v>
          </cell>
        </row>
        <row r="6101">
          <cell r="B6101">
            <v>16.712299999999999</v>
          </cell>
          <cell r="C6101">
            <v>11.764794520547946</v>
          </cell>
        </row>
        <row r="6102">
          <cell r="B6102">
            <v>16.7151</v>
          </cell>
          <cell r="C6102">
            <v>11.764882191780822</v>
          </cell>
        </row>
        <row r="6103">
          <cell r="B6103">
            <v>16.7178</v>
          </cell>
          <cell r="C6103">
            <v>11.764969863013699</v>
          </cell>
        </row>
        <row r="6104">
          <cell r="B6104">
            <v>16.720500000000001</v>
          </cell>
          <cell r="C6104">
            <v>11.765057534246576</v>
          </cell>
        </row>
        <row r="6105">
          <cell r="B6105">
            <v>16.723299999999998</v>
          </cell>
          <cell r="C6105">
            <v>11.765145205479453</v>
          </cell>
        </row>
        <row r="6106">
          <cell r="B6106">
            <v>16.725999999999999</v>
          </cell>
          <cell r="C6106">
            <v>11.765232876712329</v>
          </cell>
        </row>
        <row r="6107">
          <cell r="B6107">
            <v>16.7288</v>
          </cell>
          <cell r="C6107">
            <v>11.765320547945207</v>
          </cell>
        </row>
        <row r="6108">
          <cell r="B6108">
            <v>16.7315</v>
          </cell>
          <cell r="C6108">
            <v>11.765408219178083</v>
          </cell>
        </row>
        <row r="6109">
          <cell r="B6109">
            <v>16.734200000000001</v>
          </cell>
          <cell r="C6109">
            <v>11.765495890410959</v>
          </cell>
        </row>
        <row r="6110">
          <cell r="B6110">
            <v>16.736999999999998</v>
          </cell>
          <cell r="C6110">
            <v>11.765583561643837</v>
          </cell>
        </row>
        <row r="6111">
          <cell r="B6111">
            <v>16.739699999999999</v>
          </cell>
          <cell r="C6111">
            <v>11.765671232876713</v>
          </cell>
        </row>
        <row r="6112">
          <cell r="B6112">
            <v>16.7425</v>
          </cell>
          <cell r="C6112">
            <v>11.765758904109589</v>
          </cell>
        </row>
        <row r="6113">
          <cell r="B6113">
            <v>16.745200000000001</v>
          </cell>
          <cell r="C6113">
            <v>11.765846575342467</v>
          </cell>
        </row>
        <row r="6114">
          <cell r="B6114">
            <v>16.747900000000001</v>
          </cell>
          <cell r="C6114">
            <v>11.765934246575343</v>
          </cell>
        </row>
        <row r="6115">
          <cell r="B6115">
            <v>16.750699999999998</v>
          </cell>
          <cell r="C6115">
            <v>11.766021917808219</v>
          </cell>
        </row>
        <row r="6116">
          <cell r="B6116">
            <v>16.753399999999999</v>
          </cell>
          <cell r="C6116">
            <v>11.766109589041097</v>
          </cell>
        </row>
        <row r="6117">
          <cell r="B6117">
            <v>16.7562</v>
          </cell>
          <cell r="C6117">
            <v>11.766197260273973</v>
          </cell>
        </row>
        <row r="6118">
          <cell r="B6118">
            <v>16.758900000000001</v>
          </cell>
          <cell r="C6118">
            <v>11.766284931506849</v>
          </cell>
        </row>
        <row r="6119">
          <cell r="B6119">
            <v>16.761600000000001</v>
          </cell>
          <cell r="C6119">
            <v>11.766372602739727</v>
          </cell>
        </row>
        <row r="6120">
          <cell r="B6120">
            <v>16.764399999999998</v>
          </cell>
          <cell r="C6120">
            <v>11.766460273972603</v>
          </cell>
        </row>
        <row r="6121">
          <cell r="B6121">
            <v>16.767099999999999</v>
          </cell>
          <cell r="C6121">
            <v>11.766547945205479</v>
          </cell>
        </row>
        <row r="6122">
          <cell r="B6122">
            <v>16.7699</v>
          </cell>
          <cell r="C6122">
            <v>11.766635616438357</v>
          </cell>
        </row>
        <row r="6123">
          <cell r="B6123">
            <v>16.772600000000001</v>
          </cell>
          <cell r="C6123">
            <v>11.766723287671233</v>
          </cell>
        </row>
        <row r="6124">
          <cell r="B6124">
            <v>16.775300000000001</v>
          </cell>
          <cell r="C6124">
            <v>11.766810958904109</v>
          </cell>
        </row>
        <row r="6125">
          <cell r="B6125">
            <v>16.778099999999998</v>
          </cell>
          <cell r="C6125">
            <v>11.766898630136987</v>
          </cell>
        </row>
        <row r="6126">
          <cell r="B6126">
            <v>16.780799999999999</v>
          </cell>
          <cell r="C6126">
            <v>11.766986301369863</v>
          </cell>
        </row>
        <row r="6127">
          <cell r="B6127">
            <v>16.7836</v>
          </cell>
          <cell r="C6127">
            <v>11.76707397260274</v>
          </cell>
        </row>
        <row r="6128">
          <cell r="B6128">
            <v>16.786300000000001</v>
          </cell>
          <cell r="C6128">
            <v>11.767161643835617</v>
          </cell>
        </row>
        <row r="6129">
          <cell r="B6129">
            <v>16.789000000000001</v>
          </cell>
          <cell r="C6129">
            <v>11.767249315068494</v>
          </cell>
        </row>
        <row r="6130">
          <cell r="B6130">
            <v>16.791799999999999</v>
          </cell>
          <cell r="C6130">
            <v>11.76733698630137</v>
          </cell>
        </row>
        <row r="6131">
          <cell r="B6131">
            <v>16.794499999999999</v>
          </cell>
          <cell r="C6131">
            <v>11.767424657534248</v>
          </cell>
        </row>
        <row r="6132">
          <cell r="B6132">
            <v>16.7973</v>
          </cell>
          <cell r="C6132">
            <v>11.767512328767124</v>
          </cell>
        </row>
        <row r="6133">
          <cell r="B6133">
            <v>16.8</v>
          </cell>
          <cell r="C6133">
            <v>11.7676</v>
          </cell>
        </row>
        <row r="6134">
          <cell r="B6134">
            <v>16.802700000000002</v>
          </cell>
          <cell r="C6134">
            <v>11.767687671232878</v>
          </cell>
        </row>
        <row r="6135">
          <cell r="B6135">
            <v>16.805499999999999</v>
          </cell>
          <cell r="C6135">
            <v>11.767775342465754</v>
          </cell>
        </row>
        <row r="6136">
          <cell r="B6136">
            <v>16.808199999999999</v>
          </cell>
          <cell r="C6136">
            <v>11.76786301369863</v>
          </cell>
        </row>
        <row r="6137">
          <cell r="B6137">
            <v>16.811</v>
          </cell>
          <cell r="C6137">
            <v>11.767950684931508</v>
          </cell>
        </row>
        <row r="6138">
          <cell r="B6138">
            <v>16.813700000000001</v>
          </cell>
          <cell r="C6138">
            <v>11.768038356164384</v>
          </cell>
        </row>
        <row r="6139">
          <cell r="B6139">
            <v>16.816400000000002</v>
          </cell>
          <cell r="C6139">
            <v>11.76812602739726</v>
          </cell>
        </row>
        <row r="6140">
          <cell r="B6140">
            <v>16.819199999999999</v>
          </cell>
          <cell r="C6140">
            <v>11.768213698630138</v>
          </cell>
        </row>
        <row r="6141">
          <cell r="B6141">
            <v>16.821899999999999</v>
          </cell>
          <cell r="C6141">
            <v>11.768301369863014</v>
          </cell>
        </row>
        <row r="6142">
          <cell r="B6142">
            <v>16.8247</v>
          </cell>
          <cell r="C6142">
            <v>11.76838904109589</v>
          </cell>
        </row>
        <row r="6143">
          <cell r="B6143">
            <v>16.827400000000001</v>
          </cell>
          <cell r="C6143">
            <v>11.768476712328768</v>
          </cell>
        </row>
        <row r="6144">
          <cell r="B6144">
            <v>16.830100000000002</v>
          </cell>
          <cell r="C6144">
            <v>11.768564383561644</v>
          </cell>
        </row>
        <row r="6145">
          <cell r="B6145">
            <v>16.832899999999999</v>
          </cell>
          <cell r="C6145">
            <v>11.76865205479452</v>
          </cell>
        </row>
        <row r="6146">
          <cell r="B6146">
            <v>16.835599999999999</v>
          </cell>
          <cell r="C6146">
            <v>11.768739726027398</v>
          </cell>
        </row>
        <row r="6147">
          <cell r="B6147">
            <v>16.8384</v>
          </cell>
          <cell r="C6147">
            <v>11.768827397260274</v>
          </cell>
        </row>
        <row r="6148">
          <cell r="B6148">
            <v>16.841100000000001</v>
          </cell>
          <cell r="C6148">
            <v>11.76891506849315</v>
          </cell>
        </row>
        <row r="6149">
          <cell r="B6149">
            <v>16.843800000000002</v>
          </cell>
          <cell r="C6149">
            <v>11.769002739726028</v>
          </cell>
        </row>
        <row r="6150">
          <cell r="B6150">
            <v>16.846599999999999</v>
          </cell>
          <cell r="C6150">
            <v>11.769090410958905</v>
          </cell>
        </row>
        <row r="6151">
          <cell r="B6151">
            <v>16.849299999999999</v>
          </cell>
          <cell r="C6151">
            <v>11.769178082191781</v>
          </cell>
        </row>
        <row r="6152">
          <cell r="B6152">
            <v>16.8521</v>
          </cell>
          <cell r="C6152">
            <v>11.769265753424659</v>
          </cell>
        </row>
        <row r="6153">
          <cell r="B6153">
            <v>16.854800000000001</v>
          </cell>
          <cell r="C6153">
            <v>11.769353424657535</v>
          </cell>
        </row>
        <row r="6154">
          <cell r="B6154">
            <v>16.857500000000002</v>
          </cell>
          <cell r="C6154">
            <v>11.769441095890411</v>
          </cell>
        </row>
        <row r="6155">
          <cell r="B6155">
            <v>16.860299999999999</v>
          </cell>
          <cell r="C6155">
            <v>11.769528767123289</v>
          </cell>
        </row>
        <row r="6156">
          <cell r="B6156">
            <v>16.863</v>
          </cell>
          <cell r="C6156">
            <v>11.769616438356165</v>
          </cell>
        </row>
        <row r="6157">
          <cell r="B6157">
            <v>16.8658</v>
          </cell>
          <cell r="C6157">
            <v>11.769704109589041</v>
          </cell>
        </row>
        <row r="6158">
          <cell r="B6158">
            <v>16.868500000000001</v>
          </cell>
          <cell r="C6158">
            <v>11.769791780821919</v>
          </cell>
        </row>
        <row r="6159">
          <cell r="B6159">
            <v>16.871200000000002</v>
          </cell>
          <cell r="C6159">
            <v>11.769879452054795</v>
          </cell>
        </row>
        <row r="6160">
          <cell r="B6160">
            <v>16.873999999999999</v>
          </cell>
          <cell r="C6160">
            <v>11.769967123287671</v>
          </cell>
        </row>
        <row r="6161">
          <cell r="B6161">
            <v>16.8767</v>
          </cell>
          <cell r="C6161">
            <v>11.770054794520549</v>
          </cell>
        </row>
        <row r="6162">
          <cell r="B6162">
            <v>16.8795</v>
          </cell>
          <cell r="C6162">
            <v>11.770142465753425</v>
          </cell>
        </row>
        <row r="6163">
          <cell r="B6163">
            <v>16.882200000000001</v>
          </cell>
          <cell r="C6163">
            <v>11.770230136986301</v>
          </cell>
        </row>
        <row r="6164">
          <cell r="B6164">
            <v>16.884899999999998</v>
          </cell>
          <cell r="C6164">
            <v>11.770317808219179</v>
          </cell>
        </row>
        <row r="6165">
          <cell r="B6165">
            <v>16.887699999999999</v>
          </cell>
          <cell r="C6165">
            <v>11.770405479452055</v>
          </cell>
        </row>
        <row r="6166">
          <cell r="B6166">
            <v>16.8904</v>
          </cell>
          <cell r="C6166">
            <v>11.770493150684931</v>
          </cell>
        </row>
        <row r="6167">
          <cell r="B6167">
            <v>16.8932</v>
          </cell>
          <cell r="C6167">
            <v>11.770580821917809</v>
          </cell>
        </row>
        <row r="6168">
          <cell r="B6168">
            <v>16.895900000000001</v>
          </cell>
          <cell r="C6168">
            <v>11.770668493150685</v>
          </cell>
        </row>
        <row r="6169">
          <cell r="B6169">
            <v>16.898599999999998</v>
          </cell>
          <cell r="C6169">
            <v>11.770756164383561</v>
          </cell>
        </row>
        <row r="6170">
          <cell r="B6170">
            <v>16.901399999999999</v>
          </cell>
          <cell r="C6170">
            <v>11.770843835616439</v>
          </cell>
        </row>
        <row r="6171">
          <cell r="B6171">
            <v>16.9041</v>
          </cell>
          <cell r="C6171">
            <v>11.770931506849315</v>
          </cell>
        </row>
        <row r="6172">
          <cell r="B6172">
            <v>16.9068</v>
          </cell>
          <cell r="C6172">
            <v>11.771019178082192</v>
          </cell>
        </row>
        <row r="6173">
          <cell r="B6173">
            <v>16.909600000000001</v>
          </cell>
          <cell r="C6173">
            <v>11.771106849315069</v>
          </cell>
        </row>
        <row r="6174">
          <cell r="B6174">
            <v>16.912299999999998</v>
          </cell>
          <cell r="C6174">
            <v>11.771194520547946</v>
          </cell>
        </row>
        <row r="6175">
          <cell r="B6175">
            <v>16.915099999999999</v>
          </cell>
          <cell r="C6175">
            <v>11.771282191780822</v>
          </cell>
        </row>
        <row r="6176">
          <cell r="B6176">
            <v>16.9178</v>
          </cell>
          <cell r="C6176">
            <v>11.7713698630137</v>
          </cell>
        </row>
        <row r="6177">
          <cell r="B6177">
            <v>16.920500000000001</v>
          </cell>
          <cell r="C6177">
            <v>11.771457534246576</v>
          </cell>
        </row>
        <row r="6178">
          <cell r="B6178">
            <v>16.923300000000001</v>
          </cell>
          <cell r="C6178">
            <v>11.771545205479452</v>
          </cell>
        </row>
        <row r="6179">
          <cell r="B6179">
            <v>16.925999999999998</v>
          </cell>
          <cell r="C6179">
            <v>11.77163287671233</v>
          </cell>
        </row>
        <row r="6180">
          <cell r="B6180">
            <v>16.928799999999999</v>
          </cell>
          <cell r="C6180">
            <v>11.771720547945206</v>
          </cell>
        </row>
        <row r="6181">
          <cell r="B6181">
            <v>16.9315</v>
          </cell>
          <cell r="C6181">
            <v>11.771808219178082</v>
          </cell>
        </row>
        <row r="6182">
          <cell r="B6182">
            <v>16.934200000000001</v>
          </cell>
          <cell r="C6182">
            <v>11.77189589041096</v>
          </cell>
        </row>
        <row r="6183">
          <cell r="B6183">
            <v>16.937000000000001</v>
          </cell>
          <cell r="C6183">
            <v>11.771983561643836</v>
          </cell>
        </row>
        <row r="6184">
          <cell r="B6184">
            <v>16.939699999999998</v>
          </cell>
          <cell r="C6184">
            <v>11.772071232876712</v>
          </cell>
        </row>
        <row r="6185">
          <cell r="B6185">
            <v>16.942499999999999</v>
          </cell>
          <cell r="C6185">
            <v>11.77215890410959</v>
          </cell>
        </row>
        <row r="6186">
          <cell r="B6186">
            <v>16.9452</v>
          </cell>
          <cell r="C6186">
            <v>11.772246575342466</v>
          </cell>
        </row>
        <row r="6187">
          <cell r="B6187">
            <v>16.947900000000001</v>
          </cell>
          <cell r="C6187">
            <v>11.772334246575342</v>
          </cell>
        </row>
        <row r="6188">
          <cell r="B6188">
            <v>16.950700000000001</v>
          </cell>
          <cell r="C6188">
            <v>11.77242191780822</v>
          </cell>
        </row>
        <row r="6189">
          <cell r="B6189">
            <v>16.953399999999998</v>
          </cell>
          <cell r="C6189">
            <v>11.772509589041096</v>
          </cell>
        </row>
        <row r="6190">
          <cell r="B6190">
            <v>16.956199999999999</v>
          </cell>
          <cell r="C6190">
            <v>11.772597260273972</v>
          </cell>
        </row>
        <row r="6191">
          <cell r="B6191">
            <v>16.9589</v>
          </cell>
          <cell r="C6191">
            <v>11.77268493150685</v>
          </cell>
        </row>
        <row r="6192">
          <cell r="B6192">
            <v>16.961600000000001</v>
          </cell>
          <cell r="C6192">
            <v>11.772772602739726</v>
          </cell>
        </row>
        <row r="6193">
          <cell r="B6193">
            <v>16.964400000000001</v>
          </cell>
          <cell r="C6193">
            <v>11.772860273972602</v>
          </cell>
        </row>
        <row r="6194">
          <cell r="B6194">
            <v>16.967099999999999</v>
          </cell>
          <cell r="C6194">
            <v>11.77294794520548</v>
          </cell>
        </row>
        <row r="6195">
          <cell r="B6195">
            <v>16.969899999999999</v>
          </cell>
          <cell r="C6195">
            <v>11.773035616438356</v>
          </cell>
        </row>
        <row r="6196">
          <cell r="B6196">
            <v>16.9726</v>
          </cell>
          <cell r="C6196">
            <v>11.773123287671233</v>
          </cell>
        </row>
        <row r="6197">
          <cell r="B6197">
            <v>16.975300000000001</v>
          </cell>
          <cell r="C6197">
            <v>11.773210958904111</v>
          </cell>
        </row>
        <row r="6198">
          <cell r="B6198">
            <v>16.978100000000001</v>
          </cell>
          <cell r="C6198">
            <v>11.773298630136987</v>
          </cell>
        </row>
        <row r="6199">
          <cell r="B6199">
            <v>16.980799999999999</v>
          </cell>
          <cell r="C6199">
            <v>11.773386301369863</v>
          </cell>
        </row>
        <row r="6200">
          <cell r="B6200">
            <v>16.983599999999999</v>
          </cell>
          <cell r="C6200">
            <v>11.773473972602741</v>
          </cell>
        </row>
        <row r="6201">
          <cell r="B6201">
            <v>16.9863</v>
          </cell>
          <cell r="C6201">
            <v>11.773561643835617</v>
          </cell>
        </row>
        <row r="6202">
          <cell r="B6202">
            <v>16.989000000000001</v>
          </cell>
          <cell r="C6202">
            <v>11.773649315068493</v>
          </cell>
        </row>
        <row r="6203">
          <cell r="B6203">
            <v>16.991800000000001</v>
          </cell>
          <cell r="C6203">
            <v>11.773736986301371</v>
          </cell>
        </row>
        <row r="6204">
          <cell r="B6204">
            <v>16.994499999999999</v>
          </cell>
          <cell r="C6204">
            <v>11.773824657534247</v>
          </cell>
        </row>
        <row r="6205">
          <cell r="B6205">
            <v>16.997299999999999</v>
          </cell>
          <cell r="C6205">
            <v>11.773912328767123</v>
          </cell>
        </row>
        <row r="6206">
          <cell r="B6206">
            <v>17</v>
          </cell>
          <cell r="C6206">
            <v>11.774000000000001</v>
          </cell>
        </row>
        <row r="6207">
          <cell r="B6207">
            <v>17.002700000000001</v>
          </cell>
          <cell r="C6207">
            <v>11.774087671232877</v>
          </cell>
        </row>
        <row r="6208">
          <cell r="B6208">
            <v>17.005500000000001</v>
          </cell>
          <cell r="C6208">
            <v>11.774175342465753</v>
          </cell>
        </row>
        <row r="6209">
          <cell r="B6209">
            <v>17.008199999999999</v>
          </cell>
          <cell r="C6209">
            <v>11.774263013698631</v>
          </cell>
        </row>
        <row r="6210">
          <cell r="B6210">
            <v>17.010999999999999</v>
          </cell>
          <cell r="C6210">
            <v>11.774350684931507</v>
          </cell>
        </row>
        <row r="6211">
          <cell r="B6211">
            <v>17.0137</v>
          </cell>
          <cell r="C6211">
            <v>11.774438356164383</v>
          </cell>
        </row>
        <row r="6212">
          <cell r="B6212">
            <v>17.016400000000001</v>
          </cell>
          <cell r="C6212">
            <v>11.774526027397261</v>
          </cell>
        </row>
        <row r="6213">
          <cell r="B6213">
            <v>17.019200000000001</v>
          </cell>
          <cell r="C6213">
            <v>11.774613698630137</v>
          </cell>
        </row>
        <row r="6214">
          <cell r="B6214">
            <v>17.021899999999999</v>
          </cell>
          <cell r="C6214">
            <v>11.774701369863013</v>
          </cell>
        </row>
        <row r="6215">
          <cell r="B6215">
            <v>17.024699999999999</v>
          </cell>
          <cell r="C6215">
            <v>11.774789041095891</v>
          </cell>
        </row>
        <row r="6216">
          <cell r="B6216">
            <v>17.0274</v>
          </cell>
          <cell r="C6216">
            <v>11.774876712328767</v>
          </cell>
        </row>
        <row r="6217">
          <cell r="B6217">
            <v>17.030100000000001</v>
          </cell>
          <cell r="C6217">
            <v>11.774964383561644</v>
          </cell>
        </row>
        <row r="6218">
          <cell r="B6218">
            <v>17.032900000000001</v>
          </cell>
          <cell r="C6218">
            <v>11.775052054794521</v>
          </cell>
        </row>
        <row r="6219">
          <cell r="B6219">
            <v>17.035599999999999</v>
          </cell>
          <cell r="C6219">
            <v>11.775139726027398</v>
          </cell>
        </row>
        <row r="6220">
          <cell r="B6220">
            <v>17.038399999999999</v>
          </cell>
          <cell r="C6220">
            <v>11.775227397260274</v>
          </cell>
        </row>
        <row r="6221">
          <cell r="B6221">
            <v>17.0411</v>
          </cell>
          <cell r="C6221">
            <v>11.775315068493152</v>
          </cell>
        </row>
        <row r="6222">
          <cell r="B6222">
            <v>17.043800000000001</v>
          </cell>
          <cell r="C6222">
            <v>11.775402739726028</v>
          </cell>
        </row>
        <row r="6223">
          <cell r="B6223">
            <v>17.046600000000002</v>
          </cell>
          <cell r="C6223">
            <v>11.775490410958904</v>
          </cell>
        </row>
        <row r="6224">
          <cell r="B6224">
            <v>17.049299999999999</v>
          </cell>
          <cell r="C6224">
            <v>11.775578082191782</v>
          </cell>
        </row>
        <row r="6225">
          <cell r="B6225">
            <v>17.052099999999999</v>
          </cell>
          <cell r="C6225">
            <v>11.775665753424658</v>
          </cell>
        </row>
        <row r="6226">
          <cell r="B6226">
            <v>17.0548</v>
          </cell>
          <cell r="C6226">
            <v>11.775753424657534</v>
          </cell>
        </row>
        <row r="6227">
          <cell r="B6227">
            <v>17.057500000000001</v>
          </cell>
          <cell r="C6227">
            <v>11.775841095890412</v>
          </cell>
        </row>
        <row r="6228">
          <cell r="B6228">
            <v>17.060300000000002</v>
          </cell>
          <cell r="C6228">
            <v>11.775928767123288</v>
          </cell>
        </row>
        <row r="6229">
          <cell r="B6229">
            <v>17.062999999999999</v>
          </cell>
          <cell r="C6229">
            <v>11.776016438356164</v>
          </cell>
        </row>
        <row r="6230">
          <cell r="B6230">
            <v>17.065799999999999</v>
          </cell>
          <cell r="C6230">
            <v>11.776104109589042</v>
          </cell>
        </row>
        <row r="6231">
          <cell r="B6231">
            <v>17.0685</v>
          </cell>
          <cell r="C6231">
            <v>11.776191780821918</v>
          </cell>
        </row>
        <row r="6232">
          <cell r="B6232">
            <v>17.071200000000001</v>
          </cell>
          <cell r="C6232">
            <v>11.776279452054794</v>
          </cell>
        </row>
        <row r="6233">
          <cell r="B6233">
            <v>17.074000000000002</v>
          </cell>
          <cell r="C6233">
            <v>11.776367123287672</v>
          </cell>
        </row>
        <row r="6234">
          <cell r="B6234">
            <v>17.076699999999999</v>
          </cell>
          <cell r="C6234">
            <v>11.776454794520548</v>
          </cell>
        </row>
        <row r="6235">
          <cell r="B6235">
            <v>17.079499999999999</v>
          </cell>
          <cell r="C6235">
            <v>11.776542465753424</v>
          </cell>
        </row>
        <row r="6236">
          <cell r="B6236">
            <v>17.0822</v>
          </cell>
          <cell r="C6236">
            <v>11.776630136986302</v>
          </cell>
        </row>
        <row r="6237">
          <cell r="B6237">
            <v>17.084900000000001</v>
          </cell>
          <cell r="C6237">
            <v>11.776717808219178</v>
          </cell>
        </row>
        <row r="6238">
          <cell r="B6238">
            <v>17.087700000000002</v>
          </cell>
          <cell r="C6238">
            <v>11.776805479452054</v>
          </cell>
        </row>
        <row r="6239">
          <cell r="B6239">
            <v>17.090399999999999</v>
          </cell>
          <cell r="C6239">
            <v>11.776893150684932</v>
          </cell>
        </row>
        <row r="6240">
          <cell r="B6240">
            <v>17.0932</v>
          </cell>
          <cell r="C6240">
            <v>11.776980821917808</v>
          </cell>
        </row>
        <row r="6241">
          <cell r="B6241">
            <v>17.0959</v>
          </cell>
          <cell r="C6241">
            <v>11.777068493150685</v>
          </cell>
        </row>
        <row r="6242">
          <cell r="B6242">
            <v>17.098600000000001</v>
          </cell>
          <cell r="C6242">
            <v>11.777156164383562</v>
          </cell>
        </row>
        <row r="6243">
          <cell r="B6243">
            <v>17.101400000000002</v>
          </cell>
          <cell r="C6243">
            <v>11.777243835616439</v>
          </cell>
        </row>
        <row r="6244">
          <cell r="B6244">
            <v>17.104099999999999</v>
          </cell>
          <cell r="C6244">
            <v>11.777331506849315</v>
          </cell>
        </row>
        <row r="6245">
          <cell r="B6245">
            <v>17.1068</v>
          </cell>
          <cell r="C6245">
            <v>11.777419178082193</v>
          </cell>
        </row>
        <row r="6246">
          <cell r="B6246">
            <v>17.1096</v>
          </cell>
          <cell r="C6246">
            <v>11.777506849315069</v>
          </cell>
        </row>
        <row r="6247">
          <cell r="B6247">
            <v>17.112300000000001</v>
          </cell>
          <cell r="C6247">
            <v>11.777594520547945</v>
          </cell>
        </row>
        <row r="6248">
          <cell r="B6248">
            <v>17.115100000000002</v>
          </cell>
          <cell r="C6248">
            <v>11.777682191780823</v>
          </cell>
        </row>
        <row r="6249">
          <cell r="B6249">
            <v>17.117799999999999</v>
          </cell>
          <cell r="C6249">
            <v>11.777769863013699</v>
          </cell>
        </row>
        <row r="6250">
          <cell r="B6250">
            <v>17.1205</v>
          </cell>
          <cell r="C6250">
            <v>11.777857534246575</v>
          </cell>
        </row>
        <row r="6251">
          <cell r="B6251">
            <v>17.1233</v>
          </cell>
          <cell r="C6251">
            <v>11.777945205479453</v>
          </cell>
        </row>
        <row r="6252">
          <cell r="B6252">
            <v>17.126000000000001</v>
          </cell>
          <cell r="C6252">
            <v>11.778032876712329</v>
          </cell>
        </row>
        <row r="6253">
          <cell r="B6253">
            <v>17.128799999999998</v>
          </cell>
          <cell r="C6253">
            <v>11.778120547945205</v>
          </cell>
        </row>
        <row r="6254">
          <cell r="B6254">
            <v>17.131499999999999</v>
          </cell>
          <cell r="C6254">
            <v>11.778208219178083</v>
          </cell>
        </row>
        <row r="6255">
          <cell r="B6255">
            <v>17.1342</v>
          </cell>
          <cell r="C6255">
            <v>11.778295890410959</v>
          </cell>
        </row>
        <row r="6256">
          <cell r="B6256">
            <v>17.137</v>
          </cell>
          <cell r="C6256">
            <v>11.778383561643835</v>
          </cell>
        </row>
        <row r="6257">
          <cell r="B6257">
            <v>17.139700000000001</v>
          </cell>
          <cell r="C6257">
            <v>11.778471232876713</v>
          </cell>
        </row>
        <row r="6258">
          <cell r="B6258">
            <v>17.142499999999998</v>
          </cell>
          <cell r="C6258">
            <v>11.778558904109589</v>
          </cell>
        </row>
        <row r="6259">
          <cell r="B6259">
            <v>17.145199999999999</v>
          </cell>
          <cell r="C6259">
            <v>11.778646575342465</v>
          </cell>
        </row>
        <row r="6260">
          <cell r="B6260">
            <v>17.1479</v>
          </cell>
          <cell r="C6260">
            <v>11.778734246575343</v>
          </cell>
        </row>
        <row r="6261">
          <cell r="B6261">
            <v>17.150700000000001</v>
          </cell>
          <cell r="C6261">
            <v>11.778821917808219</v>
          </cell>
        </row>
        <row r="6262">
          <cell r="B6262">
            <v>17.153400000000001</v>
          </cell>
          <cell r="C6262">
            <v>11.778909589041096</v>
          </cell>
        </row>
        <row r="6263">
          <cell r="B6263">
            <v>17.156199999999998</v>
          </cell>
          <cell r="C6263">
            <v>11.778997260273973</v>
          </cell>
        </row>
        <row r="6264">
          <cell r="B6264">
            <v>17.158899999999999</v>
          </cell>
          <cell r="C6264">
            <v>11.77908493150685</v>
          </cell>
        </row>
        <row r="6265">
          <cell r="B6265">
            <v>17.1616</v>
          </cell>
          <cell r="C6265">
            <v>11.779172602739726</v>
          </cell>
        </row>
        <row r="6266">
          <cell r="B6266">
            <v>17.164400000000001</v>
          </cell>
          <cell r="C6266">
            <v>11.779260273972604</v>
          </cell>
        </row>
        <row r="6267">
          <cell r="B6267">
            <v>17.167100000000001</v>
          </cell>
          <cell r="C6267">
            <v>11.77934794520548</v>
          </cell>
        </row>
        <row r="6268">
          <cell r="B6268">
            <v>17.169899999999998</v>
          </cell>
          <cell r="C6268">
            <v>11.779435616438356</v>
          </cell>
        </row>
        <row r="6269">
          <cell r="B6269">
            <v>17.172599999999999</v>
          </cell>
          <cell r="C6269">
            <v>11.779523287671234</v>
          </cell>
        </row>
        <row r="6270">
          <cell r="B6270">
            <v>17.1753</v>
          </cell>
          <cell r="C6270">
            <v>11.77961095890411</v>
          </cell>
        </row>
        <row r="6271">
          <cell r="B6271">
            <v>17.178100000000001</v>
          </cell>
          <cell r="C6271">
            <v>11.779698630136986</v>
          </cell>
        </row>
        <row r="6272">
          <cell r="B6272">
            <v>17.180800000000001</v>
          </cell>
          <cell r="C6272">
            <v>11.779786301369864</v>
          </cell>
        </row>
        <row r="6273">
          <cell r="B6273">
            <v>17.183599999999998</v>
          </cell>
          <cell r="C6273">
            <v>11.77987397260274</v>
          </cell>
        </row>
        <row r="6274">
          <cell r="B6274">
            <v>17.186299999999999</v>
          </cell>
          <cell r="C6274">
            <v>11.779961643835616</v>
          </cell>
        </row>
        <row r="6275">
          <cell r="B6275">
            <v>17.189</v>
          </cell>
          <cell r="C6275">
            <v>11.780049315068494</v>
          </cell>
        </row>
        <row r="6276">
          <cell r="B6276">
            <v>17.191800000000001</v>
          </cell>
          <cell r="C6276">
            <v>11.78013698630137</v>
          </cell>
        </row>
        <row r="6277">
          <cell r="B6277">
            <v>17.194500000000001</v>
          </cell>
          <cell r="C6277">
            <v>11.780224657534246</v>
          </cell>
        </row>
        <row r="6278">
          <cell r="B6278">
            <v>17.197299999999998</v>
          </cell>
          <cell r="C6278">
            <v>11.780312328767124</v>
          </cell>
        </row>
        <row r="6279">
          <cell r="B6279">
            <v>17.2</v>
          </cell>
          <cell r="C6279">
            <v>11.7804</v>
          </cell>
        </row>
        <row r="6280">
          <cell r="B6280">
            <v>17.2027</v>
          </cell>
          <cell r="C6280">
            <v>11.780487671232876</v>
          </cell>
        </row>
        <row r="6281">
          <cell r="B6281">
            <v>17.205500000000001</v>
          </cell>
          <cell r="C6281">
            <v>11.780575342465754</v>
          </cell>
        </row>
        <row r="6282">
          <cell r="B6282">
            <v>17.208200000000001</v>
          </cell>
          <cell r="C6282">
            <v>11.78066301369863</v>
          </cell>
        </row>
        <row r="6283">
          <cell r="B6283">
            <v>17.210999999999999</v>
          </cell>
          <cell r="C6283">
            <v>11.780750684931506</v>
          </cell>
        </row>
        <row r="6284">
          <cell r="B6284">
            <v>17.213699999999999</v>
          </cell>
          <cell r="C6284">
            <v>11.780838356164384</v>
          </cell>
        </row>
        <row r="6285">
          <cell r="B6285">
            <v>17.2164</v>
          </cell>
          <cell r="C6285">
            <v>11.78092602739726</v>
          </cell>
        </row>
        <row r="6286">
          <cell r="B6286">
            <v>17.219200000000001</v>
          </cell>
          <cell r="C6286">
            <v>11.781013698630137</v>
          </cell>
        </row>
        <row r="6287">
          <cell r="B6287">
            <v>17.221900000000002</v>
          </cell>
          <cell r="C6287">
            <v>11.781101369863014</v>
          </cell>
        </row>
        <row r="6288">
          <cell r="B6288">
            <v>17.224699999999999</v>
          </cell>
          <cell r="C6288">
            <v>11.781189041095891</v>
          </cell>
        </row>
        <row r="6289">
          <cell r="B6289">
            <v>17.227399999999999</v>
          </cell>
          <cell r="C6289">
            <v>11.781276712328767</v>
          </cell>
        </row>
        <row r="6290">
          <cell r="B6290">
            <v>17.2301</v>
          </cell>
          <cell r="C6290">
            <v>11.781364383561645</v>
          </cell>
        </row>
        <row r="6291">
          <cell r="B6291">
            <v>17.232900000000001</v>
          </cell>
          <cell r="C6291">
            <v>11.781452054794521</v>
          </cell>
        </row>
        <row r="6292">
          <cell r="B6292">
            <v>17.235600000000002</v>
          </cell>
          <cell r="C6292">
            <v>11.781539726027397</v>
          </cell>
        </row>
        <row r="6293">
          <cell r="B6293">
            <v>17.238399999999999</v>
          </cell>
          <cell r="C6293">
            <v>11.781627397260275</v>
          </cell>
        </row>
        <row r="6294">
          <cell r="B6294">
            <v>17.241099999999999</v>
          </cell>
          <cell r="C6294">
            <v>11.781715068493151</v>
          </cell>
        </row>
        <row r="6295">
          <cell r="B6295">
            <v>17.2438</v>
          </cell>
          <cell r="C6295">
            <v>11.781802739726027</v>
          </cell>
        </row>
        <row r="6296">
          <cell r="B6296">
            <v>17.246600000000001</v>
          </cell>
          <cell r="C6296">
            <v>11.781890410958905</v>
          </cell>
        </row>
        <row r="6297">
          <cell r="B6297">
            <v>17.249300000000002</v>
          </cell>
          <cell r="C6297">
            <v>11.781978082191781</v>
          </cell>
        </row>
        <row r="6298">
          <cell r="B6298">
            <v>17.252099999999999</v>
          </cell>
          <cell r="C6298">
            <v>11.782065753424657</v>
          </cell>
        </row>
        <row r="6299">
          <cell r="B6299">
            <v>17.254799999999999</v>
          </cell>
          <cell r="C6299">
            <v>11.782153424657535</v>
          </cell>
        </row>
        <row r="6300">
          <cell r="B6300">
            <v>17.2575</v>
          </cell>
          <cell r="C6300">
            <v>11.782241095890411</v>
          </cell>
        </row>
        <row r="6301">
          <cell r="B6301">
            <v>17.260300000000001</v>
          </cell>
          <cell r="C6301">
            <v>11.782328767123287</v>
          </cell>
        </row>
        <row r="6302">
          <cell r="B6302">
            <v>17.263000000000002</v>
          </cell>
          <cell r="C6302">
            <v>11.782416438356165</v>
          </cell>
        </row>
        <row r="6303">
          <cell r="B6303">
            <v>17.265799999999999</v>
          </cell>
          <cell r="C6303">
            <v>11.782504109589041</v>
          </cell>
        </row>
        <row r="6304">
          <cell r="B6304">
            <v>17.2685</v>
          </cell>
          <cell r="C6304">
            <v>11.782591780821917</v>
          </cell>
        </row>
        <row r="6305">
          <cell r="B6305">
            <v>17.2712</v>
          </cell>
          <cell r="C6305">
            <v>11.782679452054795</v>
          </cell>
        </row>
        <row r="6306">
          <cell r="B6306">
            <v>17.274000000000001</v>
          </cell>
          <cell r="C6306">
            <v>11.782767123287671</v>
          </cell>
        </row>
        <row r="6307">
          <cell r="B6307">
            <v>17.276700000000002</v>
          </cell>
          <cell r="C6307">
            <v>11.782854794520548</v>
          </cell>
        </row>
        <row r="6308">
          <cell r="B6308">
            <v>17.279499999999999</v>
          </cell>
          <cell r="C6308">
            <v>11.782942465753425</v>
          </cell>
        </row>
        <row r="6309">
          <cell r="B6309">
            <v>17.2822</v>
          </cell>
          <cell r="C6309">
            <v>11.783030136986302</v>
          </cell>
        </row>
        <row r="6310">
          <cell r="B6310">
            <v>17.2849</v>
          </cell>
          <cell r="C6310">
            <v>11.783117808219178</v>
          </cell>
        </row>
        <row r="6311">
          <cell r="B6311">
            <v>17.287700000000001</v>
          </cell>
          <cell r="C6311">
            <v>11.783205479452056</v>
          </cell>
        </row>
        <row r="6312">
          <cell r="B6312">
            <v>17.290400000000002</v>
          </cell>
          <cell r="C6312">
            <v>11.783293150684932</v>
          </cell>
        </row>
        <row r="6313">
          <cell r="B6313">
            <v>17.293199999999999</v>
          </cell>
          <cell r="C6313">
            <v>11.783380821917808</v>
          </cell>
        </row>
        <row r="6314">
          <cell r="B6314">
            <v>17.2959</v>
          </cell>
          <cell r="C6314">
            <v>11.783468493150686</v>
          </cell>
        </row>
        <row r="6315">
          <cell r="B6315">
            <v>17.2986</v>
          </cell>
          <cell r="C6315">
            <v>11.783556164383562</v>
          </cell>
        </row>
        <row r="6316">
          <cell r="B6316">
            <v>17.301400000000001</v>
          </cell>
          <cell r="C6316">
            <v>11.783643835616438</v>
          </cell>
        </row>
        <row r="6317">
          <cell r="B6317">
            <v>17.304099999999998</v>
          </cell>
          <cell r="C6317">
            <v>11.783731506849316</v>
          </cell>
        </row>
        <row r="6318">
          <cell r="B6318">
            <v>17.306799999999999</v>
          </cell>
          <cell r="C6318">
            <v>11.783819178082192</v>
          </cell>
        </row>
        <row r="6319">
          <cell r="B6319">
            <v>17.3096</v>
          </cell>
          <cell r="C6319">
            <v>11.783906849315068</v>
          </cell>
        </row>
        <row r="6320">
          <cell r="B6320">
            <v>17.3123</v>
          </cell>
          <cell r="C6320">
            <v>11.783994520547946</v>
          </cell>
        </row>
        <row r="6321">
          <cell r="B6321">
            <v>17.315100000000001</v>
          </cell>
          <cell r="C6321">
            <v>11.784082191780822</v>
          </cell>
        </row>
        <row r="6322">
          <cell r="B6322">
            <v>17.317799999999998</v>
          </cell>
          <cell r="C6322">
            <v>11.784169863013698</v>
          </cell>
        </row>
        <row r="6323">
          <cell r="B6323">
            <v>17.320499999999999</v>
          </cell>
          <cell r="C6323">
            <v>11.784257534246576</v>
          </cell>
        </row>
        <row r="6324">
          <cell r="B6324">
            <v>17.3233</v>
          </cell>
          <cell r="C6324">
            <v>11.784345205479452</v>
          </cell>
        </row>
        <row r="6325">
          <cell r="B6325">
            <v>17.326000000000001</v>
          </cell>
          <cell r="C6325">
            <v>11.784432876712328</v>
          </cell>
        </row>
        <row r="6326">
          <cell r="B6326">
            <v>17.328800000000001</v>
          </cell>
          <cell r="C6326">
            <v>11.784520547945206</v>
          </cell>
        </row>
        <row r="6327">
          <cell r="B6327">
            <v>17.331499999999998</v>
          </cell>
          <cell r="C6327">
            <v>11.784608219178082</v>
          </cell>
        </row>
        <row r="6328">
          <cell r="B6328">
            <v>17.334199999999999</v>
          </cell>
          <cell r="C6328">
            <v>11.784695890410958</v>
          </cell>
        </row>
        <row r="6329">
          <cell r="B6329">
            <v>17.337</v>
          </cell>
          <cell r="C6329">
            <v>11.784783561643836</v>
          </cell>
        </row>
        <row r="6330">
          <cell r="B6330">
            <v>17.339700000000001</v>
          </cell>
          <cell r="C6330">
            <v>11.784871232876712</v>
          </cell>
        </row>
        <row r="6331">
          <cell r="B6331">
            <v>17.342500000000001</v>
          </cell>
          <cell r="C6331">
            <v>11.784958904109589</v>
          </cell>
        </row>
        <row r="6332">
          <cell r="B6332">
            <v>17.345199999999998</v>
          </cell>
          <cell r="C6332">
            <v>11.785046575342466</v>
          </cell>
        </row>
        <row r="6333">
          <cell r="B6333">
            <v>17.347899999999999</v>
          </cell>
          <cell r="C6333">
            <v>11.785134246575343</v>
          </cell>
        </row>
        <row r="6334">
          <cell r="B6334">
            <v>17.3507</v>
          </cell>
          <cell r="C6334">
            <v>11.785221917808219</v>
          </cell>
        </row>
        <row r="6335">
          <cell r="B6335">
            <v>17.353400000000001</v>
          </cell>
          <cell r="C6335">
            <v>11.785309589041097</v>
          </cell>
        </row>
        <row r="6336">
          <cell r="B6336">
            <v>17.356200000000001</v>
          </cell>
          <cell r="C6336">
            <v>11.785397260273973</v>
          </cell>
        </row>
        <row r="6337">
          <cell r="B6337">
            <v>17.358899999999998</v>
          </cell>
          <cell r="C6337">
            <v>11.785484931506849</v>
          </cell>
        </row>
        <row r="6338">
          <cell r="B6338">
            <v>17.361599999999999</v>
          </cell>
          <cell r="C6338">
            <v>11.785572602739727</v>
          </cell>
        </row>
        <row r="6339">
          <cell r="B6339">
            <v>17.3644</v>
          </cell>
          <cell r="C6339">
            <v>11.785660273972603</v>
          </cell>
        </row>
        <row r="6340">
          <cell r="B6340">
            <v>17.367100000000001</v>
          </cell>
          <cell r="C6340">
            <v>11.785747945205479</v>
          </cell>
        </row>
        <row r="6341">
          <cell r="B6341">
            <v>17.369900000000001</v>
          </cell>
          <cell r="C6341">
            <v>11.785835616438357</v>
          </cell>
        </row>
        <row r="6342">
          <cell r="B6342">
            <v>17.372599999999998</v>
          </cell>
          <cell r="C6342">
            <v>11.785923287671233</v>
          </cell>
        </row>
        <row r="6343">
          <cell r="B6343">
            <v>17.375299999999999</v>
          </cell>
          <cell r="C6343">
            <v>11.786010958904109</v>
          </cell>
        </row>
        <row r="6344">
          <cell r="B6344">
            <v>17.3781</v>
          </cell>
          <cell r="C6344">
            <v>11.786098630136987</v>
          </cell>
        </row>
        <row r="6345">
          <cell r="B6345">
            <v>17.380800000000001</v>
          </cell>
          <cell r="C6345">
            <v>11.786186301369863</v>
          </cell>
        </row>
        <row r="6346">
          <cell r="B6346">
            <v>17.383600000000001</v>
          </cell>
          <cell r="C6346">
            <v>11.786273972602739</v>
          </cell>
        </row>
        <row r="6347">
          <cell r="B6347">
            <v>17.386299999999999</v>
          </cell>
          <cell r="C6347">
            <v>11.786361643835617</v>
          </cell>
        </row>
        <row r="6348">
          <cell r="B6348">
            <v>17.388999999999999</v>
          </cell>
          <cell r="C6348">
            <v>11.786449315068493</v>
          </cell>
        </row>
        <row r="6349">
          <cell r="B6349">
            <v>17.3918</v>
          </cell>
          <cell r="C6349">
            <v>11.786536986301369</v>
          </cell>
        </row>
        <row r="6350">
          <cell r="B6350">
            <v>17.394500000000001</v>
          </cell>
          <cell r="C6350">
            <v>11.786624657534247</v>
          </cell>
        </row>
        <row r="6351">
          <cell r="B6351">
            <v>17.397300000000001</v>
          </cell>
          <cell r="C6351">
            <v>11.786712328767123</v>
          </cell>
        </row>
        <row r="6352">
          <cell r="B6352">
            <v>17.399999999999999</v>
          </cell>
          <cell r="C6352">
            <v>11.786799999999999</v>
          </cell>
        </row>
        <row r="6353">
          <cell r="B6353">
            <v>17.402699999999999</v>
          </cell>
          <cell r="C6353">
            <v>11.786887671232877</v>
          </cell>
        </row>
        <row r="6354">
          <cell r="B6354">
            <v>17.4055</v>
          </cell>
          <cell r="C6354">
            <v>11.786975342465754</v>
          </cell>
        </row>
        <row r="6355">
          <cell r="B6355">
            <v>17.408200000000001</v>
          </cell>
          <cell r="C6355">
            <v>11.78706301369863</v>
          </cell>
        </row>
        <row r="6356">
          <cell r="B6356">
            <v>17.411000000000001</v>
          </cell>
          <cell r="C6356">
            <v>11.787150684931508</v>
          </cell>
        </row>
        <row r="6357">
          <cell r="B6357">
            <v>17.413699999999999</v>
          </cell>
          <cell r="C6357">
            <v>11.787238356164384</v>
          </cell>
        </row>
        <row r="6358">
          <cell r="B6358">
            <v>17.416399999999999</v>
          </cell>
          <cell r="C6358">
            <v>11.78732602739726</v>
          </cell>
        </row>
        <row r="6359">
          <cell r="B6359">
            <v>17.4192</v>
          </cell>
          <cell r="C6359">
            <v>11.787413698630138</v>
          </cell>
        </row>
        <row r="6360">
          <cell r="B6360">
            <v>17.421900000000001</v>
          </cell>
          <cell r="C6360">
            <v>11.787501369863014</v>
          </cell>
        </row>
        <row r="6361">
          <cell r="B6361">
            <v>17.424700000000001</v>
          </cell>
          <cell r="C6361">
            <v>11.78758904109589</v>
          </cell>
        </row>
        <row r="6362">
          <cell r="B6362">
            <v>17.427399999999999</v>
          </cell>
          <cell r="C6362">
            <v>11.787676712328768</v>
          </cell>
        </row>
        <row r="6363">
          <cell r="B6363">
            <v>17.430099999999999</v>
          </cell>
          <cell r="C6363">
            <v>11.787764383561644</v>
          </cell>
        </row>
        <row r="6364">
          <cell r="B6364">
            <v>17.4329</v>
          </cell>
          <cell r="C6364">
            <v>11.78785205479452</v>
          </cell>
        </row>
        <row r="6365">
          <cell r="B6365">
            <v>17.435600000000001</v>
          </cell>
          <cell r="C6365">
            <v>11.787939726027398</v>
          </cell>
        </row>
        <row r="6366">
          <cell r="B6366">
            <v>17.438400000000001</v>
          </cell>
          <cell r="C6366">
            <v>11.788027397260274</v>
          </cell>
        </row>
        <row r="6367">
          <cell r="B6367">
            <v>17.441099999999999</v>
          </cell>
          <cell r="C6367">
            <v>11.78811506849315</v>
          </cell>
        </row>
        <row r="6368">
          <cell r="B6368">
            <v>17.4438</v>
          </cell>
          <cell r="C6368">
            <v>11.788202739726028</v>
          </cell>
        </row>
        <row r="6369">
          <cell r="B6369">
            <v>17.4466</v>
          </cell>
          <cell r="C6369">
            <v>11.788290410958904</v>
          </cell>
        </row>
        <row r="6370">
          <cell r="B6370">
            <v>17.449300000000001</v>
          </cell>
          <cell r="C6370">
            <v>11.78837808219178</v>
          </cell>
        </row>
        <row r="6371">
          <cell r="B6371">
            <v>17.452100000000002</v>
          </cell>
          <cell r="C6371">
            <v>11.788465753424658</v>
          </cell>
        </row>
        <row r="6372">
          <cell r="B6372">
            <v>17.454799999999999</v>
          </cell>
          <cell r="C6372">
            <v>11.788553424657534</v>
          </cell>
        </row>
        <row r="6373">
          <cell r="B6373">
            <v>17.4575</v>
          </cell>
          <cell r="C6373">
            <v>11.78864109589041</v>
          </cell>
        </row>
        <row r="6374">
          <cell r="B6374">
            <v>17.4603</v>
          </cell>
          <cell r="C6374">
            <v>11.788728767123288</v>
          </cell>
        </row>
        <row r="6375">
          <cell r="B6375">
            <v>17.463000000000001</v>
          </cell>
          <cell r="C6375">
            <v>11.788816438356164</v>
          </cell>
        </row>
        <row r="6376">
          <cell r="B6376">
            <v>17.465800000000002</v>
          </cell>
          <cell r="C6376">
            <v>11.788904109589041</v>
          </cell>
        </row>
        <row r="6377">
          <cell r="B6377">
            <v>17.468499999999999</v>
          </cell>
          <cell r="C6377">
            <v>11.788991780821918</v>
          </cell>
        </row>
        <row r="6378">
          <cell r="B6378">
            <v>17.4712</v>
          </cell>
          <cell r="C6378">
            <v>11.789079452054795</v>
          </cell>
        </row>
        <row r="6379">
          <cell r="B6379">
            <v>17.474</v>
          </cell>
          <cell r="C6379">
            <v>11.789167123287671</v>
          </cell>
        </row>
        <row r="6380">
          <cell r="B6380">
            <v>17.476700000000001</v>
          </cell>
          <cell r="C6380">
            <v>11.789254794520549</v>
          </cell>
        </row>
        <row r="6381">
          <cell r="B6381">
            <v>17.479500000000002</v>
          </cell>
          <cell r="C6381">
            <v>11.789342465753425</v>
          </cell>
        </row>
        <row r="6382">
          <cell r="B6382">
            <v>17.482199999999999</v>
          </cell>
          <cell r="C6382">
            <v>11.789430136986301</v>
          </cell>
        </row>
        <row r="6383">
          <cell r="B6383">
            <v>17.4849</v>
          </cell>
          <cell r="C6383">
            <v>11.789517808219179</v>
          </cell>
        </row>
        <row r="6384">
          <cell r="B6384">
            <v>17.4877</v>
          </cell>
          <cell r="C6384">
            <v>11.789605479452055</v>
          </cell>
        </row>
        <row r="6385">
          <cell r="B6385">
            <v>17.490400000000001</v>
          </cell>
          <cell r="C6385">
            <v>11.789693150684931</v>
          </cell>
        </row>
        <row r="6386">
          <cell r="B6386">
            <v>17.493200000000002</v>
          </cell>
          <cell r="C6386">
            <v>11.789780821917809</v>
          </cell>
        </row>
        <row r="6387">
          <cell r="B6387">
            <v>17.495899999999999</v>
          </cell>
          <cell r="C6387">
            <v>11.789868493150685</v>
          </cell>
        </row>
        <row r="6388">
          <cell r="B6388">
            <v>17.4986</v>
          </cell>
          <cell r="C6388">
            <v>11.789956164383561</v>
          </cell>
        </row>
        <row r="6389">
          <cell r="B6389">
            <v>17.5014</v>
          </cell>
          <cell r="C6389">
            <v>11.790043835616439</v>
          </cell>
        </row>
        <row r="6390">
          <cell r="B6390">
            <v>17.504100000000001</v>
          </cell>
          <cell r="C6390">
            <v>11.790131506849315</v>
          </cell>
        </row>
        <row r="6391">
          <cell r="B6391">
            <v>17.506799999999998</v>
          </cell>
          <cell r="C6391">
            <v>11.790219178082191</v>
          </cell>
        </row>
        <row r="6392">
          <cell r="B6392">
            <v>17.509599999999999</v>
          </cell>
          <cell r="C6392">
            <v>11.790306849315069</v>
          </cell>
        </row>
        <row r="6393">
          <cell r="B6393">
            <v>17.5123</v>
          </cell>
          <cell r="C6393">
            <v>11.790394520547945</v>
          </cell>
        </row>
        <row r="6394">
          <cell r="B6394">
            <v>17.5151</v>
          </cell>
          <cell r="C6394">
            <v>11.790482191780821</v>
          </cell>
        </row>
        <row r="6395">
          <cell r="B6395">
            <v>17.517800000000001</v>
          </cell>
          <cell r="C6395">
            <v>11.790569863013699</v>
          </cell>
        </row>
        <row r="6396">
          <cell r="B6396">
            <v>17.520499999999998</v>
          </cell>
          <cell r="C6396">
            <v>11.790657534246575</v>
          </cell>
        </row>
        <row r="6397">
          <cell r="B6397">
            <v>17.523299999999999</v>
          </cell>
          <cell r="C6397">
            <v>11.790745205479451</v>
          </cell>
        </row>
        <row r="6398">
          <cell r="B6398">
            <v>17.526</v>
          </cell>
          <cell r="C6398">
            <v>11.790832876712329</v>
          </cell>
        </row>
        <row r="6399">
          <cell r="B6399">
            <v>17.5288</v>
          </cell>
          <cell r="C6399">
            <v>11.790920547945205</v>
          </cell>
        </row>
        <row r="6400">
          <cell r="B6400">
            <v>17.531500000000001</v>
          </cell>
          <cell r="C6400">
            <v>11.791008219178082</v>
          </cell>
        </row>
        <row r="6401">
          <cell r="B6401">
            <v>17.534199999999998</v>
          </cell>
          <cell r="C6401">
            <v>11.79109589041096</v>
          </cell>
        </row>
        <row r="6402">
          <cell r="B6402">
            <v>17.536999999999999</v>
          </cell>
          <cell r="C6402">
            <v>11.791183561643836</v>
          </cell>
        </row>
        <row r="6403">
          <cell r="B6403">
            <v>17.5397</v>
          </cell>
          <cell r="C6403">
            <v>11.791271232876712</v>
          </cell>
        </row>
        <row r="6404">
          <cell r="B6404">
            <v>17.5425</v>
          </cell>
          <cell r="C6404">
            <v>11.79135890410959</v>
          </cell>
        </row>
        <row r="6405">
          <cell r="B6405">
            <v>17.545200000000001</v>
          </cell>
          <cell r="C6405">
            <v>11.791446575342466</v>
          </cell>
        </row>
        <row r="6406">
          <cell r="B6406">
            <v>17.547899999999998</v>
          </cell>
          <cell r="C6406">
            <v>11.791534246575342</v>
          </cell>
        </row>
        <row r="6407">
          <cell r="B6407">
            <v>17.550699999999999</v>
          </cell>
          <cell r="C6407">
            <v>11.79162191780822</v>
          </cell>
        </row>
        <row r="6408">
          <cell r="B6408">
            <v>17.5534</v>
          </cell>
          <cell r="C6408">
            <v>11.791709589041096</v>
          </cell>
        </row>
        <row r="6409">
          <cell r="B6409">
            <v>17.5562</v>
          </cell>
          <cell r="C6409">
            <v>11.791797260273972</v>
          </cell>
        </row>
        <row r="6410">
          <cell r="B6410">
            <v>17.558900000000001</v>
          </cell>
          <cell r="C6410">
            <v>11.79188493150685</v>
          </cell>
        </row>
        <row r="6411">
          <cell r="B6411">
            <v>17.561599999999999</v>
          </cell>
          <cell r="C6411">
            <v>11.791972602739726</v>
          </cell>
        </row>
        <row r="6412">
          <cell r="B6412">
            <v>17.564399999999999</v>
          </cell>
          <cell r="C6412">
            <v>11.792060273972602</v>
          </cell>
        </row>
        <row r="6413">
          <cell r="B6413">
            <v>17.5671</v>
          </cell>
          <cell r="C6413">
            <v>11.79214794520548</v>
          </cell>
        </row>
        <row r="6414">
          <cell r="B6414">
            <v>17.569900000000001</v>
          </cell>
          <cell r="C6414">
            <v>11.792235616438356</v>
          </cell>
        </row>
        <row r="6415">
          <cell r="B6415">
            <v>17.572600000000001</v>
          </cell>
          <cell r="C6415">
            <v>11.792323287671232</v>
          </cell>
        </row>
        <row r="6416">
          <cell r="B6416">
            <v>17.575299999999999</v>
          </cell>
          <cell r="C6416">
            <v>11.79241095890411</v>
          </cell>
        </row>
        <row r="6417">
          <cell r="B6417">
            <v>17.578099999999999</v>
          </cell>
          <cell r="C6417">
            <v>11.792498630136986</v>
          </cell>
        </row>
        <row r="6418">
          <cell r="B6418">
            <v>17.5808</v>
          </cell>
          <cell r="C6418">
            <v>11.792586301369862</v>
          </cell>
        </row>
        <row r="6419">
          <cell r="B6419">
            <v>17.583600000000001</v>
          </cell>
          <cell r="C6419">
            <v>11.79267397260274</v>
          </cell>
        </row>
        <row r="6420">
          <cell r="B6420">
            <v>17.586300000000001</v>
          </cell>
          <cell r="C6420">
            <v>11.792761643835616</v>
          </cell>
        </row>
        <row r="6421">
          <cell r="B6421">
            <v>17.588999999999999</v>
          </cell>
          <cell r="C6421">
            <v>11.792849315068493</v>
          </cell>
        </row>
        <row r="6422">
          <cell r="B6422">
            <v>17.591799999999999</v>
          </cell>
          <cell r="C6422">
            <v>11.79293698630137</v>
          </cell>
        </row>
        <row r="6423">
          <cell r="B6423">
            <v>17.5945</v>
          </cell>
          <cell r="C6423">
            <v>11.793024657534247</v>
          </cell>
        </row>
        <row r="6424">
          <cell r="B6424">
            <v>17.597300000000001</v>
          </cell>
          <cell r="C6424">
            <v>11.793112328767123</v>
          </cell>
        </row>
        <row r="6425">
          <cell r="B6425">
            <v>17.600000000000001</v>
          </cell>
          <cell r="C6425">
            <v>11.793200000000001</v>
          </cell>
        </row>
        <row r="6426">
          <cell r="B6426">
            <v>17.602699999999999</v>
          </cell>
          <cell r="C6426">
            <v>11.793287671232877</v>
          </cell>
        </row>
        <row r="6427">
          <cell r="B6427">
            <v>17.605499999999999</v>
          </cell>
          <cell r="C6427">
            <v>11.793375342465753</v>
          </cell>
        </row>
        <row r="6428">
          <cell r="B6428">
            <v>17.6082</v>
          </cell>
          <cell r="C6428">
            <v>11.793463013698631</v>
          </cell>
        </row>
        <row r="6429">
          <cell r="B6429">
            <v>17.611000000000001</v>
          </cell>
          <cell r="C6429">
            <v>11.793550684931507</v>
          </cell>
        </row>
        <row r="6430">
          <cell r="B6430">
            <v>17.613700000000001</v>
          </cell>
          <cell r="C6430">
            <v>11.793638356164383</v>
          </cell>
        </row>
        <row r="6431">
          <cell r="B6431">
            <v>17.616399999999999</v>
          </cell>
          <cell r="C6431">
            <v>11.793726027397261</v>
          </cell>
        </row>
        <row r="6432">
          <cell r="B6432">
            <v>17.619199999999999</v>
          </cell>
          <cell r="C6432">
            <v>11.793813698630137</v>
          </cell>
        </row>
        <row r="6433">
          <cell r="B6433">
            <v>17.6219</v>
          </cell>
          <cell r="C6433">
            <v>11.793901369863013</v>
          </cell>
        </row>
        <row r="6434">
          <cell r="B6434">
            <v>17.624700000000001</v>
          </cell>
          <cell r="C6434">
            <v>11.793989041095891</v>
          </cell>
        </row>
        <row r="6435">
          <cell r="B6435">
            <v>17.627400000000002</v>
          </cell>
          <cell r="C6435">
            <v>11.794076712328767</v>
          </cell>
        </row>
        <row r="6436">
          <cell r="B6436">
            <v>17.630099999999999</v>
          </cell>
          <cell r="C6436">
            <v>11.794164383561643</v>
          </cell>
        </row>
        <row r="6437">
          <cell r="B6437">
            <v>17.632899999999999</v>
          </cell>
          <cell r="C6437">
            <v>11.794252054794521</v>
          </cell>
        </row>
        <row r="6438">
          <cell r="B6438">
            <v>17.6356</v>
          </cell>
          <cell r="C6438">
            <v>11.794339726027397</v>
          </cell>
        </row>
        <row r="6439">
          <cell r="B6439">
            <v>17.638400000000001</v>
          </cell>
          <cell r="C6439">
            <v>11.794427397260273</v>
          </cell>
        </row>
        <row r="6440">
          <cell r="B6440">
            <v>17.641100000000002</v>
          </cell>
          <cell r="C6440">
            <v>11.794515068493151</v>
          </cell>
        </row>
        <row r="6441">
          <cell r="B6441">
            <v>17.643799999999999</v>
          </cell>
          <cell r="C6441">
            <v>11.794602739726027</v>
          </cell>
        </row>
        <row r="6442">
          <cell r="B6442">
            <v>17.646599999999999</v>
          </cell>
          <cell r="C6442">
            <v>11.794690410958903</v>
          </cell>
        </row>
        <row r="6443">
          <cell r="B6443">
            <v>17.6493</v>
          </cell>
          <cell r="C6443">
            <v>11.794778082191781</v>
          </cell>
        </row>
        <row r="6444">
          <cell r="B6444">
            <v>17.652100000000001</v>
          </cell>
          <cell r="C6444">
            <v>11.794865753424657</v>
          </cell>
        </row>
        <row r="6445">
          <cell r="B6445">
            <v>17.654800000000002</v>
          </cell>
          <cell r="C6445">
            <v>11.794953424657534</v>
          </cell>
        </row>
        <row r="6446">
          <cell r="B6446">
            <v>17.657499999999999</v>
          </cell>
          <cell r="C6446">
            <v>11.795041095890411</v>
          </cell>
        </row>
        <row r="6447">
          <cell r="B6447">
            <v>17.660299999999999</v>
          </cell>
          <cell r="C6447">
            <v>11.795128767123288</v>
          </cell>
        </row>
        <row r="6448">
          <cell r="B6448">
            <v>17.663</v>
          </cell>
          <cell r="C6448">
            <v>11.795216438356164</v>
          </cell>
        </row>
        <row r="6449">
          <cell r="B6449">
            <v>17.665800000000001</v>
          </cell>
          <cell r="C6449">
            <v>11.795304109589042</v>
          </cell>
        </row>
        <row r="6450">
          <cell r="B6450">
            <v>17.668500000000002</v>
          </cell>
          <cell r="C6450">
            <v>11.795391780821918</v>
          </cell>
        </row>
        <row r="6451">
          <cell r="B6451">
            <v>17.671199999999999</v>
          </cell>
          <cell r="C6451">
            <v>11.795479452054794</v>
          </cell>
        </row>
        <row r="6452">
          <cell r="B6452">
            <v>17.673999999999999</v>
          </cell>
          <cell r="C6452">
            <v>11.795567123287672</v>
          </cell>
        </row>
        <row r="6453">
          <cell r="B6453">
            <v>17.6767</v>
          </cell>
          <cell r="C6453">
            <v>11.795654794520548</v>
          </cell>
        </row>
        <row r="6454">
          <cell r="B6454">
            <v>17.679500000000001</v>
          </cell>
          <cell r="C6454">
            <v>11.795742465753424</v>
          </cell>
        </row>
        <row r="6455">
          <cell r="B6455">
            <v>17.682200000000002</v>
          </cell>
          <cell r="C6455">
            <v>11.795830136986302</v>
          </cell>
        </row>
        <row r="6456">
          <cell r="B6456">
            <v>17.684899999999999</v>
          </cell>
          <cell r="C6456">
            <v>11.795917808219178</v>
          </cell>
        </row>
        <row r="6457">
          <cell r="B6457">
            <v>17.6877</v>
          </cell>
          <cell r="C6457">
            <v>11.796005479452054</v>
          </cell>
        </row>
        <row r="6458">
          <cell r="B6458">
            <v>17.6904</v>
          </cell>
          <cell r="C6458">
            <v>11.796093150684932</v>
          </cell>
        </row>
        <row r="6459">
          <cell r="B6459">
            <v>17.693200000000001</v>
          </cell>
          <cell r="C6459">
            <v>11.796180821917808</v>
          </cell>
        </row>
        <row r="6460">
          <cell r="B6460">
            <v>17.695900000000002</v>
          </cell>
          <cell r="C6460">
            <v>11.796268493150684</v>
          </cell>
        </row>
        <row r="6461">
          <cell r="B6461">
            <v>17.698599999999999</v>
          </cell>
          <cell r="C6461">
            <v>11.796356164383562</v>
          </cell>
        </row>
        <row r="6462">
          <cell r="B6462">
            <v>17.7014</v>
          </cell>
          <cell r="C6462">
            <v>11.796443835616438</v>
          </cell>
        </row>
        <row r="6463">
          <cell r="B6463">
            <v>17.7041</v>
          </cell>
          <cell r="C6463">
            <v>11.796531506849314</v>
          </cell>
        </row>
        <row r="6464">
          <cell r="B6464">
            <v>17.706800000000001</v>
          </cell>
          <cell r="C6464">
            <v>11.796619178082192</v>
          </cell>
        </row>
        <row r="6465">
          <cell r="B6465">
            <v>17.709599999999998</v>
          </cell>
          <cell r="C6465">
            <v>11.796706849315068</v>
          </cell>
        </row>
        <row r="6466">
          <cell r="B6466">
            <v>17.712299999999999</v>
          </cell>
          <cell r="C6466">
            <v>11.796794520547945</v>
          </cell>
        </row>
        <row r="6467">
          <cell r="B6467">
            <v>17.7151</v>
          </cell>
          <cell r="C6467">
            <v>11.796882191780822</v>
          </cell>
        </row>
        <row r="6468">
          <cell r="B6468">
            <v>17.7178</v>
          </cell>
          <cell r="C6468">
            <v>11.796969863013699</v>
          </cell>
        </row>
        <row r="6469">
          <cell r="B6469">
            <v>17.720500000000001</v>
          </cell>
          <cell r="C6469">
            <v>11.797057534246575</v>
          </cell>
        </row>
        <row r="6470">
          <cell r="B6470">
            <v>17.723299999999998</v>
          </cell>
          <cell r="C6470">
            <v>11.797145205479453</v>
          </cell>
        </row>
        <row r="6471">
          <cell r="B6471">
            <v>17.725999999999999</v>
          </cell>
          <cell r="C6471">
            <v>11.797232876712329</v>
          </cell>
        </row>
        <row r="6472">
          <cell r="B6472">
            <v>17.7288</v>
          </cell>
          <cell r="C6472">
            <v>11.797320547945205</v>
          </cell>
        </row>
        <row r="6473">
          <cell r="B6473">
            <v>17.7315</v>
          </cell>
          <cell r="C6473">
            <v>11.797408219178083</v>
          </cell>
        </row>
        <row r="6474">
          <cell r="B6474">
            <v>17.734200000000001</v>
          </cell>
          <cell r="C6474">
            <v>11.797495890410959</v>
          </cell>
        </row>
        <row r="6475">
          <cell r="B6475">
            <v>17.736999999999998</v>
          </cell>
          <cell r="C6475">
            <v>11.797583561643835</v>
          </cell>
        </row>
        <row r="6476">
          <cell r="B6476">
            <v>17.739699999999999</v>
          </cell>
          <cell r="C6476">
            <v>11.797671232876713</v>
          </cell>
        </row>
        <row r="6477">
          <cell r="B6477">
            <v>17.7425</v>
          </cell>
          <cell r="C6477">
            <v>11.797758904109589</v>
          </cell>
        </row>
        <row r="6478">
          <cell r="B6478">
            <v>17.745200000000001</v>
          </cell>
          <cell r="C6478">
            <v>11.797846575342465</v>
          </cell>
        </row>
        <row r="6479">
          <cell r="B6479">
            <v>17.747900000000001</v>
          </cell>
          <cell r="C6479">
            <v>11.797934246575343</v>
          </cell>
        </row>
        <row r="6480">
          <cell r="B6480">
            <v>17.750699999999998</v>
          </cell>
          <cell r="C6480">
            <v>11.798021917808219</v>
          </cell>
        </row>
        <row r="6481">
          <cell r="B6481">
            <v>17.753399999999999</v>
          </cell>
          <cell r="C6481">
            <v>11.798109589041095</v>
          </cell>
        </row>
        <row r="6482">
          <cell r="B6482">
            <v>17.7562</v>
          </cell>
          <cell r="C6482">
            <v>11.798197260273973</v>
          </cell>
        </row>
        <row r="6483">
          <cell r="B6483">
            <v>17.758900000000001</v>
          </cell>
          <cell r="C6483">
            <v>11.798284931506849</v>
          </cell>
        </row>
        <row r="6484">
          <cell r="B6484">
            <v>17.761600000000001</v>
          </cell>
          <cell r="C6484">
            <v>11.798372602739725</v>
          </cell>
        </row>
        <row r="6485">
          <cell r="B6485">
            <v>17.764399999999998</v>
          </cell>
          <cell r="C6485">
            <v>11.798460273972603</v>
          </cell>
        </row>
        <row r="6486">
          <cell r="B6486">
            <v>17.767099999999999</v>
          </cell>
          <cell r="C6486">
            <v>11.798547945205479</v>
          </cell>
        </row>
        <row r="6487">
          <cell r="B6487">
            <v>17.7699</v>
          </cell>
          <cell r="C6487">
            <v>11.798635616438355</v>
          </cell>
        </row>
        <row r="6488">
          <cell r="B6488">
            <v>17.772600000000001</v>
          </cell>
          <cell r="C6488">
            <v>11.798723287671233</v>
          </cell>
        </row>
        <row r="6489">
          <cell r="B6489">
            <v>17.775300000000001</v>
          </cell>
          <cell r="C6489">
            <v>11.798810958904109</v>
          </cell>
        </row>
        <row r="6490">
          <cell r="B6490">
            <v>17.778099999999998</v>
          </cell>
          <cell r="C6490">
            <v>11.798898630136986</v>
          </cell>
        </row>
        <row r="6491">
          <cell r="B6491">
            <v>17.780799999999999</v>
          </cell>
          <cell r="C6491">
            <v>11.798986301369863</v>
          </cell>
        </row>
        <row r="6492">
          <cell r="B6492">
            <v>17.7836</v>
          </cell>
          <cell r="C6492">
            <v>11.79907397260274</v>
          </cell>
        </row>
        <row r="6493">
          <cell r="B6493">
            <v>17.786300000000001</v>
          </cell>
          <cell r="C6493">
            <v>11.799161643835616</v>
          </cell>
        </row>
        <row r="6494">
          <cell r="B6494">
            <v>17.789000000000001</v>
          </cell>
          <cell r="C6494">
            <v>11.799249315068494</v>
          </cell>
        </row>
        <row r="6495">
          <cell r="B6495">
            <v>17.791799999999999</v>
          </cell>
          <cell r="C6495">
            <v>11.79933698630137</v>
          </cell>
        </row>
        <row r="6496">
          <cell r="B6496">
            <v>17.794499999999999</v>
          </cell>
          <cell r="C6496">
            <v>11.799424657534246</v>
          </cell>
        </row>
        <row r="6497">
          <cell r="B6497">
            <v>17.7973</v>
          </cell>
          <cell r="C6497">
            <v>11.799512328767124</v>
          </cell>
        </row>
        <row r="6498">
          <cell r="B6498">
            <v>17.8</v>
          </cell>
          <cell r="C6498">
            <v>11.7996</v>
          </cell>
        </row>
        <row r="6499">
          <cell r="B6499">
            <v>17.802700000000002</v>
          </cell>
          <cell r="C6499">
            <v>11.799687671232876</v>
          </cell>
        </row>
        <row r="6500">
          <cell r="B6500">
            <v>17.805499999999999</v>
          </cell>
          <cell r="C6500">
            <v>11.799775342465754</v>
          </cell>
        </row>
        <row r="6501">
          <cell r="B6501">
            <v>17.808199999999999</v>
          </cell>
          <cell r="C6501">
            <v>11.79986301369863</v>
          </cell>
        </row>
        <row r="6502">
          <cell r="B6502">
            <v>17.811</v>
          </cell>
          <cell r="C6502">
            <v>11.799950684931506</v>
          </cell>
        </row>
        <row r="6503">
          <cell r="B6503">
            <v>17.813700000000001</v>
          </cell>
          <cell r="C6503">
            <v>11.800038356164384</v>
          </cell>
        </row>
        <row r="6504">
          <cell r="B6504">
            <v>17.816400000000002</v>
          </cell>
          <cell r="C6504">
            <v>11.80012602739726</v>
          </cell>
        </row>
        <row r="6505">
          <cell r="B6505">
            <v>17.819199999999999</v>
          </cell>
          <cell r="C6505">
            <v>11.800213698630136</v>
          </cell>
        </row>
        <row r="6506">
          <cell r="B6506">
            <v>17.821899999999999</v>
          </cell>
          <cell r="C6506">
            <v>11.800301369863014</v>
          </cell>
        </row>
        <row r="6507">
          <cell r="B6507">
            <v>17.8247</v>
          </cell>
          <cell r="C6507">
            <v>11.80038904109589</v>
          </cell>
        </row>
        <row r="6508">
          <cell r="B6508">
            <v>17.827400000000001</v>
          </cell>
          <cell r="C6508">
            <v>11.800476712328766</v>
          </cell>
        </row>
        <row r="6509">
          <cell r="B6509">
            <v>17.830100000000002</v>
          </cell>
          <cell r="C6509">
            <v>11.800564383561644</v>
          </cell>
        </row>
        <row r="6510">
          <cell r="B6510">
            <v>17.832899999999999</v>
          </cell>
          <cell r="C6510">
            <v>11.80065205479452</v>
          </cell>
        </row>
        <row r="6511">
          <cell r="B6511">
            <v>17.835599999999999</v>
          </cell>
          <cell r="C6511">
            <v>11.800739726027397</v>
          </cell>
        </row>
        <row r="6512">
          <cell r="B6512">
            <v>17.8384</v>
          </cell>
          <cell r="C6512">
            <v>11.800827397260274</v>
          </cell>
        </row>
        <row r="6513">
          <cell r="B6513">
            <v>17.841100000000001</v>
          </cell>
          <cell r="C6513">
            <v>11.800915068493151</v>
          </cell>
        </row>
        <row r="6514">
          <cell r="B6514">
            <v>17.843800000000002</v>
          </cell>
          <cell r="C6514">
            <v>11.801002739726027</v>
          </cell>
        </row>
        <row r="6515">
          <cell r="B6515">
            <v>17.846599999999999</v>
          </cell>
          <cell r="C6515">
            <v>11.801090410958905</v>
          </cell>
        </row>
        <row r="6516">
          <cell r="B6516">
            <v>17.849299999999999</v>
          </cell>
          <cell r="C6516">
            <v>11.801178082191781</v>
          </cell>
        </row>
        <row r="6517">
          <cell r="B6517">
            <v>17.8521</v>
          </cell>
          <cell r="C6517">
            <v>11.801265753424657</v>
          </cell>
        </row>
        <row r="6518">
          <cell r="B6518">
            <v>17.854800000000001</v>
          </cell>
          <cell r="C6518">
            <v>11.801353424657535</v>
          </cell>
        </row>
        <row r="6519">
          <cell r="B6519">
            <v>17.857500000000002</v>
          </cell>
          <cell r="C6519">
            <v>11.801441095890411</v>
          </cell>
        </row>
        <row r="6520">
          <cell r="B6520">
            <v>17.860299999999999</v>
          </cell>
          <cell r="C6520">
            <v>11.801528767123287</v>
          </cell>
        </row>
        <row r="6521">
          <cell r="B6521">
            <v>17.863</v>
          </cell>
          <cell r="C6521">
            <v>11.801616438356165</v>
          </cell>
        </row>
        <row r="6522">
          <cell r="B6522">
            <v>17.8658</v>
          </cell>
          <cell r="C6522">
            <v>11.801704109589041</v>
          </cell>
        </row>
        <row r="6523">
          <cell r="B6523">
            <v>17.868500000000001</v>
          </cell>
          <cell r="C6523">
            <v>11.801791780821917</v>
          </cell>
        </row>
        <row r="6524">
          <cell r="B6524">
            <v>17.871200000000002</v>
          </cell>
          <cell r="C6524">
            <v>11.801879452054795</v>
          </cell>
        </row>
        <row r="6525">
          <cell r="B6525">
            <v>17.873999999999999</v>
          </cell>
          <cell r="C6525">
            <v>11.801967123287671</v>
          </cell>
        </row>
        <row r="6526">
          <cell r="B6526">
            <v>17.8767</v>
          </cell>
          <cell r="C6526">
            <v>11.802054794520547</v>
          </cell>
        </row>
        <row r="6527">
          <cell r="B6527">
            <v>17.8795</v>
          </cell>
          <cell r="C6527">
            <v>11.802142465753425</v>
          </cell>
        </row>
        <row r="6528">
          <cell r="B6528">
            <v>17.882200000000001</v>
          </cell>
          <cell r="C6528">
            <v>11.802230136986301</v>
          </cell>
        </row>
        <row r="6529">
          <cell r="B6529">
            <v>17.884899999999998</v>
          </cell>
          <cell r="C6529">
            <v>11.802317808219177</v>
          </cell>
        </row>
        <row r="6530">
          <cell r="B6530">
            <v>17.887699999999999</v>
          </cell>
          <cell r="C6530">
            <v>11.802405479452055</v>
          </cell>
        </row>
        <row r="6531">
          <cell r="B6531">
            <v>17.8904</v>
          </cell>
          <cell r="C6531">
            <v>11.802493150684931</v>
          </cell>
        </row>
        <row r="6532">
          <cell r="B6532">
            <v>17.8932</v>
          </cell>
          <cell r="C6532">
            <v>11.802580821917807</v>
          </cell>
        </row>
        <row r="6533">
          <cell r="B6533">
            <v>17.895900000000001</v>
          </cell>
          <cell r="C6533">
            <v>11.802668493150685</v>
          </cell>
        </row>
        <row r="6534">
          <cell r="B6534">
            <v>17.898599999999998</v>
          </cell>
          <cell r="C6534">
            <v>11.802756164383561</v>
          </cell>
        </row>
        <row r="6535">
          <cell r="B6535">
            <v>17.901399999999999</v>
          </cell>
          <cell r="C6535">
            <v>11.802843835616438</v>
          </cell>
        </row>
        <row r="6536">
          <cell r="B6536">
            <v>17.9041</v>
          </cell>
          <cell r="C6536">
            <v>11.802931506849315</v>
          </cell>
        </row>
        <row r="6537">
          <cell r="B6537">
            <v>17.9068</v>
          </cell>
          <cell r="C6537">
            <v>11.803019178082192</v>
          </cell>
        </row>
        <row r="6538">
          <cell r="B6538">
            <v>17.909600000000001</v>
          </cell>
          <cell r="C6538">
            <v>11.803106849315068</v>
          </cell>
        </row>
        <row r="6539">
          <cell r="B6539">
            <v>17.912299999999998</v>
          </cell>
          <cell r="C6539">
            <v>11.803194520547946</v>
          </cell>
        </row>
        <row r="6540">
          <cell r="B6540">
            <v>17.915099999999999</v>
          </cell>
          <cell r="C6540">
            <v>11.803282191780822</v>
          </cell>
        </row>
        <row r="6541">
          <cell r="B6541">
            <v>17.9178</v>
          </cell>
          <cell r="C6541">
            <v>11.803369863013698</v>
          </cell>
        </row>
        <row r="6542">
          <cell r="B6542">
            <v>17.920500000000001</v>
          </cell>
          <cell r="C6542">
            <v>11.803457534246576</v>
          </cell>
        </row>
        <row r="6543">
          <cell r="B6543">
            <v>17.923300000000001</v>
          </cell>
          <cell r="C6543">
            <v>11.803545205479452</v>
          </cell>
        </row>
        <row r="6544">
          <cell r="B6544">
            <v>17.925999999999998</v>
          </cell>
          <cell r="C6544">
            <v>11.803632876712328</v>
          </cell>
        </row>
        <row r="6545">
          <cell r="B6545">
            <v>17.928799999999999</v>
          </cell>
          <cell r="C6545">
            <v>11.803720547945206</v>
          </cell>
        </row>
        <row r="6546">
          <cell r="B6546">
            <v>17.9315</v>
          </cell>
          <cell r="C6546">
            <v>11.803808219178082</v>
          </cell>
        </row>
        <row r="6547">
          <cell r="B6547">
            <v>17.934200000000001</v>
          </cell>
          <cell r="C6547">
            <v>11.803895890410958</v>
          </cell>
        </row>
        <row r="6548">
          <cell r="B6548">
            <v>17.937000000000001</v>
          </cell>
          <cell r="C6548">
            <v>11.803983561643836</v>
          </cell>
        </row>
        <row r="6549">
          <cell r="B6549">
            <v>17.939699999999998</v>
          </cell>
          <cell r="C6549">
            <v>11.804071232876712</v>
          </cell>
        </row>
        <row r="6550">
          <cell r="B6550">
            <v>17.942499999999999</v>
          </cell>
          <cell r="C6550">
            <v>11.804158904109588</v>
          </cell>
        </row>
        <row r="6551">
          <cell r="B6551">
            <v>17.9452</v>
          </cell>
          <cell r="C6551">
            <v>11.804246575342466</v>
          </cell>
        </row>
        <row r="6552">
          <cell r="B6552">
            <v>17.947900000000001</v>
          </cell>
          <cell r="C6552">
            <v>11.804334246575342</v>
          </cell>
        </row>
        <row r="6553">
          <cell r="B6553">
            <v>17.950700000000001</v>
          </cell>
          <cell r="C6553">
            <v>11.804421917808218</v>
          </cell>
        </row>
        <row r="6554">
          <cell r="B6554">
            <v>17.953399999999998</v>
          </cell>
          <cell r="C6554">
            <v>11.804509589041096</v>
          </cell>
        </row>
        <row r="6555">
          <cell r="B6555">
            <v>17.956199999999999</v>
          </cell>
          <cell r="C6555">
            <v>11.804597260273972</v>
          </cell>
        </row>
        <row r="6556">
          <cell r="B6556">
            <v>17.9589</v>
          </cell>
          <cell r="C6556">
            <v>11.804684931506848</v>
          </cell>
        </row>
        <row r="6557">
          <cell r="B6557">
            <v>17.961600000000001</v>
          </cell>
          <cell r="C6557">
            <v>11.804772602739726</v>
          </cell>
        </row>
        <row r="6558">
          <cell r="B6558">
            <v>17.964400000000001</v>
          </cell>
          <cell r="C6558">
            <v>11.804860273972603</v>
          </cell>
        </row>
        <row r="6559">
          <cell r="B6559">
            <v>17.967099999999999</v>
          </cell>
          <cell r="C6559">
            <v>11.804947945205479</v>
          </cell>
        </row>
        <row r="6560">
          <cell r="B6560">
            <v>17.969899999999999</v>
          </cell>
          <cell r="C6560">
            <v>11.805035616438357</v>
          </cell>
        </row>
        <row r="6561">
          <cell r="B6561">
            <v>17.9726</v>
          </cell>
          <cell r="C6561">
            <v>11.805123287671233</v>
          </cell>
        </row>
        <row r="6562">
          <cell r="B6562">
            <v>17.975300000000001</v>
          </cell>
          <cell r="C6562">
            <v>11.805210958904109</v>
          </cell>
        </row>
        <row r="6563">
          <cell r="B6563">
            <v>17.978100000000001</v>
          </cell>
          <cell r="C6563">
            <v>11.805298630136987</v>
          </cell>
        </row>
        <row r="6564">
          <cell r="B6564">
            <v>17.980799999999999</v>
          </cell>
          <cell r="C6564">
            <v>11.805386301369863</v>
          </cell>
        </row>
        <row r="6565">
          <cell r="B6565">
            <v>17.983599999999999</v>
          </cell>
          <cell r="C6565">
            <v>11.805473972602739</v>
          </cell>
        </row>
        <row r="6566">
          <cell r="B6566">
            <v>17.9863</v>
          </cell>
          <cell r="C6566">
            <v>11.805561643835617</v>
          </cell>
        </row>
        <row r="6567">
          <cell r="B6567">
            <v>17.989000000000001</v>
          </cell>
          <cell r="C6567">
            <v>11.805649315068493</v>
          </cell>
        </row>
        <row r="6568">
          <cell r="B6568">
            <v>17.991800000000001</v>
          </cell>
          <cell r="C6568">
            <v>11.805736986301369</v>
          </cell>
        </row>
        <row r="6569">
          <cell r="B6569">
            <v>17.994499999999999</v>
          </cell>
          <cell r="C6569">
            <v>11.805824657534247</v>
          </cell>
        </row>
        <row r="6570">
          <cell r="B6570">
            <v>17.997299999999999</v>
          </cell>
          <cell r="C6570">
            <v>11.805912328767123</v>
          </cell>
        </row>
        <row r="6571">
          <cell r="B6571">
            <v>18</v>
          </cell>
          <cell r="C6571">
            <v>11.805999999999999</v>
          </cell>
        </row>
        <row r="6572">
          <cell r="B6572">
            <v>18.002700000000001</v>
          </cell>
          <cell r="C6572">
            <v>11.806087671232877</v>
          </cell>
        </row>
        <row r="6573">
          <cell r="B6573">
            <v>18.005500000000001</v>
          </cell>
          <cell r="C6573">
            <v>11.806175342465753</v>
          </cell>
        </row>
        <row r="6574">
          <cell r="B6574">
            <v>18.008199999999999</v>
          </cell>
          <cell r="C6574">
            <v>11.806263013698629</v>
          </cell>
        </row>
        <row r="6575">
          <cell r="B6575">
            <v>18.010999999999999</v>
          </cell>
          <cell r="C6575">
            <v>11.806350684931507</v>
          </cell>
        </row>
        <row r="6576">
          <cell r="B6576">
            <v>18.0137</v>
          </cell>
          <cell r="C6576">
            <v>11.806438356164383</v>
          </cell>
        </row>
        <row r="6577">
          <cell r="B6577">
            <v>18.016400000000001</v>
          </cell>
          <cell r="C6577">
            <v>11.806526027397259</v>
          </cell>
        </row>
        <row r="6578">
          <cell r="B6578">
            <v>18.019200000000001</v>
          </cell>
          <cell r="C6578">
            <v>11.806613698630137</v>
          </cell>
        </row>
        <row r="6579">
          <cell r="B6579">
            <v>18.021899999999999</v>
          </cell>
          <cell r="C6579">
            <v>11.806701369863013</v>
          </cell>
        </row>
        <row r="6580">
          <cell r="B6580">
            <v>18.024699999999999</v>
          </cell>
          <cell r="C6580">
            <v>11.80678904109589</v>
          </cell>
        </row>
        <row r="6581">
          <cell r="B6581">
            <v>18.0274</v>
          </cell>
          <cell r="C6581">
            <v>11.806876712328767</v>
          </cell>
        </row>
        <row r="6582">
          <cell r="B6582">
            <v>18.030100000000001</v>
          </cell>
          <cell r="C6582">
            <v>11.806964383561644</v>
          </cell>
        </row>
        <row r="6583">
          <cell r="B6583">
            <v>18.032900000000001</v>
          </cell>
          <cell r="C6583">
            <v>11.80705205479452</v>
          </cell>
        </row>
        <row r="6584">
          <cell r="B6584">
            <v>18.035599999999999</v>
          </cell>
          <cell r="C6584">
            <v>11.807139726027398</v>
          </cell>
        </row>
        <row r="6585">
          <cell r="B6585">
            <v>18.038399999999999</v>
          </cell>
          <cell r="C6585">
            <v>11.807227397260274</v>
          </cell>
        </row>
        <row r="6586">
          <cell r="B6586">
            <v>18.0411</v>
          </cell>
          <cell r="C6586">
            <v>11.80731506849315</v>
          </cell>
        </row>
        <row r="6587">
          <cell r="B6587">
            <v>18.043800000000001</v>
          </cell>
          <cell r="C6587">
            <v>11.807402739726028</v>
          </cell>
        </row>
        <row r="6588">
          <cell r="B6588">
            <v>18.046600000000002</v>
          </cell>
          <cell r="C6588">
            <v>11.807490410958904</v>
          </cell>
        </row>
        <row r="6589">
          <cell r="B6589">
            <v>18.049299999999999</v>
          </cell>
          <cell r="C6589">
            <v>11.80757808219178</v>
          </cell>
        </row>
        <row r="6590">
          <cell r="B6590">
            <v>18.052099999999999</v>
          </cell>
          <cell r="C6590">
            <v>11.807665753424658</v>
          </cell>
        </row>
        <row r="6591">
          <cell r="B6591">
            <v>18.0548</v>
          </cell>
          <cell r="C6591">
            <v>11.807753424657534</v>
          </cell>
        </row>
        <row r="6592">
          <cell r="B6592">
            <v>18.057500000000001</v>
          </cell>
          <cell r="C6592">
            <v>11.80784109589041</v>
          </cell>
        </row>
        <row r="6593">
          <cell r="B6593">
            <v>18.060300000000002</v>
          </cell>
          <cell r="C6593">
            <v>11.807928767123288</v>
          </cell>
        </row>
        <row r="6594">
          <cell r="B6594">
            <v>18.062999999999999</v>
          </cell>
          <cell r="C6594">
            <v>11.808016438356164</v>
          </cell>
        </row>
        <row r="6595">
          <cell r="B6595">
            <v>18.065799999999999</v>
          </cell>
          <cell r="C6595">
            <v>11.80810410958904</v>
          </cell>
        </row>
        <row r="6596">
          <cell r="B6596">
            <v>18.0685</v>
          </cell>
          <cell r="C6596">
            <v>11.808191780821918</v>
          </cell>
        </row>
        <row r="6597">
          <cell r="B6597">
            <v>18.071200000000001</v>
          </cell>
          <cell r="C6597">
            <v>11.808279452054794</v>
          </cell>
        </row>
        <row r="6598">
          <cell r="B6598">
            <v>18.074000000000002</v>
          </cell>
          <cell r="C6598">
            <v>11.80836712328767</v>
          </cell>
        </row>
        <row r="6599">
          <cell r="B6599">
            <v>18.076699999999999</v>
          </cell>
          <cell r="C6599">
            <v>11.808454794520548</v>
          </cell>
        </row>
        <row r="6600">
          <cell r="B6600">
            <v>18.079499999999999</v>
          </cell>
          <cell r="C6600">
            <v>11.808542465753424</v>
          </cell>
        </row>
        <row r="6601">
          <cell r="B6601">
            <v>18.0822</v>
          </cell>
          <cell r="C6601">
            <v>11.8086301369863</v>
          </cell>
        </row>
        <row r="6602">
          <cell r="B6602">
            <v>18.084900000000001</v>
          </cell>
          <cell r="C6602">
            <v>11.808717808219178</v>
          </cell>
        </row>
        <row r="6603">
          <cell r="B6603">
            <v>18.087700000000002</v>
          </cell>
          <cell r="C6603">
            <v>11.808805479452054</v>
          </cell>
        </row>
        <row r="6604">
          <cell r="B6604">
            <v>18.090399999999999</v>
          </cell>
          <cell r="C6604">
            <v>11.808893150684931</v>
          </cell>
        </row>
        <row r="6605">
          <cell r="B6605">
            <v>18.0932</v>
          </cell>
          <cell r="C6605">
            <v>11.808980821917809</v>
          </cell>
        </row>
        <row r="6606">
          <cell r="B6606">
            <v>18.0959</v>
          </cell>
          <cell r="C6606">
            <v>11.809068493150685</v>
          </cell>
        </row>
        <row r="6607">
          <cell r="B6607">
            <v>18.098600000000001</v>
          </cell>
          <cell r="C6607">
            <v>11.809156164383561</v>
          </cell>
        </row>
        <row r="6608">
          <cell r="B6608">
            <v>18.101400000000002</v>
          </cell>
          <cell r="C6608">
            <v>11.809243835616439</v>
          </cell>
        </row>
        <row r="6609">
          <cell r="B6609">
            <v>18.104099999999999</v>
          </cell>
          <cell r="C6609">
            <v>11.809331506849315</v>
          </cell>
        </row>
        <row r="6610">
          <cell r="B6610">
            <v>18.1068</v>
          </cell>
          <cell r="C6610">
            <v>11.809419178082191</v>
          </cell>
        </row>
        <row r="6611">
          <cell r="B6611">
            <v>18.1096</v>
          </cell>
          <cell r="C6611">
            <v>11.809506849315069</v>
          </cell>
        </row>
        <row r="6612">
          <cell r="B6612">
            <v>18.112300000000001</v>
          </cell>
          <cell r="C6612">
            <v>11.809594520547945</v>
          </cell>
        </row>
        <row r="6613">
          <cell r="B6613">
            <v>18.115100000000002</v>
          </cell>
          <cell r="C6613">
            <v>11.809682191780821</v>
          </cell>
        </row>
        <row r="6614">
          <cell r="B6614">
            <v>18.117799999999999</v>
          </cell>
          <cell r="C6614">
            <v>11.809769863013699</v>
          </cell>
        </row>
        <row r="6615">
          <cell r="B6615">
            <v>18.1205</v>
          </cell>
          <cell r="C6615">
            <v>11.809857534246575</v>
          </cell>
        </row>
        <row r="6616">
          <cell r="B6616">
            <v>18.1233</v>
          </cell>
          <cell r="C6616">
            <v>11.809945205479451</v>
          </cell>
        </row>
        <row r="6617">
          <cell r="B6617">
            <v>18.126000000000001</v>
          </cell>
          <cell r="C6617">
            <v>11.810032876712329</v>
          </cell>
        </row>
        <row r="6618">
          <cell r="B6618">
            <v>18.128799999999998</v>
          </cell>
          <cell r="C6618">
            <v>11.810120547945205</v>
          </cell>
        </row>
        <row r="6619">
          <cell r="B6619">
            <v>18.131499999999999</v>
          </cell>
          <cell r="C6619">
            <v>11.810208219178081</v>
          </cell>
        </row>
        <row r="6620">
          <cell r="B6620">
            <v>18.1342</v>
          </cell>
          <cell r="C6620">
            <v>11.810295890410959</v>
          </cell>
        </row>
        <row r="6621">
          <cell r="B6621">
            <v>18.137</v>
          </cell>
          <cell r="C6621">
            <v>11.810383561643835</v>
          </cell>
        </row>
        <row r="6622">
          <cell r="B6622">
            <v>18.139700000000001</v>
          </cell>
          <cell r="C6622">
            <v>11.810471232876711</v>
          </cell>
        </row>
        <row r="6623">
          <cell r="B6623">
            <v>18.142499999999998</v>
          </cell>
          <cell r="C6623">
            <v>11.810558904109589</v>
          </cell>
        </row>
        <row r="6624">
          <cell r="B6624">
            <v>18.145199999999999</v>
          </cell>
          <cell r="C6624">
            <v>11.810646575342465</v>
          </cell>
        </row>
        <row r="6625">
          <cell r="B6625">
            <v>18.1479</v>
          </cell>
          <cell r="C6625">
            <v>11.810734246575342</v>
          </cell>
        </row>
        <row r="6626">
          <cell r="B6626">
            <v>18.150700000000001</v>
          </cell>
          <cell r="C6626">
            <v>11.810821917808219</v>
          </cell>
        </row>
        <row r="6627">
          <cell r="B6627">
            <v>18.153400000000001</v>
          </cell>
          <cell r="C6627">
            <v>11.810909589041096</v>
          </cell>
        </row>
        <row r="6628">
          <cell r="B6628">
            <v>18.156199999999998</v>
          </cell>
          <cell r="C6628">
            <v>11.810997260273972</v>
          </cell>
        </row>
        <row r="6629">
          <cell r="B6629">
            <v>18.158899999999999</v>
          </cell>
          <cell r="C6629">
            <v>11.81108493150685</v>
          </cell>
        </row>
        <row r="6630">
          <cell r="B6630">
            <v>18.1616</v>
          </cell>
          <cell r="C6630">
            <v>11.811172602739726</v>
          </cell>
        </row>
        <row r="6631">
          <cell r="B6631">
            <v>18.164400000000001</v>
          </cell>
          <cell r="C6631">
            <v>11.811260273972602</v>
          </cell>
        </row>
        <row r="6632">
          <cell r="B6632">
            <v>18.167100000000001</v>
          </cell>
          <cell r="C6632">
            <v>11.81134794520548</v>
          </cell>
        </row>
        <row r="6633">
          <cell r="B6633">
            <v>18.169899999999998</v>
          </cell>
          <cell r="C6633">
            <v>11.811435616438356</v>
          </cell>
        </row>
        <row r="6634">
          <cell r="B6634">
            <v>18.172599999999999</v>
          </cell>
          <cell r="C6634">
            <v>11.811523287671232</v>
          </cell>
        </row>
        <row r="6635">
          <cell r="B6635">
            <v>18.1753</v>
          </cell>
          <cell r="C6635">
            <v>11.81161095890411</v>
          </cell>
        </row>
        <row r="6636">
          <cell r="B6636">
            <v>18.178100000000001</v>
          </cell>
          <cell r="C6636">
            <v>11.811698630136986</v>
          </cell>
        </row>
        <row r="6637">
          <cell r="B6637">
            <v>18.180800000000001</v>
          </cell>
          <cell r="C6637">
            <v>11.811786301369862</v>
          </cell>
        </row>
        <row r="6638">
          <cell r="B6638">
            <v>18.183599999999998</v>
          </cell>
          <cell r="C6638">
            <v>11.81187397260274</v>
          </cell>
        </row>
        <row r="6639">
          <cell r="B6639">
            <v>18.186299999999999</v>
          </cell>
          <cell r="C6639">
            <v>11.811961643835616</v>
          </cell>
        </row>
        <row r="6640">
          <cell r="B6640">
            <v>18.189</v>
          </cell>
          <cell r="C6640">
            <v>11.812049315068492</v>
          </cell>
        </row>
        <row r="6641">
          <cell r="B6641">
            <v>18.191800000000001</v>
          </cell>
          <cell r="C6641">
            <v>11.81213698630137</v>
          </cell>
        </row>
        <row r="6642">
          <cell r="B6642">
            <v>18.194500000000001</v>
          </cell>
          <cell r="C6642">
            <v>11.812224657534246</v>
          </cell>
        </row>
        <row r="6643">
          <cell r="B6643">
            <v>18.197299999999998</v>
          </cell>
          <cell r="C6643">
            <v>11.812312328767122</v>
          </cell>
        </row>
        <row r="6644">
          <cell r="B6644">
            <v>18.2</v>
          </cell>
          <cell r="C6644">
            <v>11.8124</v>
          </cell>
        </row>
        <row r="6645">
          <cell r="B6645">
            <v>18.2027</v>
          </cell>
          <cell r="C6645">
            <v>11.812487671232876</v>
          </cell>
        </row>
        <row r="6646">
          <cell r="B6646">
            <v>18.205500000000001</v>
          </cell>
          <cell r="C6646">
            <v>11.812575342465752</v>
          </cell>
        </row>
        <row r="6647">
          <cell r="B6647">
            <v>18.208200000000001</v>
          </cell>
          <cell r="C6647">
            <v>11.81266301369863</v>
          </cell>
        </row>
        <row r="6648">
          <cell r="B6648">
            <v>18.210999999999999</v>
          </cell>
          <cell r="C6648">
            <v>11.812750684931506</v>
          </cell>
        </row>
        <row r="6649">
          <cell r="B6649">
            <v>18.213699999999999</v>
          </cell>
          <cell r="C6649">
            <v>11.812838356164383</v>
          </cell>
        </row>
        <row r="6650">
          <cell r="B6650">
            <v>18.2164</v>
          </cell>
          <cell r="C6650">
            <v>11.81292602739726</v>
          </cell>
        </row>
        <row r="6651">
          <cell r="B6651">
            <v>18.219200000000001</v>
          </cell>
          <cell r="C6651">
            <v>11.813013698630137</v>
          </cell>
        </row>
        <row r="6652">
          <cell r="B6652">
            <v>18.221900000000002</v>
          </cell>
          <cell r="C6652">
            <v>11.813101369863013</v>
          </cell>
        </row>
        <row r="6653">
          <cell r="B6653">
            <v>18.224699999999999</v>
          </cell>
          <cell r="C6653">
            <v>11.813189041095891</v>
          </cell>
        </row>
        <row r="6654">
          <cell r="B6654">
            <v>18.227399999999999</v>
          </cell>
          <cell r="C6654">
            <v>11.813276712328767</v>
          </cell>
        </row>
        <row r="6655">
          <cell r="B6655">
            <v>18.2301</v>
          </cell>
          <cell r="C6655">
            <v>11.813364383561643</v>
          </cell>
        </row>
        <row r="6656">
          <cell r="B6656">
            <v>18.232900000000001</v>
          </cell>
          <cell r="C6656">
            <v>11.813452054794521</v>
          </cell>
        </row>
        <row r="6657">
          <cell r="B6657">
            <v>18.235600000000002</v>
          </cell>
          <cell r="C6657">
            <v>11.813539726027397</v>
          </cell>
        </row>
        <row r="6658">
          <cell r="B6658">
            <v>18.238399999999999</v>
          </cell>
          <cell r="C6658">
            <v>11.813627397260273</v>
          </cell>
        </row>
        <row r="6659">
          <cell r="B6659">
            <v>18.241099999999999</v>
          </cell>
          <cell r="C6659">
            <v>11.813715068493151</v>
          </cell>
        </row>
        <row r="6660">
          <cell r="B6660">
            <v>18.2438</v>
          </cell>
          <cell r="C6660">
            <v>11.813802739726027</v>
          </cell>
        </row>
        <row r="6661">
          <cell r="B6661">
            <v>18.246600000000001</v>
          </cell>
          <cell r="C6661">
            <v>11.813890410958903</v>
          </cell>
        </row>
        <row r="6662">
          <cell r="B6662">
            <v>18.249300000000002</v>
          </cell>
          <cell r="C6662">
            <v>11.813978082191781</v>
          </cell>
        </row>
        <row r="6663">
          <cell r="B6663">
            <v>18.252099999999999</v>
          </cell>
          <cell r="C6663">
            <v>11.814065753424657</v>
          </cell>
        </row>
        <row r="6664">
          <cell r="B6664">
            <v>18.254799999999999</v>
          </cell>
          <cell r="C6664">
            <v>11.814153424657533</v>
          </cell>
        </row>
        <row r="6665">
          <cell r="B6665">
            <v>18.2575</v>
          </cell>
          <cell r="C6665">
            <v>11.814241095890411</v>
          </cell>
        </row>
        <row r="6666">
          <cell r="B6666">
            <v>18.260300000000001</v>
          </cell>
          <cell r="C6666">
            <v>11.814328767123287</v>
          </cell>
        </row>
        <row r="6667">
          <cell r="B6667">
            <v>18.263000000000002</v>
          </cell>
          <cell r="C6667">
            <v>11.814416438356163</v>
          </cell>
        </row>
        <row r="6668">
          <cell r="B6668">
            <v>18.265799999999999</v>
          </cell>
          <cell r="C6668">
            <v>11.814504109589041</v>
          </cell>
        </row>
        <row r="6669">
          <cell r="B6669">
            <v>18.2685</v>
          </cell>
          <cell r="C6669">
            <v>11.814591780821917</v>
          </cell>
        </row>
        <row r="6670">
          <cell r="B6670">
            <v>18.2712</v>
          </cell>
          <cell r="C6670">
            <v>11.814679452054794</v>
          </cell>
        </row>
        <row r="6671">
          <cell r="B6671">
            <v>18.274000000000001</v>
          </cell>
          <cell r="C6671">
            <v>11.814767123287671</v>
          </cell>
        </row>
        <row r="6672">
          <cell r="B6672">
            <v>18.276700000000002</v>
          </cell>
          <cell r="C6672">
            <v>11.814854794520548</v>
          </cell>
        </row>
        <row r="6673">
          <cell r="B6673">
            <v>18.279499999999999</v>
          </cell>
          <cell r="C6673">
            <v>11.814942465753424</v>
          </cell>
        </row>
        <row r="6674">
          <cell r="B6674">
            <v>18.2822</v>
          </cell>
          <cell r="C6674">
            <v>11.815030136986302</v>
          </cell>
        </row>
        <row r="6675">
          <cell r="B6675">
            <v>18.2849</v>
          </cell>
          <cell r="C6675">
            <v>11.815117808219178</v>
          </cell>
        </row>
        <row r="6676">
          <cell r="B6676">
            <v>18.287700000000001</v>
          </cell>
          <cell r="C6676">
            <v>11.815205479452054</v>
          </cell>
        </row>
        <row r="6677">
          <cell r="B6677">
            <v>18.290400000000002</v>
          </cell>
          <cell r="C6677">
            <v>11.815293150684932</v>
          </cell>
        </row>
        <row r="6678">
          <cell r="B6678">
            <v>18.293199999999999</v>
          </cell>
          <cell r="C6678">
            <v>11.815380821917808</v>
          </cell>
        </row>
        <row r="6679">
          <cell r="B6679">
            <v>18.2959</v>
          </cell>
          <cell r="C6679">
            <v>11.815468493150684</v>
          </cell>
        </row>
        <row r="6680">
          <cell r="B6680">
            <v>18.2986</v>
          </cell>
          <cell r="C6680">
            <v>11.815556164383562</v>
          </cell>
        </row>
        <row r="6681">
          <cell r="B6681">
            <v>18.301400000000001</v>
          </cell>
          <cell r="C6681">
            <v>11.815643835616438</v>
          </cell>
        </row>
        <row r="6682">
          <cell r="B6682">
            <v>18.304099999999998</v>
          </cell>
          <cell r="C6682">
            <v>11.815731506849314</v>
          </cell>
        </row>
        <row r="6683">
          <cell r="B6683">
            <v>18.306799999999999</v>
          </cell>
          <cell r="C6683">
            <v>11.815819178082192</v>
          </cell>
        </row>
        <row r="6684">
          <cell r="B6684">
            <v>18.3096</v>
          </cell>
          <cell r="C6684">
            <v>11.815906849315068</v>
          </cell>
        </row>
        <row r="6685">
          <cell r="B6685">
            <v>18.3123</v>
          </cell>
          <cell r="C6685">
            <v>11.815994520547944</v>
          </cell>
        </row>
        <row r="6686">
          <cell r="B6686">
            <v>18.315100000000001</v>
          </cell>
          <cell r="C6686">
            <v>11.816082191780822</v>
          </cell>
        </row>
        <row r="6687">
          <cell r="B6687">
            <v>18.317799999999998</v>
          </cell>
          <cell r="C6687">
            <v>11.816169863013698</v>
          </cell>
        </row>
        <row r="6688">
          <cell r="B6688">
            <v>18.320499999999999</v>
          </cell>
          <cell r="C6688">
            <v>11.816257534246574</v>
          </cell>
        </row>
        <row r="6689">
          <cell r="B6689">
            <v>18.3233</v>
          </cell>
          <cell r="C6689">
            <v>11.816345205479452</v>
          </cell>
        </row>
        <row r="6690">
          <cell r="B6690">
            <v>18.326000000000001</v>
          </cell>
          <cell r="C6690">
            <v>11.816432876712328</v>
          </cell>
        </row>
        <row r="6691">
          <cell r="B6691">
            <v>18.328800000000001</v>
          </cell>
          <cell r="C6691">
            <v>11.816520547945204</v>
          </cell>
        </row>
        <row r="6692">
          <cell r="B6692">
            <v>18.331499999999998</v>
          </cell>
          <cell r="C6692">
            <v>11.816608219178082</v>
          </cell>
        </row>
        <row r="6693">
          <cell r="B6693">
            <v>18.334199999999999</v>
          </cell>
          <cell r="C6693">
            <v>11.816695890410958</v>
          </cell>
        </row>
        <row r="6694">
          <cell r="B6694">
            <v>18.337</v>
          </cell>
          <cell r="C6694">
            <v>11.816783561643835</v>
          </cell>
        </row>
        <row r="6695">
          <cell r="B6695">
            <v>18.339700000000001</v>
          </cell>
          <cell r="C6695">
            <v>11.816871232876712</v>
          </cell>
        </row>
        <row r="6696">
          <cell r="B6696">
            <v>18.342500000000001</v>
          </cell>
          <cell r="C6696">
            <v>11.816958904109589</v>
          </cell>
        </row>
        <row r="6697">
          <cell r="B6697">
            <v>18.345199999999998</v>
          </cell>
          <cell r="C6697">
            <v>11.817046575342465</v>
          </cell>
        </row>
        <row r="6698">
          <cell r="B6698">
            <v>18.347899999999999</v>
          </cell>
          <cell r="C6698">
            <v>11.817134246575343</v>
          </cell>
        </row>
        <row r="6699">
          <cell r="B6699">
            <v>18.3507</v>
          </cell>
          <cell r="C6699">
            <v>11.817221917808219</v>
          </cell>
        </row>
        <row r="6700">
          <cell r="B6700">
            <v>18.353400000000001</v>
          </cell>
          <cell r="C6700">
            <v>11.817309589041095</v>
          </cell>
        </row>
        <row r="6701">
          <cell r="B6701">
            <v>18.356200000000001</v>
          </cell>
          <cell r="C6701">
            <v>11.817397260273973</v>
          </cell>
        </row>
        <row r="6702">
          <cell r="B6702">
            <v>18.358899999999998</v>
          </cell>
          <cell r="C6702">
            <v>11.817484931506849</v>
          </cell>
        </row>
        <row r="6703">
          <cell r="B6703">
            <v>18.361599999999999</v>
          </cell>
          <cell r="C6703">
            <v>11.817572602739725</v>
          </cell>
        </row>
        <row r="6704">
          <cell r="B6704">
            <v>18.3644</v>
          </cell>
          <cell r="C6704">
            <v>11.817660273972603</v>
          </cell>
        </row>
        <row r="6705">
          <cell r="B6705">
            <v>18.367100000000001</v>
          </cell>
          <cell r="C6705">
            <v>11.817747945205479</v>
          </cell>
        </row>
        <row r="6706">
          <cell r="B6706">
            <v>18.369900000000001</v>
          </cell>
          <cell r="C6706">
            <v>11.817835616438355</v>
          </cell>
        </row>
        <row r="6707">
          <cell r="B6707">
            <v>18.372599999999998</v>
          </cell>
          <cell r="C6707">
            <v>11.817923287671233</v>
          </cell>
        </row>
        <row r="6708">
          <cell r="B6708">
            <v>18.375299999999999</v>
          </cell>
          <cell r="C6708">
            <v>11.818010958904109</v>
          </cell>
        </row>
        <row r="6709">
          <cell r="B6709">
            <v>18.3781</v>
          </cell>
          <cell r="C6709">
            <v>11.818098630136985</v>
          </cell>
        </row>
        <row r="6710">
          <cell r="B6710">
            <v>18.380800000000001</v>
          </cell>
          <cell r="C6710">
            <v>11.818186301369863</v>
          </cell>
        </row>
        <row r="6711">
          <cell r="B6711">
            <v>18.383600000000001</v>
          </cell>
          <cell r="C6711">
            <v>11.818273972602739</v>
          </cell>
        </row>
        <row r="6712">
          <cell r="B6712">
            <v>18.386299999999999</v>
          </cell>
          <cell r="C6712">
            <v>11.818361643835615</v>
          </cell>
        </row>
        <row r="6713">
          <cell r="B6713">
            <v>18.388999999999999</v>
          </cell>
          <cell r="C6713">
            <v>11.818449315068493</v>
          </cell>
        </row>
        <row r="6714">
          <cell r="B6714">
            <v>18.3918</v>
          </cell>
          <cell r="C6714">
            <v>11.818536986301369</v>
          </cell>
        </row>
        <row r="6715">
          <cell r="B6715">
            <v>18.394500000000001</v>
          </cell>
          <cell r="C6715">
            <v>11.818624657534246</v>
          </cell>
        </row>
        <row r="6716">
          <cell r="B6716">
            <v>18.397300000000001</v>
          </cell>
          <cell r="C6716">
            <v>11.818712328767123</v>
          </cell>
        </row>
        <row r="6717">
          <cell r="B6717">
            <v>18.399999999999999</v>
          </cell>
          <cell r="C6717">
            <v>11.8188</v>
          </cell>
        </row>
        <row r="6718">
          <cell r="B6718">
            <v>18.402699999999999</v>
          </cell>
          <cell r="C6718">
            <v>11.818887671232876</v>
          </cell>
        </row>
        <row r="6719">
          <cell r="B6719">
            <v>18.4055</v>
          </cell>
          <cell r="C6719">
            <v>11.818975342465754</v>
          </cell>
        </row>
        <row r="6720">
          <cell r="B6720">
            <v>18.408200000000001</v>
          </cell>
          <cell r="C6720">
            <v>11.81906301369863</v>
          </cell>
        </row>
        <row r="6721">
          <cell r="B6721">
            <v>18.411000000000001</v>
          </cell>
          <cell r="C6721">
            <v>11.819150684931506</v>
          </cell>
        </row>
        <row r="6722">
          <cell r="B6722">
            <v>18.413699999999999</v>
          </cell>
          <cell r="C6722">
            <v>11.819238356164384</v>
          </cell>
        </row>
        <row r="6723">
          <cell r="B6723">
            <v>18.416399999999999</v>
          </cell>
          <cell r="C6723">
            <v>11.81932602739726</v>
          </cell>
        </row>
        <row r="6724">
          <cell r="B6724">
            <v>18.4192</v>
          </cell>
          <cell r="C6724">
            <v>11.819413698630136</v>
          </cell>
        </row>
        <row r="6725">
          <cell r="B6725">
            <v>18.421900000000001</v>
          </cell>
          <cell r="C6725">
            <v>11.819501369863014</v>
          </cell>
        </row>
        <row r="6726">
          <cell r="B6726">
            <v>18.424700000000001</v>
          </cell>
          <cell r="C6726">
            <v>11.81958904109589</v>
          </cell>
        </row>
        <row r="6727">
          <cell r="B6727">
            <v>18.427399999999999</v>
          </cell>
          <cell r="C6727">
            <v>11.819676712328766</v>
          </cell>
        </row>
        <row r="6728">
          <cell r="B6728">
            <v>18.430099999999999</v>
          </cell>
          <cell r="C6728">
            <v>11.819764383561644</v>
          </cell>
        </row>
        <row r="6729">
          <cell r="B6729">
            <v>18.4329</v>
          </cell>
          <cell r="C6729">
            <v>11.81985205479452</v>
          </cell>
        </row>
        <row r="6730">
          <cell r="B6730">
            <v>18.435600000000001</v>
          </cell>
          <cell r="C6730">
            <v>11.819939726027396</v>
          </cell>
        </row>
        <row r="6731">
          <cell r="B6731">
            <v>18.438400000000001</v>
          </cell>
          <cell r="C6731">
            <v>11.820027397260274</v>
          </cell>
        </row>
        <row r="6732">
          <cell r="B6732">
            <v>18.441099999999999</v>
          </cell>
          <cell r="C6732">
            <v>11.82011506849315</v>
          </cell>
        </row>
        <row r="6733">
          <cell r="B6733">
            <v>18.4438</v>
          </cell>
          <cell r="C6733">
            <v>11.820202739726026</v>
          </cell>
        </row>
        <row r="6734">
          <cell r="B6734">
            <v>18.4466</v>
          </cell>
          <cell r="C6734">
            <v>11.820290410958904</v>
          </cell>
        </row>
        <row r="6735">
          <cell r="B6735">
            <v>18.449300000000001</v>
          </cell>
          <cell r="C6735">
            <v>11.82037808219178</v>
          </cell>
        </row>
        <row r="6736">
          <cell r="B6736">
            <v>18.452100000000002</v>
          </cell>
          <cell r="C6736">
            <v>11.820465753424656</v>
          </cell>
        </row>
        <row r="6737">
          <cell r="B6737">
            <v>18.454799999999999</v>
          </cell>
          <cell r="C6737">
            <v>11.820553424657534</v>
          </cell>
        </row>
        <row r="6738">
          <cell r="B6738">
            <v>18.4575</v>
          </cell>
          <cell r="C6738">
            <v>11.82064109589041</v>
          </cell>
        </row>
        <row r="6739">
          <cell r="B6739">
            <v>18.4603</v>
          </cell>
          <cell r="C6739">
            <v>11.820728767123287</v>
          </cell>
        </row>
        <row r="6740">
          <cell r="B6740">
            <v>18.463000000000001</v>
          </cell>
          <cell r="C6740">
            <v>11.820816438356164</v>
          </cell>
        </row>
        <row r="6741">
          <cell r="B6741">
            <v>18.465800000000002</v>
          </cell>
          <cell r="C6741">
            <v>11.820904109589041</v>
          </cell>
        </row>
        <row r="6742">
          <cell r="B6742">
            <v>18.468499999999999</v>
          </cell>
          <cell r="C6742">
            <v>11.820991780821917</v>
          </cell>
        </row>
        <row r="6743">
          <cell r="B6743">
            <v>18.4712</v>
          </cell>
          <cell r="C6743">
            <v>11.821079452054795</v>
          </cell>
        </row>
        <row r="6744">
          <cell r="B6744">
            <v>18.474</v>
          </cell>
          <cell r="C6744">
            <v>11.821167123287671</v>
          </cell>
        </row>
        <row r="6745">
          <cell r="B6745">
            <v>18.476700000000001</v>
          </cell>
          <cell r="C6745">
            <v>11.821254794520547</v>
          </cell>
        </row>
        <row r="6746">
          <cell r="B6746">
            <v>18.479500000000002</v>
          </cell>
          <cell r="C6746">
            <v>11.821342465753425</v>
          </cell>
        </row>
        <row r="6747">
          <cell r="B6747">
            <v>18.482199999999999</v>
          </cell>
          <cell r="C6747">
            <v>11.821430136986301</v>
          </cell>
        </row>
        <row r="6748">
          <cell r="B6748">
            <v>18.4849</v>
          </cell>
          <cell r="C6748">
            <v>11.821517808219177</v>
          </cell>
        </row>
        <row r="6749">
          <cell r="B6749">
            <v>18.4877</v>
          </cell>
          <cell r="C6749">
            <v>11.821605479452055</v>
          </cell>
        </row>
        <row r="6750">
          <cell r="B6750">
            <v>18.490400000000001</v>
          </cell>
          <cell r="C6750">
            <v>11.821693150684931</v>
          </cell>
        </row>
        <row r="6751">
          <cell r="B6751">
            <v>18.493200000000002</v>
          </cell>
          <cell r="C6751">
            <v>11.821780821917807</v>
          </cell>
        </row>
        <row r="6752">
          <cell r="B6752">
            <v>18.495899999999999</v>
          </cell>
          <cell r="C6752">
            <v>11.821868493150685</v>
          </cell>
        </row>
        <row r="6753">
          <cell r="B6753">
            <v>18.4986</v>
          </cell>
          <cell r="C6753">
            <v>11.821956164383561</v>
          </cell>
        </row>
        <row r="6754">
          <cell r="B6754">
            <v>18.5014</v>
          </cell>
          <cell r="C6754">
            <v>11.822043835616437</v>
          </cell>
        </row>
        <row r="6755">
          <cell r="B6755">
            <v>18.504100000000001</v>
          </cell>
          <cell r="C6755">
            <v>11.822131506849315</v>
          </cell>
        </row>
        <row r="6756">
          <cell r="B6756">
            <v>18.506799999999998</v>
          </cell>
          <cell r="C6756">
            <v>11.822219178082191</v>
          </cell>
        </row>
        <row r="6757">
          <cell r="B6757">
            <v>18.509599999999999</v>
          </cell>
          <cell r="C6757">
            <v>11.822306849315067</v>
          </cell>
        </row>
        <row r="6758">
          <cell r="B6758">
            <v>18.5123</v>
          </cell>
          <cell r="C6758">
            <v>11.822394520547945</v>
          </cell>
        </row>
        <row r="6759">
          <cell r="B6759">
            <v>18.5151</v>
          </cell>
          <cell r="C6759">
            <v>11.822482191780821</v>
          </cell>
        </row>
        <row r="6760">
          <cell r="B6760">
            <v>18.517800000000001</v>
          </cell>
          <cell r="C6760">
            <v>11.822569863013697</v>
          </cell>
        </row>
        <row r="6761">
          <cell r="B6761">
            <v>18.520499999999998</v>
          </cell>
          <cell r="C6761">
            <v>11.822657534246575</v>
          </cell>
        </row>
        <row r="6762">
          <cell r="B6762">
            <v>18.523299999999999</v>
          </cell>
          <cell r="C6762">
            <v>11.822745205479452</v>
          </cell>
        </row>
        <row r="6763">
          <cell r="B6763">
            <v>18.526</v>
          </cell>
          <cell r="C6763">
            <v>11.822832876712328</v>
          </cell>
        </row>
        <row r="6764">
          <cell r="B6764">
            <v>18.5288</v>
          </cell>
          <cell r="C6764">
            <v>11.822920547945206</v>
          </cell>
        </row>
        <row r="6765">
          <cell r="B6765">
            <v>18.531500000000001</v>
          </cell>
          <cell r="C6765">
            <v>11.823008219178082</v>
          </cell>
        </row>
        <row r="6766">
          <cell r="B6766">
            <v>18.534199999999998</v>
          </cell>
          <cell r="C6766">
            <v>11.823095890410958</v>
          </cell>
        </row>
        <row r="6767">
          <cell r="B6767">
            <v>18.536999999999999</v>
          </cell>
          <cell r="C6767">
            <v>11.823183561643836</v>
          </cell>
        </row>
        <row r="6768">
          <cell r="B6768">
            <v>18.5397</v>
          </cell>
          <cell r="C6768">
            <v>11.823271232876712</v>
          </cell>
        </row>
        <row r="6769">
          <cell r="B6769">
            <v>18.5425</v>
          </cell>
          <cell r="C6769">
            <v>11.823358904109588</v>
          </cell>
        </row>
        <row r="6770">
          <cell r="B6770">
            <v>18.545200000000001</v>
          </cell>
          <cell r="C6770">
            <v>11.823446575342466</v>
          </cell>
        </row>
        <row r="6771">
          <cell r="B6771">
            <v>18.547899999999998</v>
          </cell>
          <cell r="C6771">
            <v>11.823534246575342</v>
          </cell>
        </row>
        <row r="6772">
          <cell r="B6772">
            <v>18.550699999999999</v>
          </cell>
          <cell r="C6772">
            <v>11.823621917808218</v>
          </cell>
        </row>
        <row r="6773">
          <cell r="B6773">
            <v>18.5534</v>
          </cell>
          <cell r="C6773">
            <v>11.823709589041096</v>
          </cell>
        </row>
        <row r="6774">
          <cell r="B6774">
            <v>18.5562</v>
          </cell>
          <cell r="C6774">
            <v>11.823797260273972</v>
          </cell>
        </row>
        <row r="6775">
          <cell r="B6775">
            <v>18.558900000000001</v>
          </cell>
          <cell r="C6775">
            <v>11.823884931506848</v>
          </cell>
        </row>
        <row r="6776">
          <cell r="B6776">
            <v>18.561599999999999</v>
          </cell>
          <cell r="C6776">
            <v>11.823972602739726</v>
          </cell>
        </row>
        <row r="6777">
          <cell r="B6777">
            <v>18.564399999999999</v>
          </cell>
          <cell r="C6777">
            <v>11.824060273972602</v>
          </cell>
        </row>
        <row r="6778">
          <cell r="B6778">
            <v>18.5671</v>
          </cell>
          <cell r="C6778">
            <v>11.824147945205478</v>
          </cell>
        </row>
        <row r="6779">
          <cell r="B6779">
            <v>18.569900000000001</v>
          </cell>
          <cell r="C6779">
            <v>11.824235616438356</v>
          </cell>
        </row>
        <row r="6780">
          <cell r="B6780">
            <v>18.572600000000001</v>
          </cell>
          <cell r="C6780">
            <v>11.824323287671232</v>
          </cell>
        </row>
        <row r="6781">
          <cell r="B6781">
            <v>18.575299999999999</v>
          </cell>
          <cell r="C6781">
            <v>11.824410958904108</v>
          </cell>
        </row>
        <row r="6782">
          <cell r="B6782">
            <v>18.578099999999999</v>
          </cell>
          <cell r="C6782">
            <v>11.824498630136986</v>
          </cell>
        </row>
        <row r="6783">
          <cell r="B6783">
            <v>18.5808</v>
          </cell>
          <cell r="C6783">
            <v>11.824586301369862</v>
          </cell>
        </row>
        <row r="6784">
          <cell r="B6784">
            <v>18.583600000000001</v>
          </cell>
          <cell r="C6784">
            <v>11.824673972602739</v>
          </cell>
        </row>
        <row r="6785">
          <cell r="B6785">
            <v>18.586300000000001</v>
          </cell>
          <cell r="C6785">
            <v>11.824761643835616</v>
          </cell>
        </row>
        <row r="6786">
          <cell r="B6786">
            <v>18.588999999999999</v>
          </cell>
          <cell r="C6786">
            <v>11.824849315068493</v>
          </cell>
        </row>
        <row r="6787">
          <cell r="B6787">
            <v>18.591799999999999</v>
          </cell>
          <cell r="C6787">
            <v>11.824936986301369</v>
          </cell>
        </row>
        <row r="6788">
          <cell r="B6788">
            <v>18.5945</v>
          </cell>
          <cell r="C6788">
            <v>11.825024657534247</v>
          </cell>
        </row>
        <row r="6789">
          <cell r="B6789">
            <v>18.597300000000001</v>
          </cell>
          <cell r="C6789">
            <v>11.825112328767123</v>
          </cell>
        </row>
        <row r="6790">
          <cell r="B6790">
            <v>18.600000000000001</v>
          </cell>
          <cell r="C6790">
            <v>11.825199999999999</v>
          </cell>
        </row>
        <row r="6791">
          <cell r="B6791">
            <v>18.602699999999999</v>
          </cell>
          <cell r="C6791">
            <v>11.825287671232877</v>
          </cell>
        </row>
        <row r="6792">
          <cell r="B6792">
            <v>18.605499999999999</v>
          </cell>
          <cell r="C6792">
            <v>11.825375342465753</v>
          </cell>
        </row>
        <row r="6793">
          <cell r="B6793">
            <v>18.6082</v>
          </cell>
          <cell r="C6793">
            <v>11.825463013698629</v>
          </cell>
        </row>
        <row r="6794">
          <cell r="B6794">
            <v>18.611000000000001</v>
          </cell>
          <cell r="C6794">
            <v>11.825550684931507</v>
          </cell>
        </row>
        <row r="6795">
          <cell r="B6795">
            <v>18.613700000000001</v>
          </cell>
          <cell r="C6795">
            <v>11.825638356164383</v>
          </cell>
        </row>
        <row r="6796">
          <cell r="B6796">
            <v>18.616399999999999</v>
          </cell>
          <cell r="C6796">
            <v>11.825726027397259</v>
          </cell>
        </row>
        <row r="6797">
          <cell r="B6797">
            <v>18.619199999999999</v>
          </cell>
          <cell r="C6797">
            <v>11.825813698630137</v>
          </cell>
        </row>
        <row r="6798">
          <cell r="B6798">
            <v>18.6219</v>
          </cell>
          <cell r="C6798">
            <v>11.825901369863013</v>
          </cell>
        </row>
        <row r="6799">
          <cell r="B6799">
            <v>18.624700000000001</v>
          </cell>
          <cell r="C6799">
            <v>11.825989041095889</v>
          </cell>
        </row>
        <row r="6800">
          <cell r="B6800">
            <v>18.627400000000002</v>
          </cell>
          <cell r="C6800">
            <v>11.826076712328767</v>
          </cell>
        </row>
        <row r="6801">
          <cell r="B6801">
            <v>18.630099999999999</v>
          </cell>
          <cell r="C6801">
            <v>11.826164383561643</v>
          </cell>
        </row>
        <row r="6802">
          <cell r="B6802">
            <v>18.632899999999999</v>
          </cell>
          <cell r="C6802">
            <v>11.826252054794519</v>
          </cell>
        </row>
        <row r="6803">
          <cell r="B6803">
            <v>18.6356</v>
          </cell>
          <cell r="C6803">
            <v>11.826339726027397</v>
          </cell>
        </row>
        <row r="6804">
          <cell r="B6804">
            <v>18.638400000000001</v>
          </cell>
          <cell r="C6804">
            <v>11.826427397260273</v>
          </cell>
        </row>
        <row r="6805">
          <cell r="B6805">
            <v>18.641100000000002</v>
          </cell>
          <cell r="C6805">
            <v>11.826515068493149</v>
          </cell>
        </row>
        <row r="6806">
          <cell r="B6806">
            <v>18.643799999999999</v>
          </cell>
          <cell r="C6806">
            <v>11.826602739726027</v>
          </cell>
        </row>
        <row r="6807">
          <cell r="B6807">
            <v>18.646599999999999</v>
          </cell>
          <cell r="C6807">
            <v>11.826690410958903</v>
          </cell>
        </row>
        <row r="6808">
          <cell r="B6808">
            <v>18.6493</v>
          </cell>
          <cell r="C6808">
            <v>11.82677808219178</v>
          </cell>
        </row>
        <row r="6809">
          <cell r="B6809">
            <v>18.652100000000001</v>
          </cell>
          <cell r="C6809">
            <v>11.826865753424658</v>
          </cell>
        </row>
        <row r="6810">
          <cell r="B6810">
            <v>18.654800000000002</v>
          </cell>
          <cell r="C6810">
            <v>11.826953424657534</v>
          </cell>
        </row>
        <row r="6811">
          <cell r="B6811">
            <v>18.657499999999999</v>
          </cell>
          <cell r="C6811">
            <v>11.82704109589041</v>
          </cell>
        </row>
        <row r="6812">
          <cell r="B6812">
            <v>18.660299999999999</v>
          </cell>
          <cell r="C6812">
            <v>11.827128767123288</v>
          </cell>
        </row>
        <row r="6813">
          <cell r="B6813">
            <v>18.663</v>
          </cell>
          <cell r="C6813">
            <v>11.827216438356164</v>
          </cell>
        </row>
        <row r="6814">
          <cell r="B6814">
            <v>18.665800000000001</v>
          </cell>
          <cell r="C6814">
            <v>11.82730410958904</v>
          </cell>
        </row>
        <row r="6815">
          <cell r="B6815">
            <v>18.668500000000002</v>
          </cell>
          <cell r="C6815">
            <v>11.827391780821918</v>
          </cell>
        </row>
        <row r="6816">
          <cell r="B6816">
            <v>18.671199999999999</v>
          </cell>
          <cell r="C6816">
            <v>11.827479452054794</v>
          </cell>
        </row>
        <row r="6817">
          <cell r="B6817">
            <v>18.673999999999999</v>
          </cell>
          <cell r="C6817">
            <v>11.82756712328767</v>
          </cell>
        </row>
        <row r="6818">
          <cell r="B6818">
            <v>18.6767</v>
          </cell>
          <cell r="C6818">
            <v>11.827654794520548</v>
          </cell>
        </row>
        <row r="6819">
          <cell r="B6819">
            <v>18.679500000000001</v>
          </cell>
          <cell r="C6819">
            <v>11.827742465753424</v>
          </cell>
        </row>
        <row r="6820">
          <cell r="B6820">
            <v>18.682200000000002</v>
          </cell>
          <cell r="C6820">
            <v>11.8278301369863</v>
          </cell>
        </row>
        <row r="6821">
          <cell r="B6821">
            <v>18.684899999999999</v>
          </cell>
          <cell r="C6821">
            <v>11.827917808219178</v>
          </cell>
        </row>
        <row r="6822">
          <cell r="B6822">
            <v>18.6877</v>
          </cell>
          <cell r="C6822">
            <v>11.828005479452054</v>
          </cell>
        </row>
        <row r="6823">
          <cell r="B6823">
            <v>18.6904</v>
          </cell>
          <cell r="C6823">
            <v>11.828093150684932</v>
          </cell>
        </row>
        <row r="6824">
          <cell r="B6824">
            <v>18.693200000000001</v>
          </cell>
          <cell r="C6824">
            <v>11.828180821917808</v>
          </cell>
        </row>
        <row r="6825">
          <cell r="B6825">
            <v>18.695900000000002</v>
          </cell>
          <cell r="C6825">
            <v>11.828268493150684</v>
          </cell>
        </row>
        <row r="6826">
          <cell r="B6826">
            <v>18.698599999999999</v>
          </cell>
          <cell r="C6826">
            <v>11.82835616438356</v>
          </cell>
        </row>
        <row r="6827">
          <cell r="B6827">
            <v>18.7014</v>
          </cell>
          <cell r="C6827">
            <v>11.828443835616438</v>
          </cell>
        </row>
        <row r="6828">
          <cell r="B6828">
            <v>18.7041</v>
          </cell>
          <cell r="C6828">
            <v>11.828531506849314</v>
          </cell>
        </row>
        <row r="6829">
          <cell r="B6829">
            <v>18.706800000000001</v>
          </cell>
          <cell r="C6829">
            <v>11.828619178082192</v>
          </cell>
        </row>
        <row r="6830">
          <cell r="B6830">
            <v>18.709599999999998</v>
          </cell>
          <cell r="C6830">
            <v>11.828706849315068</v>
          </cell>
        </row>
        <row r="6831">
          <cell r="B6831">
            <v>18.712299999999999</v>
          </cell>
          <cell r="C6831">
            <v>11.828794520547945</v>
          </cell>
        </row>
        <row r="6832">
          <cell r="B6832">
            <v>18.7151</v>
          </cell>
          <cell r="C6832">
            <v>11.828882191780821</v>
          </cell>
        </row>
        <row r="6833">
          <cell r="B6833">
            <v>18.7178</v>
          </cell>
          <cell r="C6833">
            <v>11.828969863013699</v>
          </cell>
        </row>
        <row r="6834">
          <cell r="B6834">
            <v>18.720500000000001</v>
          </cell>
          <cell r="C6834">
            <v>11.829057534246575</v>
          </cell>
        </row>
        <row r="6835">
          <cell r="B6835">
            <v>18.723299999999998</v>
          </cell>
          <cell r="C6835">
            <v>11.829145205479453</v>
          </cell>
        </row>
        <row r="6836">
          <cell r="B6836">
            <v>18.725999999999999</v>
          </cell>
          <cell r="C6836">
            <v>11.829232876712329</v>
          </cell>
        </row>
        <row r="6837">
          <cell r="B6837">
            <v>18.7288</v>
          </cell>
          <cell r="C6837">
            <v>11.829320547945205</v>
          </cell>
        </row>
        <row r="6838">
          <cell r="B6838">
            <v>18.7315</v>
          </cell>
          <cell r="C6838">
            <v>11.829408219178081</v>
          </cell>
        </row>
        <row r="6839">
          <cell r="B6839">
            <v>18.734200000000001</v>
          </cell>
          <cell r="C6839">
            <v>11.829495890410959</v>
          </cell>
        </row>
        <row r="6840">
          <cell r="B6840">
            <v>18.736999999999998</v>
          </cell>
          <cell r="C6840">
            <v>11.829583561643835</v>
          </cell>
        </row>
        <row r="6841">
          <cell r="B6841">
            <v>18.739699999999999</v>
          </cell>
          <cell r="C6841">
            <v>11.829671232876713</v>
          </cell>
        </row>
        <row r="6842">
          <cell r="B6842">
            <v>18.7425</v>
          </cell>
          <cell r="C6842">
            <v>11.829758904109589</v>
          </cell>
        </row>
        <row r="6843">
          <cell r="B6843">
            <v>18.745200000000001</v>
          </cell>
          <cell r="C6843">
            <v>11.829846575342465</v>
          </cell>
        </row>
        <row r="6844">
          <cell r="B6844">
            <v>18.747900000000001</v>
          </cell>
          <cell r="C6844">
            <v>11.829934246575343</v>
          </cell>
        </row>
        <row r="6845">
          <cell r="B6845">
            <v>18.750699999999998</v>
          </cell>
          <cell r="C6845">
            <v>11.830021917808219</v>
          </cell>
        </row>
        <row r="6846">
          <cell r="B6846">
            <v>18.753399999999999</v>
          </cell>
          <cell r="C6846">
            <v>11.830109589041095</v>
          </cell>
        </row>
        <row r="6847">
          <cell r="B6847">
            <v>18.7562</v>
          </cell>
          <cell r="C6847">
            <v>11.830197260273973</v>
          </cell>
        </row>
        <row r="6848">
          <cell r="B6848">
            <v>18.758900000000001</v>
          </cell>
          <cell r="C6848">
            <v>11.830284931506849</v>
          </cell>
        </row>
        <row r="6849">
          <cell r="B6849">
            <v>18.761600000000001</v>
          </cell>
          <cell r="C6849">
            <v>11.830372602739725</v>
          </cell>
        </row>
        <row r="6850">
          <cell r="B6850">
            <v>18.764399999999998</v>
          </cell>
          <cell r="C6850">
            <v>11.830460273972603</v>
          </cell>
        </row>
        <row r="6851">
          <cell r="B6851">
            <v>18.767099999999999</v>
          </cell>
          <cell r="C6851">
            <v>11.830547945205479</v>
          </cell>
        </row>
        <row r="6852">
          <cell r="B6852">
            <v>18.7699</v>
          </cell>
          <cell r="C6852">
            <v>11.830635616438355</v>
          </cell>
        </row>
        <row r="6853">
          <cell r="B6853">
            <v>18.772600000000001</v>
          </cell>
          <cell r="C6853">
            <v>11.830723287671233</v>
          </cell>
        </row>
        <row r="6854">
          <cell r="B6854">
            <v>18.775300000000001</v>
          </cell>
          <cell r="C6854">
            <v>11.830810958904109</v>
          </cell>
        </row>
        <row r="6855">
          <cell r="B6855">
            <v>18.778099999999998</v>
          </cell>
          <cell r="C6855">
            <v>11.830898630136986</v>
          </cell>
        </row>
        <row r="6856">
          <cell r="B6856">
            <v>18.780799999999999</v>
          </cell>
          <cell r="C6856">
            <v>11.830986301369864</v>
          </cell>
        </row>
        <row r="6857">
          <cell r="B6857">
            <v>18.7836</v>
          </cell>
          <cell r="C6857">
            <v>11.83107397260274</v>
          </cell>
        </row>
        <row r="6858">
          <cell r="B6858">
            <v>18.786300000000001</v>
          </cell>
          <cell r="C6858">
            <v>11.831161643835616</v>
          </cell>
        </row>
        <row r="6859">
          <cell r="B6859">
            <v>18.789000000000001</v>
          </cell>
          <cell r="C6859">
            <v>11.831249315068494</v>
          </cell>
        </row>
        <row r="6860">
          <cell r="B6860">
            <v>18.791799999999999</v>
          </cell>
          <cell r="C6860">
            <v>11.83133698630137</v>
          </cell>
        </row>
        <row r="6861">
          <cell r="B6861">
            <v>18.794499999999999</v>
          </cell>
          <cell r="C6861">
            <v>11.831424657534246</v>
          </cell>
        </row>
        <row r="6862">
          <cell r="B6862">
            <v>18.7973</v>
          </cell>
          <cell r="C6862">
            <v>11.831512328767124</v>
          </cell>
        </row>
        <row r="6863">
          <cell r="B6863">
            <v>18.8</v>
          </cell>
          <cell r="C6863">
            <v>11.8316</v>
          </cell>
        </row>
        <row r="6864">
          <cell r="B6864">
            <v>18.802700000000002</v>
          </cell>
          <cell r="C6864">
            <v>11.831687671232876</v>
          </cell>
        </row>
        <row r="6865">
          <cell r="B6865">
            <v>18.805499999999999</v>
          </cell>
          <cell r="C6865">
            <v>11.831775342465754</v>
          </cell>
        </row>
        <row r="6866">
          <cell r="B6866">
            <v>18.808199999999999</v>
          </cell>
          <cell r="C6866">
            <v>11.83186301369863</v>
          </cell>
        </row>
        <row r="6867">
          <cell r="B6867">
            <v>18.811</v>
          </cell>
          <cell r="C6867">
            <v>11.831950684931506</v>
          </cell>
        </row>
        <row r="6868">
          <cell r="B6868">
            <v>18.813700000000001</v>
          </cell>
          <cell r="C6868">
            <v>11.832038356164384</v>
          </cell>
        </row>
        <row r="6869">
          <cell r="B6869">
            <v>18.816400000000002</v>
          </cell>
          <cell r="C6869">
            <v>11.83212602739726</v>
          </cell>
        </row>
        <row r="6870">
          <cell r="B6870">
            <v>18.819199999999999</v>
          </cell>
          <cell r="C6870">
            <v>11.832213698630136</v>
          </cell>
        </row>
        <row r="6871">
          <cell r="B6871">
            <v>18.821899999999999</v>
          </cell>
          <cell r="C6871">
            <v>11.832301369863014</v>
          </cell>
        </row>
        <row r="6872">
          <cell r="B6872">
            <v>18.8247</v>
          </cell>
          <cell r="C6872">
            <v>11.83238904109589</v>
          </cell>
        </row>
        <row r="6873">
          <cell r="B6873">
            <v>18.827400000000001</v>
          </cell>
          <cell r="C6873">
            <v>11.832476712328766</v>
          </cell>
        </row>
        <row r="6874">
          <cell r="B6874">
            <v>18.830100000000002</v>
          </cell>
          <cell r="C6874">
            <v>11.832564383561644</v>
          </cell>
        </row>
        <row r="6875">
          <cell r="B6875">
            <v>18.832899999999999</v>
          </cell>
          <cell r="C6875">
            <v>11.83265205479452</v>
          </cell>
        </row>
        <row r="6876">
          <cell r="B6876">
            <v>18.835599999999999</v>
          </cell>
          <cell r="C6876">
            <v>11.832739726027397</v>
          </cell>
        </row>
        <row r="6877">
          <cell r="B6877">
            <v>18.8384</v>
          </cell>
          <cell r="C6877">
            <v>11.832827397260274</v>
          </cell>
        </row>
        <row r="6878">
          <cell r="B6878">
            <v>18.841100000000001</v>
          </cell>
          <cell r="C6878">
            <v>11.832915068493151</v>
          </cell>
        </row>
        <row r="6879">
          <cell r="B6879">
            <v>18.843800000000002</v>
          </cell>
          <cell r="C6879">
            <v>11.833002739726027</v>
          </cell>
        </row>
        <row r="6880">
          <cell r="B6880">
            <v>18.846599999999999</v>
          </cell>
          <cell r="C6880">
            <v>11.833090410958905</v>
          </cell>
        </row>
        <row r="6881">
          <cell r="B6881">
            <v>18.849299999999999</v>
          </cell>
          <cell r="C6881">
            <v>11.833178082191781</v>
          </cell>
        </row>
        <row r="6882">
          <cell r="B6882">
            <v>18.8521</v>
          </cell>
          <cell r="C6882">
            <v>11.833265753424657</v>
          </cell>
        </row>
        <row r="6883">
          <cell r="B6883">
            <v>18.854800000000001</v>
          </cell>
          <cell r="C6883">
            <v>11.833353424657535</v>
          </cell>
        </row>
        <row r="6884">
          <cell r="B6884">
            <v>18.857500000000002</v>
          </cell>
          <cell r="C6884">
            <v>11.833441095890411</v>
          </cell>
        </row>
        <row r="6885">
          <cell r="B6885">
            <v>18.860299999999999</v>
          </cell>
          <cell r="C6885">
            <v>11.833528767123287</v>
          </cell>
        </row>
        <row r="6886">
          <cell r="B6886">
            <v>18.863</v>
          </cell>
          <cell r="C6886">
            <v>11.833616438356165</v>
          </cell>
        </row>
        <row r="6887">
          <cell r="B6887">
            <v>18.8658</v>
          </cell>
          <cell r="C6887">
            <v>11.833704109589041</v>
          </cell>
        </row>
        <row r="6888">
          <cell r="B6888">
            <v>18.868500000000001</v>
          </cell>
          <cell r="C6888">
            <v>11.833791780821917</v>
          </cell>
        </row>
        <row r="6889">
          <cell r="B6889">
            <v>18.871200000000002</v>
          </cell>
          <cell r="C6889">
            <v>11.833879452054795</v>
          </cell>
        </row>
        <row r="6890">
          <cell r="B6890">
            <v>18.873999999999999</v>
          </cell>
          <cell r="C6890">
            <v>11.833967123287671</v>
          </cell>
        </row>
        <row r="6891">
          <cell r="B6891">
            <v>18.8767</v>
          </cell>
          <cell r="C6891">
            <v>11.834054794520547</v>
          </cell>
        </row>
        <row r="6892">
          <cell r="B6892">
            <v>18.8795</v>
          </cell>
          <cell r="C6892">
            <v>11.834142465753425</v>
          </cell>
        </row>
        <row r="6893">
          <cell r="B6893">
            <v>18.882200000000001</v>
          </cell>
          <cell r="C6893">
            <v>11.834230136986301</v>
          </cell>
        </row>
        <row r="6894">
          <cell r="B6894">
            <v>18.884899999999998</v>
          </cell>
          <cell r="C6894">
            <v>11.834317808219177</v>
          </cell>
        </row>
        <row r="6895">
          <cell r="B6895">
            <v>18.887699999999999</v>
          </cell>
          <cell r="C6895">
            <v>11.834405479452055</v>
          </cell>
        </row>
        <row r="6896">
          <cell r="B6896">
            <v>18.8904</v>
          </cell>
          <cell r="C6896">
            <v>11.834493150684931</v>
          </cell>
        </row>
        <row r="6897">
          <cell r="B6897">
            <v>18.8932</v>
          </cell>
          <cell r="C6897">
            <v>11.834580821917807</v>
          </cell>
        </row>
        <row r="6898">
          <cell r="B6898">
            <v>18.895900000000001</v>
          </cell>
          <cell r="C6898">
            <v>11.834668493150685</v>
          </cell>
        </row>
        <row r="6899">
          <cell r="B6899">
            <v>18.898599999999998</v>
          </cell>
          <cell r="C6899">
            <v>11.834756164383561</v>
          </cell>
        </row>
        <row r="6900">
          <cell r="B6900">
            <v>18.901399999999999</v>
          </cell>
          <cell r="C6900">
            <v>11.834843835616438</v>
          </cell>
        </row>
        <row r="6901">
          <cell r="B6901">
            <v>18.9041</v>
          </cell>
          <cell r="C6901">
            <v>11.834931506849315</v>
          </cell>
        </row>
        <row r="6902">
          <cell r="B6902">
            <v>18.9068</v>
          </cell>
          <cell r="C6902">
            <v>11.835019178082192</v>
          </cell>
        </row>
        <row r="6903">
          <cell r="B6903">
            <v>18.909600000000001</v>
          </cell>
          <cell r="C6903">
            <v>11.835106849315068</v>
          </cell>
        </row>
        <row r="6904">
          <cell r="B6904">
            <v>18.912299999999998</v>
          </cell>
          <cell r="C6904">
            <v>11.835194520547946</v>
          </cell>
        </row>
        <row r="6905">
          <cell r="B6905">
            <v>18.915099999999999</v>
          </cell>
          <cell r="C6905">
            <v>11.835282191780822</v>
          </cell>
        </row>
        <row r="6906">
          <cell r="B6906">
            <v>18.9178</v>
          </cell>
          <cell r="C6906">
            <v>11.835369863013698</v>
          </cell>
        </row>
        <row r="6907">
          <cell r="B6907">
            <v>18.920500000000001</v>
          </cell>
          <cell r="C6907">
            <v>11.835457534246576</v>
          </cell>
        </row>
        <row r="6908">
          <cell r="B6908">
            <v>18.923300000000001</v>
          </cell>
          <cell r="C6908">
            <v>11.835545205479452</v>
          </cell>
        </row>
        <row r="6909">
          <cell r="B6909">
            <v>18.925999999999998</v>
          </cell>
          <cell r="C6909">
            <v>11.835632876712328</v>
          </cell>
        </row>
        <row r="6910">
          <cell r="B6910">
            <v>18.928799999999999</v>
          </cell>
          <cell r="C6910">
            <v>11.835720547945206</v>
          </cell>
        </row>
        <row r="6911">
          <cell r="B6911">
            <v>18.9315</v>
          </cell>
          <cell r="C6911">
            <v>11.835808219178082</v>
          </cell>
        </row>
        <row r="6912">
          <cell r="B6912">
            <v>18.934200000000001</v>
          </cell>
          <cell r="C6912">
            <v>11.835895890410958</v>
          </cell>
        </row>
        <row r="6913">
          <cell r="B6913">
            <v>18.937000000000001</v>
          </cell>
          <cell r="C6913">
            <v>11.835983561643836</v>
          </cell>
        </row>
        <row r="6914">
          <cell r="B6914">
            <v>18.939699999999998</v>
          </cell>
          <cell r="C6914">
            <v>11.836071232876712</v>
          </cell>
        </row>
        <row r="6915">
          <cell r="B6915">
            <v>18.942499999999999</v>
          </cell>
          <cell r="C6915">
            <v>11.836158904109588</v>
          </cell>
        </row>
        <row r="6916">
          <cell r="B6916">
            <v>18.9452</v>
          </cell>
          <cell r="C6916">
            <v>11.836246575342466</v>
          </cell>
        </row>
        <row r="6917">
          <cell r="B6917">
            <v>18.947900000000001</v>
          </cell>
          <cell r="C6917">
            <v>11.836334246575342</v>
          </cell>
        </row>
        <row r="6918">
          <cell r="B6918">
            <v>18.950700000000001</v>
          </cell>
          <cell r="C6918">
            <v>11.836421917808218</v>
          </cell>
        </row>
        <row r="6919">
          <cell r="B6919">
            <v>18.953399999999998</v>
          </cell>
          <cell r="C6919">
            <v>11.836509589041096</v>
          </cell>
        </row>
        <row r="6920">
          <cell r="B6920">
            <v>18.956199999999999</v>
          </cell>
          <cell r="C6920">
            <v>11.836597260273972</v>
          </cell>
        </row>
        <row r="6921">
          <cell r="B6921">
            <v>18.9589</v>
          </cell>
          <cell r="C6921">
            <v>11.836684931506849</v>
          </cell>
        </row>
        <row r="6922">
          <cell r="B6922">
            <v>18.961600000000001</v>
          </cell>
          <cell r="C6922">
            <v>11.836772602739726</v>
          </cell>
        </row>
        <row r="6923">
          <cell r="B6923">
            <v>18.964400000000001</v>
          </cell>
          <cell r="C6923">
            <v>11.836860273972603</v>
          </cell>
        </row>
        <row r="6924">
          <cell r="B6924">
            <v>18.967099999999999</v>
          </cell>
          <cell r="C6924">
            <v>11.836947945205479</v>
          </cell>
        </row>
        <row r="6925">
          <cell r="B6925">
            <v>18.969899999999999</v>
          </cell>
          <cell r="C6925">
            <v>11.837035616438357</v>
          </cell>
        </row>
        <row r="6926">
          <cell r="B6926">
            <v>18.9726</v>
          </cell>
          <cell r="C6926">
            <v>11.837123287671233</v>
          </cell>
        </row>
        <row r="6927">
          <cell r="B6927">
            <v>18.975300000000001</v>
          </cell>
          <cell r="C6927">
            <v>11.837210958904109</v>
          </cell>
        </row>
        <row r="6928">
          <cell r="B6928">
            <v>18.978100000000001</v>
          </cell>
          <cell r="C6928">
            <v>11.837298630136987</v>
          </cell>
        </row>
        <row r="6929">
          <cell r="B6929">
            <v>18.980799999999999</v>
          </cell>
          <cell r="C6929">
            <v>11.837386301369863</v>
          </cell>
        </row>
        <row r="6930">
          <cell r="B6930">
            <v>18.983599999999999</v>
          </cell>
          <cell r="C6930">
            <v>11.837473972602739</v>
          </cell>
        </row>
        <row r="6931">
          <cell r="B6931">
            <v>18.9863</v>
          </cell>
          <cell r="C6931">
            <v>11.837561643835617</v>
          </cell>
        </row>
        <row r="6932">
          <cell r="B6932">
            <v>18.989000000000001</v>
          </cell>
          <cell r="C6932">
            <v>11.837649315068493</v>
          </cell>
        </row>
        <row r="6933">
          <cell r="B6933">
            <v>18.991800000000001</v>
          </cell>
          <cell r="C6933">
            <v>11.837736986301369</v>
          </cell>
        </row>
        <row r="6934">
          <cell r="B6934">
            <v>18.994499999999999</v>
          </cell>
          <cell r="C6934">
            <v>11.837824657534247</v>
          </cell>
        </row>
        <row r="6935">
          <cell r="B6935">
            <v>18.997299999999999</v>
          </cell>
          <cell r="C6935">
            <v>11.837912328767123</v>
          </cell>
        </row>
        <row r="6936">
          <cell r="B6936">
            <v>19</v>
          </cell>
          <cell r="C6936">
            <v>11.837999999999999</v>
          </cell>
        </row>
        <row r="6937">
          <cell r="B6937">
            <v>19.002700000000001</v>
          </cell>
          <cell r="C6937">
            <v>11.838087671232877</v>
          </cell>
        </row>
        <row r="6938">
          <cell r="B6938">
            <v>19.005500000000001</v>
          </cell>
          <cell r="C6938">
            <v>11.838175342465753</v>
          </cell>
        </row>
        <row r="6939">
          <cell r="B6939">
            <v>19.008199999999999</v>
          </cell>
          <cell r="C6939">
            <v>11.838263013698629</v>
          </cell>
        </row>
        <row r="6940">
          <cell r="B6940">
            <v>19.010999999999999</v>
          </cell>
          <cell r="C6940">
            <v>11.838350684931507</v>
          </cell>
        </row>
        <row r="6941">
          <cell r="B6941">
            <v>19.0137</v>
          </cell>
          <cell r="C6941">
            <v>11.838438356164383</v>
          </cell>
        </row>
        <row r="6942">
          <cell r="B6942">
            <v>19.016400000000001</v>
          </cell>
          <cell r="C6942">
            <v>11.838526027397259</v>
          </cell>
        </row>
        <row r="6943">
          <cell r="B6943">
            <v>19.019200000000001</v>
          </cell>
          <cell r="C6943">
            <v>11.838613698630137</v>
          </cell>
        </row>
        <row r="6944">
          <cell r="B6944">
            <v>19.021899999999999</v>
          </cell>
          <cell r="C6944">
            <v>11.838701369863013</v>
          </cell>
        </row>
        <row r="6945">
          <cell r="B6945">
            <v>19.024699999999999</v>
          </cell>
          <cell r="C6945">
            <v>11.83878904109589</v>
          </cell>
        </row>
        <row r="6946">
          <cell r="B6946">
            <v>19.0274</v>
          </cell>
          <cell r="C6946">
            <v>11.838876712328767</v>
          </cell>
        </row>
        <row r="6947">
          <cell r="B6947">
            <v>19.030100000000001</v>
          </cell>
          <cell r="C6947">
            <v>11.838964383561644</v>
          </cell>
        </row>
        <row r="6948">
          <cell r="B6948">
            <v>19.032900000000001</v>
          </cell>
          <cell r="C6948">
            <v>11.83905205479452</v>
          </cell>
        </row>
        <row r="6949">
          <cell r="B6949">
            <v>19.035599999999999</v>
          </cell>
          <cell r="C6949">
            <v>11.839139726027398</v>
          </cell>
        </row>
        <row r="6950">
          <cell r="B6950">
            <v>19.038399999999999</v>
          </cell>
          <cell r="C6950">
            <v>11.839227397260274</v>
          </cell>
        </row>
        <row r="6951">
          <cell r="B6951">
            <v>19.0411</v>
          </cell>
          <cell r="C6951">
            <v>11.83931506849315</v>
          </cell>
        </row>
        <row r="6952">
          <cell r="B6952">
            <v>19.043800000000001</v>
          </cell>
          <cell r="C6952">
            <v>11.839402739726028</v>
          </cell>
        </row>
        <row r="6953">
          <cell r="B6953">
            <v>19.046600000000002</v>
          </cell>
          <cell r="C6953">
            <v>11.839490410958904</v>
          </cell>
        </row>
        <row r="6954">
          <cell r="B6954">
            <v>19.049299999999999</v>
          </cell>
          <cell r="C6954">
            <v>11.83957808219178</v>
          </cell>
        </row>
        <row r="6955">
          <cell r="B6955">
            <v>19.052099999999999</v>
          </cell>
          <cell r="C6955">
            <v>11.839665753424658</v>
          </cell>
        </row>
        <row r="6956">
          <cell r="B6956">
            <v>19.0548</v>
          </cell>
          <cell r="C6956">
            <v>11.839753424657534</v>
          </cell>
        </row>
        <row r="6957">
          <cell r="B6957">
            <v>19.057500000000001</v>
          </cell>
          <cell r="C6957">
            <v>11.83984109589041</v>
          </cell>
        </row>
        <row r="6958">
          <cell r="B6958">
            <v>19.060300000000002</v>
          </cell>
          <cell r="C6958">
            <v>11.839928767123288</v>
          </cell>
        </row>
        <row r="6959">
          <cell r="B6959">
            <v>19.062999999999999</v>
          </cell>
          <cell r="C6959">
            <v>11.840016438356164</v>
          </cell>
        </row>
        <row r="6960">
          <cell r="B6960">
            <v>19.065799999999999</v>
          </cell>
          <cell r="C6960">
            <v>11.84010410958904</v>
          </cell>
        </row>
        <row r="6961">
          <cell r="B6961">
            <v>19.0685</v>
          </cell>
          <cell r="C6961">
            <v>11.840191780821918</v>
          </cell>
        </row>
        <row r="6962">
          <cell r="B6962">
            <v>19.071200000000001</v>
          </cell>
          <cell r="C6962">
            <v>11.840279452054794</v>
          </cell>
        </row>
        <row r="6963">
          <cell r="B6963">
            <v>19.074000000000002</v>
          </cell>
          <cell r="C6963">
            <v>11.84036712328767</v>
          </cell>
        </row>
        <row r="6964">
          <cell r="B6964">
            <v>19.076699999999999</v>
          </cell>
          <cell r="C6964">
            <v>11.840454794520548</v>
          </cell>
        </row>
        <row r="6965">
          <cell r="B6965">
            <v>19.079499999999999</v>
          </cell>
          <cell r="C6965">
            <v>11.840542465753424</v>
          </cell>
        </row>
        <row r="6966">
          <cell r="B6966">
            <v>19.0822</v>
          </cell>
          <cell r="C6966">
            <v>11.840630136986301</v>
          </cell>
        </row>
        <row r="6967">
          <cell r="B6967">
            <v>19.084900000000001</v>
          </cell>
          <cell r="C6967">
            <v>11.840717808219178</v>
          </cell>
        </row>
        <row r="6968">
          <cell r="B6968">
            <v>19.087700000000002</v>
          </cell>
          <cell r="C6968">
            <v>11.840805479452055</v>
          </cell>
        </row>
        <row r="6969">
          <cell r="B6969">
            <v>19.090399999999999</v>
          </cell>
          <cell r="C6969">
            <v>11.840893150684931</v>
          </cell>
        </row>
        <row r="6970">
          <cell r="B6970">
            <v>19.0932</v>
          </cell>
          <cell r="C6970">
            <v>11.840980821917809</v>
          </cell>
        </row>
        <row r="6971">
          <cell r="B6971">
            <v>19.0959</v>
          </cell>
          <cell r="C6971">
            <v>11.841068493150685</v>
          </cell>
        </row>
        <row r="6972">
          <cell r="B6972">
            <v>19.098600000000001</v>
          </cell>
          <cell r="C6972">
            <v>11.841156164383561</v>
          </cell>
        </row>
        <row r="6973">
          <cell r="B6973">
            <v>19.101400000000002</v>
          </cell>
          <cell r="C6973">
            <v>11.841243835616439</v>
          </cell>
        </row>
        <row r="6974">
          <cell r="B6974">
            <v>19.104099999999999</v>
          </cell>
          <cell r="C6974">
            <v>11.841331506849315</v>
          </cell>
        </row>
        <row r="6975">
          <cell r="B6975">
            <v>19.1068</v>
          </cell>
          <cell r="C6975">
            <v>11.841419178082191</v>
          </cell>
        </row>
        <row r="6976">
          <cell r="B6976">
            <v>19.1096</v>
          </cell>
          <cell r="C6976">
            <v>11.841506849315069</v>
          </cell>
        </row>
        <row r="6977">
          <cell r="B6977">
            <v>19.112300000000001</v>
          </cell>
          <cell r="C6977">
            <v>11.841594520547945</v>
          </cell>
        </row>
        <row r="6978">
          <cell r="B6978">
            <v>19.115100000000002</v>
          </cell>
          <cell r="C6978">
            <v>11.841682191780821</v>
          </cell>
        </row>
        <row r="6979">
          <cell r="B6979">
            <v>19.117799999999999</v>
          </cell>
          <cell r="C6979">
            <v>11.841769863013699</v>
          </cell>
        </row>
        <row r="6980">
          <cell r="B6980">
            <v>19.1205</v>
          </cell>
          <cell r="C6980">
            <v>11.841857534246575</v>
          </cell>
        </row>
        <row r="6981">
          <cell r="B6981">
            <v>19.1233</v>
          </cell>
          <cell r="C6981">
            <v>11.841945205479451</v>
          </cell>
        </row>
        <row r="6982">
          <cell r="B6982">
            <v>19.126000000000001</v>
          </cell>
          <cell r="C6982">
            <v>11.842032876712329</v>
          </cell>
        </row>
        <row r="6983">
          <cell r="B6983">
            <v>19.128799999999998</v>
          </cell>
          <cell r="C6983">
            <v>11.842120547945205</v>
          </cell>
        </row>
        <row r="6984">
          <cell r="B6984">
            <v>19.131499999999999</v>
          </cell>
          <cell r="C6984">
            <v>11.842208219178081</v>
          </cell>
        </row>
        <row r="6985">
          <cell r="B6985">
            <v>19.1342</v>
          </cell>
          <cell r="C6985">
            <v>11.842295890410959</v>
          </cell>
        </row>
        <row r="6986">
          <cell r="B6986">
            <v>19.137</v>
          </cell>
          <cell r="C6986">
            <v>11.842383561643835</v>
          </cell>
        </row>
        <row r="6987">
          <cell r="B6987">
            <v>19.139700000000001</v>
          </cell>
          <cell r="C6987">
            <v>11.842471232876711</v>
          </cell>
        </row>
        <row r="6988">
          <cell r="B6988">
            <v>19.142499999999998</v>
          </cell>
          <cell r="C6988">
            <v>11.842558904109589</v>
          </cell>
        </row>
        <row r="6989">
          <cell r="B6989">
            <v>19.145199999999999</v>
          </cell>
          <cell r="C6989">
            <v>11.842646575342465</v>
          </cell>
        </row>
        <row r="6990">
          <cell r="B6990">
            <v>19.1479</v>
          </cell>
          <cell r="C6990">
            <v>11.842734246575342</v>
          </cell>
        </row>
        <row r="6991">
          <cell r="B6991">
            <v>19.150700000000001</v>
          </cell>
          <cell r="C6991">
            <v>11.842821917808219</v>
          </cell>
        </row>
        <row r="6992">
          <cell r="B6992">
            <v>19.153400000000001</v>
          </cell>
          <cell r="C6992">
            <v>11.842909589041096</v>
          </cell>
        </row>
        <row r="6993">
          <cell r="B6993">
            <v>19.156199999999998</v>
          </cell>
          <cell r="C6993">
            <v>11.842997260273972</v>
          </cell>
        </row>
        <row r="6994">
          <cell r="B6994">
            <v>19.158899999999999</v>
          </cell>
          <cell r="C6994">
            <v>11.84308493150685</v>
          </cell>
        </row>
        <row r="6995">
          <cell r="B6995">
            <v>19.1616</v>
          </cell>
          <cell r="C6995">
            <v>11.843172602739726</v>
          </cell>
        </row>
        <row r="6996">
          <cell r="B6996">
            <v>19.164400000000001</v>
          </cell>
          <cell r="C6996">
            <v>11.843260273972602</v>
          </cell>
        </row>
        <row r="6997">
          <cell r="B6997">
            <v>19.167100000000001</v>
          </cell>
          <cell r="C6997">
            <v>11.84334794520548</v>
          </cell>
        </row>
        <row r="6998">
          <cell r="B6998">
            <v>19.169899999999998</v>
          </cell>
          <cell r="C6998">
            <v>11.843435616438356</v>
          </cell>
        </row>
        <row r="6999">
          <cell r="B6999">
            <v>19.172599999999999</v>
          </cell>
          <cell r="C6999">
            <v>11.843523287671232</v>
          </cell>
        </row>
        <row r="7000">
          <cell r="B7000">
            <v>19.1753</v>
          </cell>
          <cell r="C7000">
            <v>11.84361095890411</v>
          </cell>
        </row>
        <row r="7001">
          <cell r="B7001">
            <v>19.178100000000001</v>
          </cell>
          <cell r="C7001">
            <v>11.843698630136986</v>
          </cell>
        </row>
        <row r="7002">
          <cell r="B7002">
            <v>19.180800000000001</v>
          </cell>
          <cell r="C7002">
            <v>11.843786301369862</v>
          </cell>
        </row>
        <row r="7003">
          <cell r="B7003">
            <v>19.183599999999998</v>
          </cell>
          <cell r="C7003">
            <v>11.84387397260274</v>
          </cell>
        </row>
        <row r="7004">
          <cell r="B7004">
            <v>19.186299999999999</v>
          </cell>
          <cell r="C7004">
            <v>11.843961643835616</v>
          </cell>
        </row>
        <row r="7005">
          <cell r="B7005">
            <v>19.189</v>
          </cell>
          <cell r="C7005">
            <v>11.844049315068492</v>
          </cell>
        </row>
        <row r="7006">
          <cell r="B7006">
            <v>19.191800000000001</v>
          </cell>
          <cell r="C7006">
            <v>11.84413698630137</v>
          </cell>
        </row>
        <row r="7007">
          <cell r="B7007">
            <v>19.194500000000001</v>
          </cell>
          <cell r="C7007">
            <v>11.844224657534246</v>
          </cell>
        </row>
        <row r="7008">
          <cell r="B7008">
            <v>19.197299999999998</v>
          </cell>
          <cell r="C7008">
            <v>11.844312328767122</v>
          </cell>
        </row>
        <row r="7009">
          <cell r="B7009">
            <v>19.2</v>
          </cell>
          <cell r="C7009">
            <v>11.8444</v>
          </cell>
        </row>
        <row r="7010">
          <cell r="B7010">
            <v>19.2027</v>
          </cell>
          <cell r="C7010">
            <v>11.844487671232876</v>
          </cell>
        </row>
        <row r="7011">
          <cell r="B7011">
            <v>19.205500000000001</v>
          </cell>
          <cell r="C7011">
            <v>11.844575342465752</v>
          </cell>
        </row>
        <row r="7012">
          <cell r="B7012">
            <v>19.208200000000001</v>
          </cell>
          <cell r="C7012">
            <v>11.84466301369863</v>
          </cell>
        </row>
        <row r="7013">
          <cell r="B7013">
            <v>19.210999999999999</v>
          </cell>
          <cell r="C7013">
            <v>11.844750684931507</v>
          </cell>
        </row>
        <row r="7014">
          <cell r="B7014">
            <v>19.213699999999999</v>
          </cell>
          <cell r="C7014">
            <v>11.844838356164383</v>
          </cell>
        </row>
        <row r="7015">
          <cell r="B7015">
            <v>19.2164</v>
          </cell>
          <cell r="C7015">
            <v>11.844926027397261</v>
          </cell>
        </row>
        <row r="7016">
          <cell r="B7016">
            <v>19.219200000000001</v>
          </cell>
          <cell r="C7016">
            <v>11.845013698630137</v>
          </cell>
        </row>
        <row r="7017">
          <cell r="B7017">
            <v>19.221900000000002</v>
          </cell>
          <cell r="C7017">
            <v>11.845101369863013</v>
          </cell>
        </row>
        <row r="7018">
          <cell r="B7018">
            <v>19.224699999999999</v>
          </cell>
          <cell r="C7018">
            <v>11.845189041095891</v>
          </cell>
        </row>
        <row r="7019">
          <cell r="B7019">
            <v>19.227399999999999</v>
          </cell>
          <cell r="C7019">
            <v>11.845276712328767</v>
          </cell>
        </row>
        <row r="7020">
          <cell r="B7020">
            <v>19.2301</v>
          </cell>
          <cell r="C7020">
            <v>11.845364383561643</v>
          </cell>
        </row>
        <row r="7021">
          <cell r="B7021">
            <v>19.232900000000001</v>
          </cell>
          <cell r="C7021">
            <v>11.845452054794521</v>
          </cell>
        </row>
        <row r="7022">
          <cell r="B7022">
            <v>19.235600000000002</v>
          </cell>
          <cell r="C7022">
            <v>11.845539726027397</v>
          </cell>
        </row>
        <row r="7023">
          <cell r="B7023">
            <v>19.238399999999999</v>
          </cell>
          <cell r="C7023">
            <v>11.845627397260273</v>
          </cell>
        </row>
        <row r="7024">
          <cell r="B7024">
            <v>19.241099999999999</v>
          </cell>
          <cell r="C7024">
            <v>11.845715068493151</v>
          </cell>
        </row>
        <row r="7025">
          <cell r="B7025">
            <v>19.2438</v>
          </cell>
          <cell r="C7025">
            <v>11.845802739726027</v>
          </cell>
        </row>
        <row r="7026">
          <cell r="B7026">
            <v>19.246600000000001</v>
          </cell>
          <cell r="C7026">
            <v>11.845890410958903</v>
          </cell>
        </row>
        <row r="7027">
          <cell r="B7027">
            <v>19.249300000000002</v>
          </cell>
          <cell r="C7027">
            <v>11.845978082191781</v>
          </cell>
        </row>
        <row r="7028">
          <cell r="B7028">
            <v>19.252099999999999</v>
          </cell>
          <cell r="C7028">
            <v>11.846065753424657</v>
          </cell>
        </row>
        <row r="7029">
          <cell r="B7029">
            <v>19.254799999999999</v>
          </cell>
          <cell r="C7029">
            <v>11.846153424657533</v>
          </cell>
        </row>
        <row r="7030">
          <cell r="B7030">
            <v>19.2575</v>
          </cell>
          <cell r="C7030">
            <v>11.846241095890411</v>
          </cell>
        </row>
        <row r="7031">
          <cell r="B7031">
            <v>19.260300000000001</v>
          </cell>
          <cell r="C7031">
            <v>11.846328767123287</v>
          </cell>
        </row>
        <row r="7032">
          <cell r="B7032">
            <v>19.263000000000002</v>
          </cell>
          <cell r="C7032">
            <v>11.846416438356163</v>
          </cell>
        </row>
        <row r="7033">
          <cell r="B7033">
            <v>19.265799999999999</v>
          </cell>
          <cell r="C7033">
            <v>11.846504109589041</v>
          </cell>
        </row>
        <row r="7034">
          <cell r="B7034">
            <v>19.2685</v>
          </cell>
          <cell r="C7034">
            <v>11.846591780821917</v>
          </cell>
        </row>
        <row r="7035">
          <cell r="B7035">
            <v>19.2712</v>
          </cell>
          <cell r="C7035">
            <v>11.846679452054794</v>
          </cell>
        </row>
        <row r="7036">
          <cell r="B7036">
            <v>19.274000000000001</v>
          </cell>
          <cell r="C7036">
            <v>11.846767123287671</v>
          </cell>
        </row>
        <row r="7037">
          <cell r="B7037">
            <v>19.276700000000002</v>
          </cell>
          <cell r="C7037">
            <v>11.846854794520548</v>
          </cell>
        </row>
        <row r="7038">
          <cell r="B7038">
            <v>19.279499999999999</v>
          </cell>
          <cell r="C7038">
            <v>11.846942465753424</v>
          </cell>
        </row>
        <row r="7039">
          <cell r="B7039">
            <v>19.2822</v>
          </cell>
          <cell r="C7039">
            <v>11.847030136986302</v>
          </cell>
        </row>
        <row r="7040">
          <cell r="B7040">
            <v>19.2849</v>
          </cell>
          <cell r="C7040">
            <v>11.847117808219178</v>
          </cell>
        </row>
        <row r="7041">
          <cell r="B7041">
            <v>19.287700000000001</v>
          </cell>
          <cell r="C7041">
            <v>11.847205479452054</v>
          </cell>
        </row>
        <row r="7042">
          <cell r="B7042">
            <v>19.290400000000002</v>
          </cell>
          <cell r="C7042">
            <v>11.847293150684932</v>
          </cell>
        </row>
        <row r="7043">
          <cell r="B7043">
            <v>19.293199999999999</v>
          </cell>
          <cell r="C7043">
            <v>11.847380821917808</v>
          </cell>
        </row>
        <row r="7044">
          <cell r="B7044">
            <v>19.2959</v>
          </cell>
          <cell r="C7044">
            <v>11.847468493150684</v>
          </cell>
        </row>
        <row r="7045">
          <cell r="B7045">
            <v>19.2986</v>
          </cell>
          <cell r="C7045">
            <v>11.847556164383562</v>
          </cell>
        </row>
        <row r="7046">
          <cell r="B7046">
            <v>19.301400000000001</v>
          </cell>
          <cell r="C7046">
            <v>11.847643835616438</v>
          </cell>
        </row>
        <row r="7047">
          <cell r="B7047">
            <v>19.304099999999998</v>
          </cell>
          <cell r="C7047">
            <v>11.847731506849314</v>
          </cell>
        </row>
        <row r="7048">
          <cell r="B7048">
            <v>19.306799999999999</v>
          </cell>
          <cell r="C7048">
            <v>11.847819178082192</v>
          </cell>
        </row>
        <row r="7049">
          <cell r="B7049">
            <v>19.3096</v>
          </cell>
          <cell r="C7049">
            <v>11.847906849315068</v>
          </cell>
        </row>
        <row r="7050">
          <cell r="B7050">
            <v>19.3123</v>
          </cell>
          <cell r="C7050">
            <v>11.847994520547944</v>
          </cell>
        </row>
        <row r="7051">
          <cell r="B7051">
            <v>19.315100000000001</v>
          </cell>
          <cell r="C7051">
            <v>11.848082191780822</v>
          </cell>
        </row>
        <row r="7052">
          <cell r="B7052">
            <v>19.317799999999998</v>
          </cell>
          <cell r="C7052">
            <v>11.848169863013698</v>
          </cell>
        </row>
        <row r="7053">
          <cell r="B7053">
            <v>19.320499999999999</v>
          </cell>
          <cell r="C7053">
            <v>11.848257534246574</v>
          </cell>
        </row>
        <row r="7054">
          <cell r="B7054">
            <v>19.3233</v>
          </cell>
          <cell r="C7054">
            <v>11.848345205479452</v>
          </cell>
        </row>
        <row r="7055">
          <cell r="B7055">
            <v>19.326000000000001</v>
          </cell>
          <cell r="C7055">
            <v>11.848432876712328</v>
          </cell>
        </row>
        <row r="7056">
          <cell r="B7056">
            <v>19.328800000000001</v>
          </cell>
          <cell r="C7056">
            <v>11.848520547945204</v>
          </cell>
        </row>
        <row r="7057">
          <cell r="B7057">
            <v>19.331499999999998</v>
          </cell>
          <cell r="C7057">
            <v>11.848608219178082</v>
          </cell>
        </row>
        <row r="7058">
          <cell r="B7058">
            <v>19.334199999999999</v>
          </cell>
          <cell r="C7058">
            <v>11.848695890410958</v>
          </cell>
        </row>
        <row r="7059">
          <cell r="B7059">
            <v>19.337</v>
          </cell>
          <cell r="C7059">
            <v>11.848783561643835</v>
          </cell>
        </row>
        <row r="7060">
          <cell r="B7060">
            <v>19.339700000000001</v>
          </cell>
          <cell r="C7060">
            <v>11.848871232876713</v>
          </cell>
        </row>
        <row r="7061">
          <cell r="B7061">
            <v>19.342500000000001</v>
          </cell>
          <cell r="C7061">
            <v>11.848958904109589</v>
          </cell>
        </row>
        <row r="7062">
          <cell r="B7062">
            <v>19.345199999999998</v>
          </cell>
          <cell r="C7062">
            <v>11.849046575342465</v>
          </cell>
        </row>
        <row r="7063">
          <cell r="B7063">
            <v>19.347899999999999</v>
          </cell>
          <cell r="C7063">
            <v>11.849134246575343</v>
          </cell>
        </row>
        <row r="7064">
          <cell r="B7064">
            <v>19.3507</v>
          </cell>
          <cell r="C7064">
            <v>11.849221917808219</v>
          </cell>
        </row>
        <row r="7065">
          <cell r="B7065">
            <v>19.353400000000001</v>
          </cell>
          <cell r="C7065">
            <v>11.849309589041095</v>
          </cell>
        </row>
        <row r="7066">
          <cell r="B7066">
            <v>19.356200000000001</v>
          </cell>
          <cell r="C7066">
            <v>11.849397260273973</v>
          </cell>
        </row>
        <row r="7067">
          <cell r="B7067">
            <v>19.358899999999998</v>
          </cell>
          <cell r="C7067">
            <v>11.849484931506849</v>
          </cell>
        </row>
        <row r="7068">
          <cell r="B7068">
            <v>19.361599999999999</v>
          </cell>
          <cell r="C7068">
            <v>11.849572602739725</v>
          </cell>
        </row>
        <row r="7069">
          <cell r="B7069">
            <v>19.3644</v>
          </cell>
          <cell r="C7069">
            <v>11.849660273972603</v>
          </cell>
        </row>
        <row r="7070">
          <cell r="B7070">
            <v>19.367100000000001</v>
          </cell>
          <cell r="C7070">
            <v>11.849747945205479</v>
          </cell>
        </row>
        <row r="7071">
          <cell r="B7071">
            <v>19.369900000000001</v>
          </cell>
          <cell r="C7071">
            <v>11.849835616438355</v>
          </cell>
        </row>
        <row r="7072">
          <cell r="B7072">
            <v>19.372599999999998</v>
          </cell>
          <cell r="C7072">
            <v>11.849923287671233</v>
          </cell>
        </row>
        <row r="7073">
          <cell r="B7073">
            <v>19.375299999999999</v>
          </cell>
          <cell r="C7073">
            <v>11.850010958904109</v>
          </cell>
        </row>
        <row r="7074">
          <cell r="B7074">
            <v>19.3781</v>
          </cell>
          <cell r="C7074">
            <v>11.850098630136985</v>
          </cell>
        </row>
        <row r="7075">
          <cell r="B7075">
            <v>19.380800000000001</v>
          </cell>
          <cell r="C7075">
            <v>11.850186301369863</v>
          </cell>
        </row>
        <row r="7076">
          <cell r="B7076">
            <v>19.383600000000001</v>
          </cell>
          <cell r="C7076">
            <v>11.850273972602739</v>
          </cell>
        </row>
        <row r="7077">
          <cell r="B7077">
            <v>19.386299999999999</v>
          </cell>
          <cell r="C7077">
            <v>11.850361643835615</v>
          </cell>
        </row>
        <row r="7078">
          <cell r="B7078">
            <v>19.388999999999999</v>
          </cell>
          <cell r="C7078">
            <v>11.850449315068493</v>
          </cell>
        </row>
        <row r="7079">
          <cell r="B7079">
            <v>19.3918</v>
          </cell>
          <cell r="C7079">
            <v>11.850536986301369</v>
          </cell>
        </row>
        <row r="7080">
          <cell r="B7080">
            <v>19.394500000000001</v>
          </cell>
          <cell r="C7080">
            <v>11.850624657534246</v>
          </cell>
        </row>
        <row r="7081">
          <cell r="B7081">
            <v>19.397300000000001</v>
          </cell>
          <cell r="C7081">
            <v>11.850712328767123</v>
          </cell>
        </row>
        <row r="7082">
          <cell r="B7082">
            <v>19.399999999999999</v>
          </cell>
          <cell r="C7082">
            <v>11.8508</v>
          </cell>
        </row>
        <row r="7083">
          <cell r="B7083">
            <v>19.402699999999999</v>
          </cell>
          <cell r="C7083">
            <v>11.850887671232876</v>
          </cell>
        </row>
        <row r="7084">
          <cell r="B7084">
            <v>19.4055</v>
          </cell>
          <cell r="C7084">
            <v>11.850975342465754</v>
          </cell>
        </row>
        <row r="7085">
          <cell r="B7085">
            <v>19.408200000000001</v>
          </cell>
          <cell r="C7085">
            <v>11.85106301369863</v>
          </cell>
        </row>
        <row r="7086">
          <cell r="B7086">
            <v>19.411000000000001</v>
          </cell>
          <cell r="C7086">
            <v>11.851150684931506</v>
          </cell>
        </row>
        <row r="7087">
          <cell r="B7087">
            <v>19.413699999999999</v>
          </cell>
          <cell r="C7087">
            <v>11.851238356164384</v>
          </cell>
        </row>
        <row r="7088">
          <cell r="B7088">
            <v>19.416399999999999</v>
          </cell>
          <cell r="C7088">
            <v>11.85132602739726</v>
          </cell>
        </row>
        <row r="7089">
          <cell r="B7089">
            <v>19.4192</v>
          </cell>
          <cell r="C7089">
            <v>11.851413698630136</v>
          </cell>
        </row>
        <row r="7090">
          <cell r="B7090">
            <v>19.421900000000001</v>
          </cell>
          <cell r="C7090">
            <v>11.851501369863014</v>
          </cell>
        </row>
        <row r="7091">
          <cell r="B7091">
            <v>19.424700000000001</v>
          </cell>
          <cell r="C7091">
            <v>11.85158904109589</v>
          </cell>
        </row>
        <row r="7092">
          <cell r="B7092">
            <v>19.427399999999999</v>
          </cell>
          <cell r="C7092">
            <v>11.851676712328766</v>
          </cell>
        </row>
        <row r="7093">
          <cell r="B7093">
            <v>19.430099999999999</v>
          </cell>
          <cell r="C7093">
            <v>11.851764383561644</v>
          </cell>
        </row>
        <row r="7094">
          <cell r="B7094">
            <v>19.4329</v>
          </cell>
          <cell r="C7094">
            <v>11.85185205479452</v>
          </cell>
        </row>
        <row r="7095">
          <cell r="B7095">
            <v>19.435600000000001</v>
          </cell>
          <cell r="C7095">
            <v>11.851939726027396</v>
          </cell>
        </row>
        <row r="7096">
          <cell r="B7096">
            <v>19.438400000000001</v>
          </cell>
          <cell r="C7096">
            <v>11.852027397260274</v>
          </cell>
        </row>
        <row r="7097">
          <cell r="B7097">
            <v>19.441099999999999</v>
          </cell>
          <cell r="C7097">
            <v>11.85211506849315</v>
          </cell>
        </row>
        <row r="7098">
          <cell r="B7098">
            <v>19.4438</v>
          </cell>
          <cell r="C7098">
            <v>11.852202739726026</v>
          </cell>
        </row>
        <row r="7099">
          <cell r="B7099">
            <v>19.4466</v>
          </cell>
          <cell r="C7099">
            <v>11.852290410958904</v>
          </cell>
        </row>
        <row r="7100">
          <cell r="B7100">
            <v>19.449300000000001</v>
          </cell>
          <cell r="C7100">
            <v>11.85237808219178</v>
          </cell>
        </row>
        <row r="7101">
          <cell r="B7101">
            <v>19.452100000000002</v>
          </cell>
          <cell r="C7101">
            <v>11.852465753424656</v>
          </cell>
        </row>
        <row r="7102">
          <cell r="B7102">
            <v>19.454799999999999</v>
          </cell>
          <cell r="C7102">
            <v>11.852553424657534</v>
          </cell>
        </row>
        <row r="7103">
          <cell r="B7103">
            <v>19.4575</v>
          </cell>
          <cell r="C7103">
            <v>11.85264109589041</v>
          </cell>
        </row>
        <row r="7104">
          <cell r="B7104">
            <v>19.4603</v>
          </cell>
          <cell r="C7104">
            <v>11.852728767123287</v>
          </cell>
        </row>
        <row r="7105">
          <cell r="B7105">
            <v>19.463000000000001</v>
          </cell>
          <cell r="C7105">
            <v>11.852816438356164</v>
          </cell>
        </row>
        <row r="7106">
          <cell r="B7106">
            <v>19.465800000000002</v>
          </cell>
          <cell r="C7106">
            <v>11.852904109589041</v>
          </cell>
        </row>
        <row r="7107">
          <cell r="B7107">
            <v>19.468499999999999</v>
          </cell>
          <cell r="C7107">
            <v>11.852991780821917</v>
          </cell>
        </row>
        <row r="7108">
          <cell r="B7108">
            <v>19.4712</v>
          </cell>
          <cell r="C7108">
            <v>11.853079452054795</v>
          </cell>
        </row>
        <row r="7109">
          <cell r="B7109">
            <v>19.474</v>
          </cell>
          <cell r="C7109">
            <v>11.853167123287671</v>
          </cell>
        </row>
        <row r="7110">
          <cell r="B7110">
            <v>19.476700000000001</v>
          </cell>
          <cell r="C7110">
            <v>11.853254794520547</v>
          </cell>
        </row>
        <row r="7111">
          <cell r="B7111">
            <v>19.479500000000002</v>
          </cell>
          <cell r="C7111">
            <v>11.853342465753425</v>
          </cell>
        </row>
        <row r="7112">
          <cell r="B7112">
            <v>19.482199999999999</v>
          </cell>
          <cell r="C7112">
            <v>11.853430136986301</v>
          </cell>
        </row>
        <row r="7113">
          <cell r="B7113">
            <v>19.4849</v>
          </cell>
          <cell r="C7113">
            <v>11.853517808219177</v>
          </cell>
        </row>
        <row r="7114">
          <cell r="B7114">
            <v>19.4877</v>
          </cell>
          <cell r="C7114">
            <v>11.853605479452055</v>
          </cell>
        </row>
        <row r="7115">
          <cell r="B7115">
            <v>19.490400000000001</v>
          </cell>
          <cell r="C7115">
            <v>11.853693150684931</v>
          </cell>
        </row>
        <row r="7116">
          <cell r="B7116">
            <v>19.493200000000002</v>
          </cell>
          <cell r="C7116">
            <v>11.853780821917807</v>
          </cell>
        </row>
        <row r="7117">
          <cell r="B7117">
            <v>19.495899999999999</v>
          </cell>
          <cell r="C7117">
            <v>11.853868493150685</v>
          </cell>
        </row>
        <row r="7118">
          <cell r="B7118">
            <v>19.4986</v>
          </cell>
          <cell r="C7118">
            <v>11.853956164383561</v>
          </cell>
        </row>
        <row r="7119">
          <cell r="B7119">
            <v>19.5014</v>
          </cell>
          <cell r="C7119">
            <v>11.854043835616437</v>
          </cell>
        </row>
        <row r="7120">
          <cell r="B7120">
            <v>19.504100000000001</v>
          </cell>
          <cell r="C7120">
            <v>11.854131506849315</v>
          </cell>
        </row>
        <row r="7121">
          <cell r="B7121">
            <v>19.506799999999998</v>
          </cell>
          <cell r="C7121">
            <v>11.854219178082191</v>
          </cell>
        </row>
        <row r="7122">
          <cell r="B7122">
            <v>19.509599999999999</v>
          </cell>
          <cell r="C7122">
            <v>11.854306849315067</v>
          </cell>
        </row>
        <row r="7123">
          <cell r="B7123">
            <v>19.5123</v>
          </cell>
          <cell r="C7123">
            <v>11.854394520547945</v>
          </cell>
        </row>
        <row r="7124">
          <cell r="B7124">
            <v>19.5151</v>
          </cell>
          <cell r="C7124">
            <v>11.854482191780821</v>
          </cell>
        </row>
        <row r="7125">
          <cell r="B7125">
            <v>19.517800000000001</v>
          </cell>
          <cell r="C7125">
            <v>11.854569863013698</v>
          </cell>
        </row>
        <row r="7126">
          <cell r="B7126">
            <v>19.520499999999998</v>
          </cell>
          <cell r="C7126">
            <v>11.854657534246575</v>
          </cell>
        </row>
        <row r="7127">
          <cell r="B7127">
            <v>19.523299999999999</v>
          </cell>
          <cell r="C7127">
            <v>11.854745205479452</v>
          </cell>
        </row>
        <row r="7128">
          <cell r="B7128">
            <v>19.526</v>
          </cell>
          <cell r="C7128">
            <v>11.854832876712328</v>
          </cell>
        </row>
        <row r="7129">
          <cell r="B7129">
            <v>19.5288</v>
          </cell>
          <cell r="C7129">
            <v>11.854920547945206</v>
          </cell>
        </row>
        <row r="7130">
          <cell r="B7130">
            <v>19.531500000000001</v>
          </cell>
          <cell r="C7130">
            <v>11.855008219178082</v>
          </cell>
        </row>
        <row r="7131">
          <cell r="B7131">
            <v>19.534199999999998</v>
          </cell>
          <cell r="C7131">
            <v>11.855095890410958</v>
          </cell>
        </row>
        <row r="7132">
          <cell r="B7132">
            <v>19.536999999999999</v>
          </cell>
          <cell r="C7132">
            <v>11.855183561643836</v>
          </cell>
        </row>
        <row r="7133">
          <cell r="B7133">
            <v>19.5397</v>
          </cell>
          <cell r="C7133">
            <v>11.855271232876712</v>
          </cell>
        </row>
        <row r="7134">
          <cell r="B7134">
            <v>19.5425</v>
          </cell>
          <cell r="C7134">
            <v>11.855358904109588</v>
          </cell>
        </row>
        <row r="7135">
          <cell r="B7135">
            <v>19.545200000000001</v>
          </cell>
          <cell r="C7135">
            <v>11.855446575342466</v>
          </cell>
        </row>
        <row r="7136">
          <cell r="B7136">
            <v>19.547899999999998</v>
          </cell>
          <cell r="C7136">
            <v>11.855534246575342</v>
          </cell>
        </row>
        <row r="7137">
          <cell r="B7137">
            <v>19.550699999999999</v>
          </cell>
          <cell r="C7137">
            <v>11.855621917808218</v>
          </cell>
        </row>
        <row r="7138">
          <cell r="B7138">
            <v>19.5534</v>
          </cell>
          <cell r="C7138">
            <v>11.855709589041096</v>
          </cell>
        </row>
        <row r="7139">
          <cell r="B7139">
            <v>19.5562</v>
          </cell>
          <cell r="C7139">
            <v>11.855797260273972</v>
          </cell>
        </row>
        <row r="7140">
          <cell r="B7140">
            <v>19.558900000000001</v>
          </cell>
          <cell r="C7140">
            <v>11.855884931506848</v>
          </cell>
        </row>
        <row r="7141">
          <cell r="B7141">
            <v>19.561599999999999</v>
          </cell>
          <cell r="C7141">
            <v>11.855972602739726</v>
          </cell>
        </row>
        <row r="7142">
          <cell r="B7142">
            <v>19.564399999999999</v>
          </cell>
          <cell r="C7142">
            <v>11.856060273972602</v>
          </cell>
        </row>
        <row r="7143">
          <cell r="B7143">
            <v>19.5671</v>
          </cell>
          <cell r="C7143">
            <v>11.856147945205478</v>
          </cell>
        </row>
        <row r="7144">
          <cell r="B7144">
            <v>19.569900000000001</v>
          </cell>
          <cell r="C7144">
            <v>11.856235616438356</v>
          </cell>
        </row>
        <row r="7145">
          <cell r="B7145">
            <v>19.572600000000001</v>
          </cell>
          <cell r="C7145">
            <v>11.856323287671232</v>
          </cell>
        </row>
        <row r="7146">
          <cell r="B7146">
            <v>19.575299999999999</v>
          </cell>
          <cell r="C7146">
            <v>11.856410958904108</v>
          </cell>
        </row>
        <row r="7147">
          <cell r="B7147">
            <v>19.578099999999999</v>
          </cell>
          <cell r="C7147">
            <v>11.856498630136986</v>
          </cell>
        </row>
        <row r="7148">
          <cell r="B7148">
            <v>19.5808</v>
          </cell>
          <cell r="C7148">
            <v>11.856586301369862</v>
          </cell>
        </row>
        <row r="7149">
          <cell r="B7149">
            <v>19.583600000000001</v>
          </cell>
          <cell r="C7149">
            <v>11.856673972602739</v>
          </cell>
        </row>
        <row r="7150">
          <cell r="B7150">
            <v>19.586300000000001</v>
          </cell>
          <cell r="C7150">
            <v>11.856761643835616</v>
          </cell>
        </row>
        <row r="7151">
          <cell r="B7151">
            <v>19.588999999999999</v>
          </cell>
          <cell r="C7151">
            <v>11.856849315068493</v>
          </cell>
        </row>
        <row r="7152">
          <cell r="B7152">
            <v>19.591799999999999</v>
          </cell>
          <cell r="C7152">
            <v>11.856936986301369</v>
          </cell>
        </row>
        <row r="7153">
          <cell r="B7153">
            <v>19.5945</v>
          </cell>
          <cell r="C7153">
            <v>11.857024657534247</v>
          </cell>
        </row>
        <row r="7154">
          <cell r="B7154">
            <v>19.597300000000001</v>
          </cell>
          <cell r="C7154">
            <v>11.857112328767123</v>
          </cell>
        </row>
        <row r="7155">
          <cell r="B7155">
            <v>19.600000000000001</v>
          </cell>
          <cell r="C7155">
            <v>11.857199999999999</v>
          </cell>
        </row>
        <row r="7156">
          <cell r="B7156">
            <v>19.602699999999999</v>
          </cell>
          <cell r="C7156">
            <v>11.857287671232877</v>
          </cell>
        </row>
        <row r="7157">
          <cell r="B7157">
            <v>19.605499999999999</v>
          </cell>
          <cell r="C7157">
            <v>11.857375342465753</v>
          </cell>
        </row>
        <row r="7158">
          <cell r="B7158">
            <v>19.6082</v>
          </cell>
          <cell r="C7158">
            <v>11.857463013698629</v>
          </cell>
        </row>
        <row r="7159">
          <cell r="B7159">
            <v>19.611000000000001</v>
          </cell>
          <cell r="C7159">
            <v>11.857550684931507</v>
          </cell>
        </row>
        <row r="7160">
          <cell r="B7160">
            <v>19.613700000000001</v>
          </cell>
          <cell r="C7160">
            <v>11.857638356164383</v>
          </cell>
        </row>
        <row r="7161">
          <cell r="B7161">
            <v>19.616399999999999</v>
          </cell>
          <cell r="C7161">
            <v>11.857726027397259</v>
          </cell>
        </row>
        <row r="7162">
          <cell r="B7162">
            <v>19.619199999999999</v>
          </cell>
          <cell r="C7162">
            <v>11.857813698630137</v>
          </cell>
        </row>
        <row r="7163">
          <cell r="B7163">
            <v>19.6219</v>
          </cell>
          <cell r="C7163">
            <v>11.857901369863013</v>
          </cell>
        </row>
        <row r="7164">
          <cell r="B7164">
            <v>19.624700000000001</v>
          </cell>
          <cell r="C7164">
            <v>11.857989041095889</v>
          </cell>
        </row>
        <row r="7165">
          <cell r="B7165">
            <v>19.627400000000002</v>
          </cell>
          <cell r="C7165">
            <v>11.858076712328767</v>
          </cell>
        </row>
        <row r="7166">
          <cell r="B7166">
            <v>19.630099999999999</v>
          </cell>
          <cell r="C7166">
            <v>11.858164383561643</v>
          </cell>
        </row>
        <row r="7167">
          <cell r="B7167">
            <v>19.632899999999999</v>
          </cell>
          <cell r="C7167">
            <v>11.858252054794519</v>
          </cell>
        </row>
        <row r="7168">
          <cell r="B7168">
            <v>19.6356</v>
          </cell>
          <cell r="C7168">
            <v>11.858339726027397</v>
          </cell>
        </row>
        <row r="7169">
          <cell r="B7169">
            <v>19.638400000000001</v>
          </cell>
          <cell r="C7169">
            <v>11.858427397260273</v>
          </cell>
        </row>
        <row r="7170">
          <cell r="B7170">
            <v>19.641100000000002</v>
          </cell>
          <cell r="C7170">
            <v>11.85851506849315</v>
          </cell>
        </row>
        <row r="7171">
          <cell r="B7171">
            <v>19.643799999999999</v>
          </cell>
          <cell r="C7171">
            <v>11.858602739726027</v>
          </cell>
        </row>
        <row r="7172">
          <cell r="B7172">
            <v>19.646599999999999</v>
          </cell>
          <cell r="C7172">
            <v>11.858690410958904</v>
          </cell>
        </row>
        <row r="7173">
          <cell r="B7173">
            <v>19.6493</v>
          </cell>
          <cell r="C7173">
            <v>11.85877808219178</v>
          </cell>
        </row>
        <row r="7174">
          <cell r="B7174">
            <v>19.652100000000001</v>
          </cell>
          <cell r="C7174">
            <v>11.858865753424658</v>
          </cell>
        </row>
        <row r="7175">
          <cell r="B7175">
            <v>19.654800000000002</v>
          </cell>
          <cell r="C7175">
            <v>11.858953424657534</v>
          </cell>
        </row>
        <row r="7176">
          <cell r="B7176">
            <v>19.657499999999999</v>
          </cell>
          <cell r="C7176">
            <v>11.85904109589041</v>
          </cell>
        </row>
        <row r="7177">
          <cell r="B7177">
            <v>19.660299999999999</v>
          </cell>
          <cell r="C7177">
            <v>11.859128767123288</v>
          </cell>
        </row>
        <row r="7178">
          <cell r="B7178">
            <v>19.663</v>
          </cell>
          <cell r="C7178">
            <v>11.859216438356164</v>
          </cell>
        </row>
        <row r="7179">
          <cell r="B7179">
            <v>19.665800000000001</v>
          </cell>
          <cell r="C7179">
            <v>11.85930410958904</v>
          </cell>
        </row>
        <row r="7180">
          <cell r="B7180">
            <v>19.668500000000002</v>
          </cell>
          <cell r="C7180">
            <v>11.859391780821918</v>
          </cell>
        </row>
        <row r="7181">
          <cell r="B7181">
            <v>19.671199999999999</v>
          </cell>
          <cell r="C7181">
            <v>11.859479452054794</v>
          </cell>
        </row>
        <row r="7182">
          <cell r="B7182">
            <v>19.673999999999999</v>
          </cell>
          <cell r="C7182">
            <v>11.85956712328767</v>
          </cell>
        </row>
        <row r="7183">
          <cell r="B7183">
            <v>19.6767</v>
          </cell>
          <cell r="C7183">
            <v>11.859654794520548</v>
          </cell>
        </row>
        <row r="7184">
          <cell r="B7184">
            <v>19.679500000000001</v>
          </cell>
          <cell r="C7184">
            <v>11.859742465753424</v>
          </cell>
        </row>
        <row r="7185">
          <cell r="B7185">
            <v>19.682200000000002</v>
          </cell>
          <cell r="C7185">
            <v>11.8598301369863</v>
          </cell>
        </row>
        <row r="7186">
          <cell r="B7186">
            <v>19.684899999999999</v>
          </cell>
          <cell r="C7186">
            <v>11.859917808219178</v>
          </cell>
        </row>
        <row r="7187">
          <cell r="B7187">
            <v>19.6877</v>
          </cell>
          <cell r="C7187">
            <v>11.860005479452054</v>
          </cell>
        </row>
        <row r="7188">
          <cell r="B7188">
            <v>19.6904</v>
          </cell>
          <cell r="C7188">
            <v>11.86009315068493</v>
          </cell>
        </row>
        <row r="7189">
          <cell r="B7189">
            <v>19.693200000000001</v>
          </cell>
          <cell r="C7189">
            <v>11.860180821917808</v>
          </cell>
        </row>
        <row r="7190">
          <cell r="B7190">
            <v>19.695900000000002</v>
          </cell>
          <cell r="C7190">
            <v>11.860268493150684</v>
          </cell>
        </row>
        <row r="7191">
          <cell r="B7191">
            <v>19.698599999999999</v>
          </cell>
          <cell r="C7191">
            <v>11.86035616438356</v>
          </cell>
        </row>
        <row r="7192">
          <cell r="B7192">
            <v>19.7014</v>
          </cell>
          <cell r="C7192">
            <v>11.860443835616438</v>
          </cell>
        </row>
        <row r="7193">
          <cell r="B7193">
            <v>19.7041</v>
          </cell>
          <cell r="C7193">
            <v>11.860531506849314</v>
          </cell>
        </row>
        <row r="7194">
          <cell r="B7194">
            <v>19.706800000000001</v>
          </cell>
          <cell r="C7194">
            <v>11.860619178082191</v>
          </cell>
        </row>
        <row r="7195">
          <cell r="B7195">
            <v>19.709599999999998</v>
          </cell>
          <cell r="C7195">
            <v>11.860706849315068</v>
          </cell>
        </row>
        <row r="7196">
          <cell r="B7196">
            <v>19.712299999999999</v>
          </cell>
          <cell r="C7196">
            <v>11.860794520547945</v>
          </cell>
        </row>
        <row r="7197">
          <cell r="B7197">
            <v>19.7151</v>
          </cell>
          <cell r="C7197">
            <v>11.860882191780821</v>
          </cell>
        </row>
        <row r="7198">
          <cell r="B7198">
            <v>19.7178</v>
          </cell>
          <cell r="C7198">
            <v>11.860969863013699</v>
          </cell>
        </row>
        <row r="7199">
          <cell r="B7199">
            <v>19.720500000000001</v>
          </cell>
          <cell r="C7199">
            <v>11.861057534246575</v>
          </cell>
        </row>
        <row r="7200">
          <cell r="B7200">
            <v>19.723299999999998</v>
          </cell>
          <cell r="C7200">
            <v>11.861145205479451</v>
          </cell>
        </row>
        <row r="7201">
          <cell r="B7201">
            <v>19.725999999999999</v>
          </cell>
          <cell r="C7201">
            <v>11.861232876712329</v>
          </cell>
        </row>
        <row r="7202">
          <cell r="B7202">
            <v>19.7288</v>
          </cell>
          <cell r="C7202">
            <v>11.861320547945205</v>
          </cell>
        </row>
        <row r="7203">
          <cell r="B7203">
            <v>19.7315</v>
          </cell>
          <cell r="C7203">
            <v>11.861408219178081</v>
          </cell>
        </row>
        <row r="7204">
          <cell r="B7204">
            <v>19.734200000000001</v>
          </cell>
          <cell r="C7204">
            <v>11.861495890410959</v>
          </cell>
        </row>
        <row r="7205">
          <cell r="B7205">
            <v>19.736999999999998</v>
          </cell>
          <cell r="C7205">
            <v>11.861583561643835</v>
          </cell>
        </row>
        <row r="7206">
          <cell r="B7206">
            <v>19.739699999999999</v>
          </cell>
          <cell r="C7206">
            <v>11.861671232876711</v>
          </cell>
        </row>
        <row r="7207">
          <cell r="B7207">
            <v>19.7425</v>
          </cell>
          <cell r="C7207">
            <v>11.861758904109589</v>
          </cell>
        </row>
        <row r="7208">
          <cell r="B7208">
            <v>19.745200000000001</v>
          </cell>
          <cell r="C7208">
            <v>11.861846575342465</v>
          </cell>
        </row>
        <row r="7209">
          <cell r="B7209">
            <v>19.747900000000001</v>
          </cell>
          <cell r="C7209">
            <v>11.861934246575341</v>
          </cell>
        </row>
        <row r="7210">
          <cell r="B7210">
            <v>19.750699999999998</v>
          </cell>
          <cell r="C7210">
            <v>11.862021917808219</v>
          </cell>
        </row>
        <row r="7211">
          <cell r="B7211">
            <v>19.753399999999999</v>
          </cell>
          <cell r="C7211">
            <v>11.862109589041095</v>
          </cell>
        </row>
        <row r="7212">
          <cell r="B7212">
            <v>19.7562</v>
          </cell>
          <cell r="C7212">
            <v>11.862197260273971</v>
          </cell>
        </row>
        <row r="7213">
          <cell r="B7213">
            <v>19.758900000000001</v>
          </cell>
          <cell r="C7213">
            <v>11.862284931506849</v>
          </cell>
        </row>
        <row r="7214">
          <cell r="B7214">
            <v>19.761600000000001</v>
          </cell>
          <cell r="C7214">
            <v>11.862372602739725</v>
          </cell>
        </row>
        <row r="7215">
          <cell r="B7215">
            <v>19.764399999999998</v>
          </cell>
          <cell r="C7215">
            <v>11.862460273972601</v>
          </cell>
        </row>
        <row r="7216">
          <cell r="B7216">
            <v>19.767099999999999</v>
          </cell>
          <cell r="C7216">
            <v>11.862547945205479</v>
          </cell>
        </row>
        <row r="7217">
          <cell r="B7217">
            <v>19.7699</v>
          </cell>
          <cell r="C7217">
            <v>11.862635616438356</v>
          </cell>
        </row>
        <row r="7218">
          <cell r="B7218">
            <v>19.772600000000001</v>
          </cell>
          <cell r="C7218">
            <v>11.862723287671232</v>
          </cell>
        </row>
        <row r="7219">
          <cell r="B7219">
            <v>19.775300000000001</v>
          </cell>
          <cell r="C7219">
            <v>11.86281095890411</v>
          </cell>
        </row>
        <row r="7220">
          <cell r="B7220">
            <v>19.778099999999998</v>
          </cell>
          <cell r="C7220">
            <v>11.862898630136986</v>
          </cell>
        </row>
        <row r="7221">
          <cell r="B7221">
            <v>19.780799999999999</v>
          </cell>
          <cell r="C7221">
            <v>11.862986301369862</v>
          </cell>
        </row>
        <row r="7222">
          <cell r="B7222">
            <v>19.7836</v>
          </cell>
          <cell r="C7222">
            <v>11.86307397260274</v>
          </cell>
        </row>
        <row r="7223">
          <cell r="B7223">
            <v>19.786300000000001</v>
          </cell>
          <cell r="C7223">
            <v>11.863161643835616</v>
          </cell>
        </row>
        <row r="7224">
          <cell r="B7224">
            <v>19.789000000000001</v>
          </cell>
          <cell r="C7224">
            <v>11.863249315068492</v>
          </cell>
        </row>
        <row r="7225">
          <cell r="B7225">
            <v>19.791799999999999</v>
          </cell>
          <cell r="C7225">
            <v>11.86333698630137</v>
          </cell>
        </row>
        <row r="7226">
          <cell r="B7226">
            <v>19.794499999999999</v>
          </cell>
          <cell r="C7226">
            <v>11.863424657534246</v>
          </cell>
        </row>
        <row r="7227">
          <cell r="B7227">
            <v>19.7973</v>
          </cell>
          <cell r="C7227">
            <v>11.863512328767122</v>
          </cell>
        </row>
        <row r="7228">
          <cell r="B7228">
            <v>19.8</v>
          </cell>
          <cell r="C7228">
            <v>11.8636</v>
          </cell>
        </row>
        <row r="7229">
          <cell r="B7229">
            <v>19.802700000000002</v>
          </cell>
          <cell r="C7229">
            <v>11.863687671232876</v>
          </cell>
        </row>
        <row r="7230">
          <cell r="B7230">
            <v>19.805499999999999</v>
          </cell>
          <cell r="C7230">
            <v>11.863775342465752</v>
          </cell>
        </row>
        <row r="7231">
          <cell r="B7231">
            <v>19.808199999999999</v>
          </cell>
          <cell r="C7231">
            <v>11.86386301369863</v>
          </cell>
        </row>
        <row r="7232">
          <cell r="B7232">
            <v>19.811</v>
          </cell>
          <cell r="C7232">
            <v>11.863950684931506</v>
          </cell>
        </row>
        <row r="7233">
          <cell r="B7233">
            <v>19.813700000000001</v>
          </cell>
          <cell r="C7233">
            <v>11.864038356164382</v>
          </cell>
        </row>
        <row r="7234">
          <cell r="B7234">
            <v>19.816400000000002</v>
          </cell>
          <cell r="C7234">
            <v>11.86412602739726</v>
          </cell>
        </row>
        <row r="7235">
          <cell r="B7235">
            <v>19.819199999999999</v>
          </cell>
          <cell r="C7235">
            <v>11.864213698630136</v>
          </cell>
        </row>
        <row r="7236">
          <cell r="B7236">
            <v>19.821899999999999</v>
          </cell>
          <cell r="C7236">
            <v>11.864301369863012</v>
          </cell>
        </row>
        <row r="7237">
          <cell r="B7237">
            <v>19.8247</v>
          </cell>
          <cell r="C7237">
            <v>11.86438904109589</v>
          </cell>
        </row>
        <row r="7238">
          <cell r="B7238">
            <v>19.827400000000001</v>
          </cell>
          <cell r="C7238">
            <v>11.864476712328766</v>
          </cell>
        </row>
        <row r="7239">
          <cell r="B7239">
            <v>19.830100000000002</v>
          </cell>
          <cell r="C7239">
            <v>11.864564383561643</v>
          </cell>
        </row>
        <row r="7240">
          <cell r="B7240">
            <v>19.832899999999999</v>
          </cell>
          <cell r="C7240">
            <v>11.86465205479452</v>
          </cell>
        </row>
        <row r="7241">
          <cell r="B7241">
            <v>19.835599999999999</v>
          </cell>
          <cell r="C7241">
            <v>11.864739726027397</v>
          </cell>
        </row>
        <row r="7242">
          <cell r="B7242">
            <v>19.8384</v>
          </cell>
          <cell r="C7242">
            <v>11.864827397260273</v>
          </cell>
        </row>
        <row r="7243">
          <cell r="B7243">
            <v>19.841100000000001</v>
          </cell>
          <cell r="C7243">
            <v>11.864915068493151</v>
          </cell>
        </row>
        <row r="7244">
          <cell r="B7244">
            <v>19.843800000000002</v>
          </cell>
          <cell r="C7244">
            <v>11.865002739726027</v>
          </cell>
        </row>
        <row r="7245">
          <cell r="B7245">
            <v>19.846599999999999</v>
          </cell>
          <cell r="C7245">
            <v>11.865090410958903</v>
          </cell>
        </row>
        <row r="7246">
          <cell r="B7246">
            <v>19.849299999999999</v>
          </cell>
          <cell r="C7246">
            <v>11.865178082191781</v>
          </cell>
        </row>
        <row r="7247">
          <cell r="B7247">
            <v>19.8521</v>
          </cell>
          <cell r="C7247">
            <v>11.865265753424657</v>
          </cell>
        </row>
        <row r="7248">
          <cell r="B7248">
            <v>19.854800000000001</v>
          </cell>
          <cell r="C7248">
            <v>11.865353424657533</v>
          </cell>
        </row>
        <row r="7249">
          <cell r="B7249">
            <v>19.857500000000002</v>
          </cell>
          <cell r="C7249">
            <v>11.865441095890411</v>
          </cell>
        </row>
        <row r="7250">
          <cell r="B7250">
            <v>19.860299999999999</v>
          </cell>
          <cell r="C7250">
            <v>11.865528767123287</v>
          </cell>
        </row>
        <row r="7251">
          <cell r="B7251">
            <v>19.863</v>
          </cell>
          <cell r="C7251">
            <v>11.865616438356163</v>
          </cell>
        </row>
        <row r="7252">
          <cell r="B7252">
            <v>19.8658</v>
          </cell>
          <cell r="C7252">
            <v>11.865704109589041</v>
          </cell>
        </row>
        <row r="7253">
          <cell r="B7253">
            <v>19.868500000000001</v>
          </cell>
          <cell r="C7253">
            <v>11.865791780821917</v>
          </cell>
        </row>
        <row r="7254">
          <cell r="B7254">
            <v>19.871200000000002</v>
          </cell>
          <cell r="C7254">
            <v>11.865879452054793</v>
          </cell>
        </row>
        <row r="7255">
          <cell r="B7255">
            <v>19.873999999999999</v>
          </cell>
          <cell r="C7255">
            <v>11.865967123287671</v>
          </cell>
        </row>
        <row r="7256">
          <cell r="B7256">
            <v>19.8767</v>
          </cell>
          <cell r="C7256">
            <v>11.866054794520547</v>
          </cell>
        </row>
        <row r="7257">
          <cell r="B7257">
            <v>19.8795</v>
          </cell>
          <cell r="C7257">
            <v>11.866142465753423</v>
          </cell>
        </row>
        <row r="7258">
          <cell r="B7258">
            <v>19.882200000000001</v>
          </cell>
          <cell r="C7258">
            <v>11.866230136986301</v>
          </cell>
        </row>
        <row r="7259">
          <cell r="B7259">
            <v>19.884899999999998</v>
          </cell>
          <cell r="C7259">
            <v>11.866317808219177</v>
          </cell>
        </row>
        <row r="7260">
          <cell r="B7260">
            <v>19.887699999999999</v>
          </cell>
          <cell r="C7260">
            <v>11.866405479452053</v>
          </cell>
        </row>
        <row r="7261">
          <cell r="B7261">
            <v>19.8904</v>
          </cell>
          <cell r="C7261">
            <v>11.866493150684931</v>
          </cell>
        </row>
        <row r="7262">
          <cell r="B7262">
            <v>19.8932</v>
          </cell>
          <cell r="C7262">
            <v>11.866580821917807</v>
          </cell>
        </row>
        <row r="7263">
          <cell r="B7263">
            <v>19.895900000000001</v>
          </cell>
          <cell r="C7263">
            <v>11.866668493150684</v>
          </cell>
        </row>
        <row r="7264">
          <cell r="B7264">
            <v>19.898599999999998</v>
          </cell>
          <cell r="C7264">
            <v>11.866756164383562</v>
          </cell>
        </row>
        <row r="7265">
          <cell r="B7265">
            <v>19.901399999999999</v>
          </cell>
          <cell r="C7265">
            <v>11.866843835616438</v>
          </cell>
        </row>
        <row r="7266">
          <cell r="B7266">
            <v>19.9041</v>
          </cell>
          <cell r="C7266">
            <v>11.866931506849314</v>
          </cell>
        </row>
        <row r="7267">
          <cell r="B7267">
            <v>19.9068</v>
          </cell>
          <cell r="C7267">
            <v>11.867019178082192</v>
          </cell>
        </row>
        <row r="7268">
          <cell r="B7268">
            <v>19.909600000000001</v>
          </cell>
          <cell r="C7268">
            <v>11.867106849315068</v>
          </cell>
        </row>
        <row r="7269">
          <cell r="B7269">
            <v>19.912299999999998</v>
          </cell>
          <cell r="C7269">
            <v>11.867194520547944</v>
          </cell>
        </row>
        <row r="7270">
          <cell r="B7270">
            <v>19.915099999999999</v>
          </cell>
          <cell r="C7270">
            <v>11.867282191780822</v>
          </cell>
        </row>
        <row r="7271">
          <cell r="B7271">
            <v>19.9178</v>
          </cell>
          <cell r="C7271">
            <v>11.867369863013698</v>
          </cell>
        </row>
        <row r="7272">
          <cell r="B7272">
            <v>19.920500000000001</v>
          </cell>
          <cell r="C7272">
            <v>11.867457534246574</v>
          </cell>
        </row>
        <row r="7273">
          <cell r="B7273">
            <v>19.923300000000001</v>
          </cell>
          <cell r="C7273">
            <v>11.867545205479452</v>
          </cell>
        </row>
        <row r="7274">
          <cell r="B7274">
            <v>19.925999999999998</v>
          </cell>
          <cell r="C7274">
            <v>11.867632876712328</v>
          </cell>
        </row>
        <row r="7275">
          <cell r="B7275">
            <v>19.928799999999999</v>
          </cell>
          <cell r="C7275">
            <v>11.867720547945204</v>
          </cell>
        </row>
        <row r="7276">
          <cell r="B7276">
            <v>19.9315</v>
          </cell>
          <cell r="C7276">
            <v>11.867808219178082</v>
          </cell>
        </row>
        <row r="7277">
          <cell r="B7277">
            <v>19.934200000000001</v>
          </cell>
          <cell r="C7277">
            <v>11.867895890410958</v>
          </cell>
        </row>
        <row r="7278">
          <cell r="B7278">
            <v>19.937000000000001</v>
          </cell>
          <cell r="C7278">
            <v>11.867983561643834</v>
          </cell>
        </row>
        <row r="7279">
          <cell r="B7279">
            <v>19.939699999999998</v>
          </cell>
          <cell r="C7279">
            <v>11.868071232876712</v>
          </cell>
        </row>
        <row r="7280">
          <cell r="B7280">
            <v>19.942499999999999</v>
          </cell>
          <cell r="C7280">
            <v>11.868158904109588</v>
          </cell>
        </row>
        <row r="7281">
          <cell r="B7281">
            <v>19.9452</v>
          </cell>
          <cell r="C7281">
            <v>11.868246575342464</v>
          </cell>
        </row>
        <row r="7282">
          <cell r="B7282">
            <v>19.947900000000001</v>
          </cell>
          <cell r="C7282">
            <v>11.868334246575342</v>
          </cell>
        </row>
        <row r="7283">
          <cell r="B7283">
            <v>19.950700000000001</v>
          </cell>
          <cell r="C7283">
            <v>11.868421917808218</v>
          </cell>
        </row>
        <row r="7284">
          <cell r="B7284">
            <v>19.953399999999998</v>
          </cell>
          <cell r="C7284">
            <v>11.868509589041095</v>
          </cell>
        </row>
        <row r="7285">
          <cell r="B7285">
            <v>19.956199999999999</v>
          </cell>
          <cell r="C7285">
            <v>11.868597260273972</v>
          </cell>
        </row>
        <row r="7286">
          <cell r="B7286">
            <v>19.9589</v>
          </cell>
          <cell r="C7286">
            <v>11.868684931506849</v>
          </cell>
        </row>
        <row r="7287">
          <cell r="B7287">
            <v>19.961600000000001</v>
          </cell>
          <cell r="C7287">
            <v>11.868772602739725</v>
          </cell>
        </row>
        <row r="7288">
          <cell r="B7288">
            <v>19.964400000000001</v>
          </cell>
          <cell r="C7288">
            <v>11.868860273972603</v>
          </cell>
        </row>
        <row r="7289">
          <cell r="B7289">
            <v>19.967099999999999</v>
          </cell>
          <cell r="C7289">
            <v>11.868947945205479</v>
          </cell>
        </row>
        <row r="7290">
          <cell r="B7290">
            <v>19.969899999999999</v>
          </cell>
          <cell r="C7290">
            <v>11.869035616438355</v>
          </cell>
        </row>
        <row r="7291">
          <cell r="B7291">
            <v>19.9726</v>
          </cell>
          <cell r="C7291">
            <v>11.869123287671233</v>
          </cell>
        </row>
        <row r="7292">
          <cell r="B7292">
            <v>19.975300000000001</v>
          </cell>
          <cell r="C7292">
            <v>11.869210958904109</v>
          </cell>
        </row>
        <row r="7293">
          <cell r="B7293">
            <v>19.978100000000001</v>
          </cell>
          <cell r="C7293">
            <v>11.869298630136985</v>
          </cell>
        </row>
        <row r="7294">
          <cell r="B7294">
            <v>19.980799999999999</v>
          </cell>
          <cell r="C7294">
            <v>11.869386301369863</v>
          </cell>
        </row>
        <row r="7295">
          <cell r="B7295">
            <v>19.983599999999999</v>
          </cell>
          <cell r="C7295">
            <v>11.869473972602739</v>
          </cell>
        </row>
        <row r="7296">
          <cell r="B7296">
            <v>19.9863</v>
          </cell>
          <cell r="C7296">
            <v>11.869561643835615</v>
          </cell>
        </row>
        <row r="7297">
          <cell r="B7297">
            <v>19.989000000000001</v>
          </cell>
          <cell r="C7297">
            <v>11.869649315068493</v>
          </cell>
        </row>
        <row r="7298">
          <cell r="B7298">
            <v>19.991800000000001</v>
          </cell>
          <cell r="C7298">
            <v>11.869736986301369</v>
          </cell>
        </row>
        <row r="7299">
          <cell r="B7299">
            <v>19.994499999999999</v>
          </cell>
          <cell r="C7299">
            <v>11.869824657534245</v>
          </cell>
        </row>
        <row r="7300">
          <cell r="B7300">
            <v>19.997299999999999</v>
          </cell>
          <cell r="C7300">
            <v>11.869912328767123</v>
          </cell>
        </row>
        <row r="7301">
          <cell r="B7301">
            <v>20</v>
          </cell>
          <cell r="C7301">
            <v>11.87</v>
          </cell>
        </row>
        <row r="7302">
          <cell r="C7302">
            <v>0</v>
          </cell>
        </row>
      </sheetData>
      <sheetData sheetId="5" refreshError="1"/>
      <sheetData sheetId="6" refreshError="1"/>
      <sheetData sheetId="7">
        <row r="1">
          <cell r="G1">
            <v>39982</v>
          </cell>
        </row>
        <row r="2">
          <cell r="F2" t="str">
            <v>PIBs</v>
          </cell>
        </row>
        <row r="4">
          <cell r="F4" t="str">
            <v>Issue</v>
          </cell>
          <cell r="G4" t="str">
            <v>Face Value</v>
          </cell>
        </row>
        <row r="5">
          <cell r="F5">
            <v>37315</v>
          </cell>
          <cell r="G5">
            <v>100</v>
          </cell>
        </row>
        <row r="6">
          <cell r="F6">
            <v>38106</v>
          </cell>
          <cell r="G6">
            <v>200</v>
          </cell>
        </row>
        <row r="7">
          <cell r="F7">
            <v>38106</v>
          </cell>
          <cell r="G7">
            <v>100</v>
          </cell>
        </row>
        <row r="8">
          <cell r="F8">
            <v>37249</v>
          </cell>
          <cell r="G8">
            <v>100</v>
          </cell>
        </row>
        <row r="9">
          <cell r="F9">
            <v>37900</v>
          </cell>
          <cell r="G9">
            <v>100</v>
          </cell>
        </row>
        <row r="10">
          <cell r="F10">
            <v>37249</v>
          </cell>
          <cell r="G10">
            <v>50</v>
          </cell>
        </row>
        <row r="11">
          <cell r="F11">
            <v>37425</v>
          </cell>
          <cell r="G11">
            <v>50</v>
          </cell>
        </row>
        <row r="12">
          <cell r="F12">
            <v>37489</v>
          </cell>
          <cell r="G12">
            <v>50</v>
          </cell>
        </row>
        <row r="13">
          <cell r="F13">
            <v>36936</v>
          </cell>
          <cell r="G13">
            <v>30</v>
          </cell>
        </row>
        <row r="14">
          <cell r="F14">
            <v>37489</v>
          </cell>
          <cell r="G14">
            <v>50</v>
          </cell>
        </row>
        <row r="15">
          <cell r="F15">
            <v>36936</v>
          </cell>
          <cell r="G15">
            <v>25</v>
          </cell>
        </row>
        <row r="16">
          <cell r="F16">
            <v>37553</v>
          </cell>
          <cell r="G16">
            <v>225</v>
          </cell>
        </row>
        <row r="17">
          <cell r="F17">
            <v>37489</v>
          </cell>
          <cell r="G17">
            <v>50</v>
          </cell>
        </row>
        <row r="18">
          <cell r="F18">
            <v>36936</v>
          </cell>
          <cell r="G18">
            <v>40</v>
          </cell>
        </row>
        <row r="19">
          <cell r="F19">
            <v>37553</v>
          </cell>
          <cell r="G19">
            <v>150</v>
          </cell>
        </row>
        <row r="20">
          <cell r="F20">
            <v>37553</v>
          </cell>
          <cell r="G20">
            <v>350</v>
          </cell>
        </row>
        <row r="21">
          <cell r="F21">
            <v>38649</v>
          </cell>
          <cell r="G21">
            <v>500</v>
          </cell>
        </row>
        <row r="22">
          <cell r="F22">
            <v>38106</v>
          </cell>
          <cell r="G22">
            <v>50</v>
          </cell>
        </row>
        <row r="23">
          <cell r="F23">
            <v>37425</v>
          </cell>
          <cell r="G23">
            <v>50</v>
          </cell>
        </row>
        <row r="24">
          <cell r="F24">
            <v>37553</v>
          </cell>
          <cell r="G24">
            <v>500</v>
          </cell>
        </row>
        <row r="25">
          <cell r="F25">
            <v>37553</v>
          </cell>
          <cell r="G25">
            <v>100</v>
          </cell>
        </row>
        <row r="26">
          <cell r="F26">
            <v>37489</v>
          </cell>
          <cell r="G26">
            <v>300</v>
          </cell>
        </row>
        <row r="27">
          <cell r="F27">
            <v>37489</v>
          </cell>
          <cell r="G27">
            <v>50</v>
          </cell>
        </row>
        <row r="28">
          <cell r="F28">
            <v>37489</v>
          </cell>
          <cell r="G28">
            <v>50</v>
          </cell>
        </row>
        <row r="29">
          <cell r="F29">
            <v>36936</v>
          </cell>
          <cell r="G29">
            <v>50</v>
          </cell>
        </row>
        <row r="30">
          <cell r="F30">
            <v>37188</v>
          </cell>
          <cell r="G30">
            <v>350</v>
          </cell>
        </row>
        <row r="31">
          <cell r="F31">
            <v>37900</v>
          </cell>
          <cell r="G31">
            <v>50</v>
          </cell>
        </row>
        <row r="32">
          <cell r="F32">
            <v>37900</v>
          </cell>
          <cell r="G32">
            <v>350</v>
          </cell>
        </row>
        <row r="33">
          <cell r="F33">
            <v>37425</v>
          </cell>
          <cell r="G33">
            <v>150</v>
          </cell>
        </row>
        <row r="34">
          <cell r="F34">
            <v>37371</v>
          </cell>
          <cell r="G34">
            <v>50</v>
          </cell>
        </row>
        <row r="35">
          <cell r="F35">
            <v>37125</v>
          </cell>
          <cell r="G35">
            <v>40</v>
          </cell>
        </row>
        <row r="36">
          <cell r="F36">
            <v>37489</v>
          </cell>
          <cell r="G36">
            <v>300</v>
          </cell>
        </row>
        <row r="37">
          <cell r="F37">
            <v>36936</v>
          </cell>
          <cell r="G37">
            <v>50</v>
          </cell>
        </row>
        <row r="38">
          <cell r="F38">
            <v>37900</v>
          </cell>
          <cell r="G38">
            <v>100</v>
          </cell>
        </row>
        <row r="39">
          <cell r="F39">
            <v>37371</v>
          </cell>
          <cell r="G39">
            <v>50</v>
          </cell>
        </row>
        <row r="40">
          <cell r="F40">
            <v>37425</v>
          </cell>
          <cell r="G40">
            <v>250</v>
          </cell>
        </row>
        <row r="41">
          <cell r="F41">
            <v>38106</v>
          </cell>
          <cell r="G41">
            <v>100</v>
          </cell>
        </row>
        <row r="42">
          <cell r="F42">
            <v>37900</v>
          </cell>
          <cell r="G42">
            <v>50</v>
          </cell>
        </row>
        <row r="43">
          <cell r="F43">
            <v>37489</v>
          </cell>
          <cell r="G43">
            <v>50</v>
          </cell>
        </row>
        <row r="44">
          <cell r="F44">
            <v>37802</v>
          </cell>
          <cell r="G44">
            <v>200</v>
          </cell>
        </row>
        <row r="45">
          <cell r="F45">
            <v>37802</v>
          </cell>
          <cell r="G45">
            <v>50</v>
          </cell>
        </row>
        <row r="46">
          <cell r="F46">
            <v>37553</v>
          </cell>
          <cell r="G46">
            <v>150</v>
          </cell>
        </row>
        <row r="47">
          <cell r="F47">
            <v>37553</v>
          </cell>
          <cell r="G47">
            <v>65</v>
          </cell>
        </row>
        <row r="48">
          <cell r="F48">
            <v>37900</v>
          </cell>
          <cell r="G48">
            <v>200</v>
          </cell>
        </row>
        <row r="49">
          <cell r="F49">
            <v>37900</v>
          </cell>
          <cell r="G49">
            <v>250</v>
          </cell>
        </row>
        <row r="50">
          <cell r="F50">
            <v>37802</v>
          </cell>
          <cell r="G50">
            <v>250</v>
          </cell>
        </row>
        <row r="51">
          <cell r="F51">
            <v>37553</v>
          </cell>
          <cell r="G51">
            <v>500</v>
          </cell>
        </row>
        <row r="52">
          <cell r="F52">
            <v>37553</v>
          </cell>
          <cell r="G52">
            <v>75</v>
          </cell>
        </row>
        <row r="53">
          <cell r="F53">
            <v>37489</v>
          </cell>
          <cell r="G53">
            <v>225</v>
          </cell>
        </row>
        <row r="54">
          <cell r="F54">
            <v>37249</v>
          </cell>
          <cell r="G54">
            <v>200</v>
          </cell>
        </row>
        <row r="55">
          <cell r="F55">
            <v>37553</v>
          </cell>
          <cell r="G55">
            <v>500</v>
          </cell>
        </row>
        <row r="56">
          <cell r="F56">
            <v>38106</v>
          </cell>
          <cell r="G56">
            <v>200</v>
          </cell>
        </row>
        <row r="57">
          <cell r="F57">
            <v>37489</v>
          </cell>
          <cell r="G57">
            <v>300</v>
          </cell>
        </row>
        <row r="58">
          <cell r="F58">
            <v>37371</v>
          </cell>
          <cell r="G58">
            <v>50</v>
          </cell>
        </row>
        <row r="59">
          <cell r="F59">
            <v>38106</v>
          </cell>
          <cell r="G59">
            <v>200</v>
          </cell>
        </row>
        <row r="60">
          <cell r="F60">
            <v>37489</v>
          </cell>
          <cell r="G60">
            <v>250</v>
          </cell>
        </row>
        <row r="61">
          <cell r="F61">
            <v>36936</v>
          </cell>
          <cell r="G61">
            <v>50</v>
          </cell>
        </row>
        <row r="62">
          <cell r="F62">
            <v>37125</v>
          </cell>
          <cell r="G62">
            <v>50</v>
          </cell>
        </row>
        <row r="63">
          <cell r="F63">
            <v>37315</v>
          </cell>
          <cell r="G63">
            <v>50</v>
          </cell>
        </row>
        <row r="64">
          <cell r="F64">
            <v>37802</v>
          </cell>
          <cell r="G64">
            <v>130</v>
          </cell>
        </row>
        <row r="65">
          <cell r="F65">
            <v>37553</v>
          </cell>
          <cell r="G65">
            <v>500</v>
          </cell>
        </row>
        <row r="66">
          <cell r="F66">
            <v>37489</v>
          </cell>
          <cell r="G66">
            <v>250</v>
          </cell>
        </row>
        <row r="67">
          <cell r="F67">
            <v>37489</v>
          </cell>
          <cell r="G67">
            <v>275</v>
          </cell>
        </row>
        <row r="68">
          <cell r="F68">
            <v>37489</v>
          </cell>
          <cell r="G68">
            <v>90</v>
          </cell>
        </row>
        <row r="69">
          <cell r="F69">
            <v>37489</v>
          </cell>
          <cell r="G69">
            <v>300</v>
          </cell>
        </row>
        <row r="70">
          <cell r="F70">
            <v>38106</v>
          </cell>
          <cell r="G70">
            <v>50</v>
          </cell>
        </row>
        <row r="71">
          <cell r="F71">
            <v>37553</v>
          </cell>
          <cell r="G71">
            <v>500</v>
          </cell>
        </row>
        <row r="72">
          <cell r="F72">
            <v>37553</v>
          </cell>
          <cell r="G72">
            <v>500</v>
          </cell>
        </row>
        <row r="73">
          <cell r="F73">
            <v>37553</v>
          </cell>
          <cell r="G73">
            <v>500</v>
          </cell>
        </row>
        <row r="74">
          <cell r="F74">
            <v>37249</v>
          </cell>
          <cell r="G74">
            <v>100</v>
          </cell>
        </row>
        <row r="75">
          <cell r="F75">
            <v>37425</v>
          </cell>
          <cell r="G75">
            <v>200</v>
          </cell>
        </row>
        <row r="76">
          <cell r="F76">
            <v>38937</v>
          </cell>
          <cell r="G76">
            <v>300</v>
          </cell>
        </row>
        <row r="77">
          <cell r="F77">
            <v>38106</v>
          </cell>
          <cell r="G77">
            <v>100</v>
          </cell>
        </row>
        <row r="78">
          <cell r="F78">
            <v>36999</v>
          </cell>
          <cell r="G78">
            <v>150</v>
          </cell>
        </row>
        <row r="79">
          <cell r="F79">
            <v>37249</v>
          </cell>
          <cell r="G79">
            <v>232</v>
          </cell>
        </row>
        <row r="80">
          <cell r="F80">
            <v>37249</v>
          </cell>
          <cell r="G80">
            <v>200</v>
          </cell>
        </row>
        <row r="81">
          <cell r="F81">
            <v>37194</v>
          </cell>
          <cell r="G81">
            <v>150</v>
          </cell>
        </row>
        <row r="82">
          <cell r="F82">
            <v>37249</v>
          </cell>
          <cell r="G82">
            <v>200</v>
          </cell>
        </row>
        <row r="83">
          <cell r="F83">
            <v>37249</v>
          </cell>
          <cell r="G83">
            <v>175</v>
          </cell>
        </row>
        <row r="84">
          <cell r="F84">
            <v>37249</v>
          </cell>
          <cell r="G84">
            <v>100</v>
          </cell>
        </row>
        <row r="85">
          <cell r="F85">
            <v>37249</v>
          </cell>
          <cell r="G85">
            <v>250</v>
          </cell>
        </row>
        <row r="86">
          <cell r="F86">
            <v>36936</v>
          </cell>
          <cell r="G86">
            <v>200</v>
          </cell>
        </row>
        <row r="87">
          <cell r="F87">
            <v>36936</v>
          </cell>
          <cell r="G87">
            <v>180</v>
          </cell>
        </row>
        <row r="88">
          <cell r="F88">
            <v>37425</v>
          </cell>
          <cell r="G88">
            <v>20</v>
          </cell>
        </row>
        <row r="89">
          <cell r="F89">
            <v>36999</v>
          </cell>
          <cell r="G89">
            <v>100</v>
          </cell>
        </row>
        <row r="90">
          <cell r="F90">
            <v>37343</v>
          </cell>
          <cell r="G90">
            <v>50</v>
          </cell>
        </row>
        <row r="91">
          <cell r="F91">
            <v>36999</v>
          </cell>
          <cell r="G91">
            <v>100</v>
          </cell>
        </row>
        <row r="92">
          <cell r="F92">
            <v>38106</v>
          </cell>
          <cell r="G92">
            <v>180</v>
          </cell>
        </row>
        <row r="93">
          <cell r="F93">
            <v>37457</v>
          </cell>
          <cell r="G93">
            <v>80</v>
          </cell>
        </row>
        <row r="94">
          <cell r="F94">
            <v>37706</v>
          </cell>
          <cell r="G94">
            <v>25</v>
          </cell>
        </row>
        <row r="95">
          <cell r="F95">
            <v>37249</v>
          </cell>
          <cell r="G95">
            <v>50</v>
          </cell>
        </row>
        <row r="96">
          <cell r="F96">
            <v>38856</v>
          </cell>
          <cell r="G96">
            <v>100</v>
          </cell>
        </row>
        <row r="97">
          <cell r="F97">
            <v>36999</v>
          </cell>
          <cell r="G97">
            <v>100</v>
          </cell>
        </row>
        <row r="98">
          <cell r="F98">
            <v>36890</v>
          </cell>
          <cell r="G98">
            <v>50</v>
          </cell>
        </row>
        <row r="99">
          <cell r="F99">
            <v>38856</v>
          </cell>
          <cell r="G99">
            <v>45</v>
          </cell>
        </row>
        <row r="100">
          <cell r="F100">
            <v>37249</v>
          </cell>
          <cell r="G100">
            <v>200</v>
          </cell>
        </row>
        <row r="101">
          <cell r="F101">
            <v>38101</v>
          </cell>
          <cell r="G101">
            <v>150</v>
          </cell>
        </row>
        <row r="102">
          <cell r="F102">
            <v>37621</v>
          </cell>
          <cell r="G102">
            <v>50</v>
          </cell>
        </row>
        <row r="103">
          <cell r="F103">
            <v>36890</v>
          </cell>
          <cell r="G103">
            <v>50</v>
          </cell>
        </row>
        <row r="104">
          <cell r="F104">
            <v>38106</v>
          </cell>
          <cell r="G104">
            <v>150</v>
          </cell>
        </row>
        <row r="105">
          <cell r="F105">
            <v>38856</v>
          </cell>
          <cell r="G105">
            <v>150</v>
          </cell>
        </row>
        <row r="106">
          <cell r="F106">
            <v>36890</v>
          </cell>
          <cell r="G106">
            <v>50</v>
          </cell>
        </row>
        <row r="107">
          <cell r="F107">
            <v>37249</v>
          </cell>
          <cell r="G107">
            <v>50</v>
          </cell>
        </row>
        <row r="108">
          <cell r="F108">
            <v>37802</v>
          </cell>
          <cell r="G108">
            <v>150</v>
          </cell>
        </row>
        <row r="109">
          <cell r="F109">
            <v>38856</v>
          </cell>
          <cell r="G109">
            <v>150</v>
          </cell>
        </row>
        <row r="110">
          <cell r="F110">
            <v>37249</v>
          </cell>
          <cell r="G110">
            <v>50</v>
          </cell>
        </row>
        <row r="111">
          <cell r="F111">
            <v>38856</v>
          </cell>
          <cell r="G111">
            <v>50</v>
          </cell>
        </row>
        <row r="112">
          <cell r="F112">
            <v>38856</v>
          </cell>
          <cell r="G112">
            <v>150</v>
          </cell>
        </row>
        <row r="113">
          <cell r="F113">
            <v>37802</v>
          </cell>
          <cell r="G113">
            <v>150</v>
          </cell>
        </row>
        <row r="114">
          <cell r="F114">
            <v>36874</v>
          </cell>
          <cell r="G114">
            <v>35</v>
          </cell>
        </row>
        <row r="115">
          <cell r="F115">
            <v>38856</v>
          </cell>
          <cell r="G115">
            <v>50</v>
          </cell>
        </row>
        <row r="116">
          <cell r="F116">
            <v>37706</v>
          </cell>
          <cell r="G116">
            <v>15</v>
          </cell>
        </row>
        <row r="117">
          <cell r="F117">
            <v>38851</v>
          </cell>
          <cell r="G117">
            <v>150</v>
          </cell>
        </row>
        <row r="118">
          <cell r="F118">
            <v>37802</v>
          </cell>
          <cell r="G118">
            <v>50</v>
          </cell>
        </row>
        <row r="119">
          <cell r="F119">
            <v>37249</v>
          </cell>
          <cell r="G119">
            <v>50</v>
          </cell>
        </row>
        <row r="120">
          <cell r="F120">
            <v>37802</v>
          </cell>
          <cell r="G120">
            <v>75</v>
          </cell>
        </row>
        <row r="121">
          <cell r="F121">
            <v>37457</v>
          </cell>
          <cell r="G121">
            <v>75</v>
          </cell>
        </row>
        <row r="122">
          <cell r="F122">
            <v>38106</v>
          </cell>
          <cell r="G122">
            <v>268</v>
          </cell>
        </row>
        <row r="123">
          <cell r="F123">
            <v>36999</v>
          </cell>
          <cell r="G123">
            <v>210</v>
          </cell>
        </row>
        <row r="124">
          <cell r="F124">
            <v>37900</v>
          </cell>
          <cell r="G124">
            <v>100</v>
          </cell>
        </row>
        <row r="125">
          <cell r="F125">
            <v>36999</v>
          </cell>
          <cell r="G125">
            <v>303</v>
          </cell>
        </row>
        <row r="126">
          <cell r="F126">
            <v>37706</v>
          </cell>
          <cell r="G126">
            <v>400</v>
          </cell>
        </row>
        <row r="127">
          <cell r="F127">
            <v>37194</v>
          </cell>
          <cell r="G127">
            <v>235</v>
          </cell>
        </row>
        <row r="128">
          <cell r="F128">
            <v>37425</v>
          </cell>
          <cell r="G128">
            <v>136</v>
          </cell>
        </row>
        <row r="129">
          <cell r="F129">
            <v>37900</v>
          </cell>
          <cell r="G129">
            <v>125</v>
          </cell>
        </row>
        <row r="130">
          <cell r="F130">
            <v>36999</v>
          </cell>
          <cell r="G130">
            <v>100</v>
          </cell>
        </row>
        <row r="131">
          <cell r="F131">
            <v>37425</v>
          </cell>
          <cell r="G131">
            <v>150</v>
          </cell>
        </row>
        <row r="132">
          <cell r="F132">
            <v>37553</v>
          </cell>
          <cell r="G132">
            <v>125</v>
          </cell>
        </row>
        <row r="133">
          <cell r="F133">
            <v>37553</v>
          </cell>
          <cell r="G133">
            <v>175</v>
          </cell>
        </row>
        <row r="134">
          <cell r="F134">
            <v>39316</v>
          </cell>
          <cell r="G134">
            <v>200</v>
          </cell>
        </row>
        <row r="136">
          <cell r="F136">
            <v>39304</v>
          </cell>
          <cell r="G136">
            <v>150</v>
          </cell>
        </row>
        <row r="137">
          <cell r="F137">
            <v>37802</v>
          </cell>
          <cell r="G137">
            <v>50</v>
          </cell>
        </row>
        <row r="138">
          <cell r="F138">
            <v>39316</v>
          </cell>
          <cell r="G138">
            <v>150</v>
          </cell>
        </row>
        <row r="139">
          <cell r="F139">
            <v>39021</v>
          </cell>
          <cell r="G139">
            <v>50</v>
          </cell>
        </row>
        <row r="140">
          <cell r="F140">
            <v>37553</v>
          </cell>
          <cell r="G140">
            <v>150</v>
          </cell>
        </row>
        <row r="141">
          <cell r="F141">
            <v>38106</v>
          </cell>
          <cell r="G141">
            <v>125</v>
          </cell>
        </row>
        <row r="142">
          <cell r="F142">
            <v>39587</v>
          </cell>
          <cell r="G142">
            <v>500</v>
          </cell>
        </row>
        <row r="143">
          <cell r="F143">
            <v>37802</v>
          </cell>
          <cell r="G143">
            <v>100</v>
          </cell>
        </row>
        <row r="144">
          <cell r="F144">
            <v>37802</v>
          </cell>
          <cell r="G144">
            <v>100</v>
          </cell>
        </row>
        <row r="145">
          <cell r="F145">
            <v>37802</v>
          </cell>
          <cell r="G145">
            <v>100</v>
          </cell>
        </row>
        <row r="146">
          <cell r="F146">
            <v>38856</v>
          </cell>
          <cell r="G146">
            <v>300</v>
          </cell>
        </row>
        <row r="147">
          <cell r="F147">
            <v>38106</v>
          </cell>
          <cell r="G147">
            <v>50</v>
          </cell>
        </row>
        <row r="148">
          <cell r="F148">
            <v>37371</v>
          </cell>
          <cell r="G148">
            <v>50</v>
          </cell>
        </row>
        <row r="150">
          <cell r="F150">
            <v>38856</v>
          </cell>
          <cell r="G150">
            <v>300</v>
          </cell>
        </row>
        <row r="151">
          <cell r="F151">
            <v>37900</v>
          </cell>
          <cell r="G151">
            <v>100</v>
          </cell>
        </row>
        <row r="152">
          <cell r="F152">
            <v>37371</v>
          </cell>
          <cell r="G152">
            <v>50</v>
          </cell>
        </row>
        <row r="153">
          <cell r="F153">
            <v>37489</v>
          </cell>
          <cell r="G153">
            <v>50</v>
          </cell>
        </row>
        <row r="154">
          <cell r="F154">
            <v>37802</v>
          </cell>
          <cell r="G154">
            <v>250</v>
          </cell>
        </row>
        <row r="155">
          <cell r="F155">
            <v>38856</v>
          </cell>
          <cell r="G155">
            <v>75</v>
          </cell>
        </row>
        <row r="156">
          <cell r="F156">
            <v>39520</v>
          </cell>
          <cell r="G156">
            <v>100</v>
          </cell>
        </row>
        <row r="157">
          <cell r="F157">
            <v>38106</v>
          </cell>
          <cell r="G157">
            <v>10</v>
          </cell>
        </row>
        <row r="158">
          <cell r="F158">
            <v>39745</v>
          </cell>
          <cell r="G158">
            <v>75</v>
          </cell>
        </row>
        <row r="159">
          <cell r="F159">
            <v>38856</v>
          </cell>
          <cell r="G159">
            <v>300</v>
          </cell>
        </row>
        <row r="160">
          <cell r="F160">
            <v>37900</v>
          </cell>
          <cell r="G160">
            <v>500</v>
          </cell>
        </row>
        <row r="161">
          <cell r="F161">
            <v>38106</v>
          </cell>
          <cell r="G161">
            <v>250</v>
          </cell>
        </row>
        <row r="162">
          <cell r="F162">
            <v>38856</v>
          </cell>
          <cell r="G162">
            <v>400</v>
          </cell>
        </row>
        <row r="163">
          <cell r="F163">
            <v>38856</v>
          </cell>
          <cell r="G163">
            <v>400</v>
          </cell>
        </row>
        <row r="164">
          <cell r="F164">
            <v>38856</v>
          </cell>
          <cell r="G164">
            <v>300</v>
          </cell>
        </row>
        <row r="165">
          <cell r="F165">
            <v>37900</v>
          </cell>
          <cell r="G165">
            <v>500</v>
          </cell>
        </row>
        <row r="166">
          <cell r="F166">
            <v>38856</v>
          </cell>
          <cell r="G166">
            <v>400</v>
          </cell>
        </row>
        <row r="167">
          <cell r="F167">
            <v>37900</v>
          </cell>
          <cell r="G167">
            <v>500</v>
          </cell>
        </row>
        <row r="168">
          <cell r="F168">
            <v>38856</v>
          </cell>
          <cell r="G168">
            <v>300</v>
          </cell>
        </row>
        <row r="169">
          <cell r="F169">
            <v>38856</v>
          </cell>
          <cell r="G169">
            <v>600</v>
          </cell>
        </row>
        <row r="170">
          <cell r="F170">
            <v>38856</v>
          </cell>
          <cell r="G170">
            <v>100</v>
          </cell>
        </row>
        <row r="171">
          <cell r="F171">
            <v>37900</v>
          </cell>
          <cell r="G171">
            <v>500</v>
          </cell>
        </row>
        <row r="172">
          <cell r="F172">
            <v>38856</v>
          </cell>
          <cell r="G172">
            <v>400</v>
          </cell>
        </row>
        <row r="173">
          <cell r="F173">
            <v>38856</v>
          </cell>
          <cell r="G173">
            <v>200</v>
          </cell>
        </row>
        <row r="174">
          <cell r="F174">
            <v>39316</v>
          </cell>
          <cell r="G174">
            <v>300</v>
          </cell>
        </row>
        <row r="175">
          <cell r="F175">
            <v>39316</v>
          </cell>
          <cell r="G175">
            <v>300</v>
          </cell>
        </row>
        <row r="176">
          <cell r="F176">
            <v>39316</v>
          </cell>
          <cell r="G176">
            <v>300</v>
          </cell>
        </row>
        <row r="177">
          <cell r="F177">
            <v>39316</v>
          </cell>
          <cell r="G177">
            <v>300</v>
          </cell>
        </row>
        <row r="178">
          <cell r="F178">
            <v>38856</v>
          </cell>
          <cell r="G178">
            <v>500</v>
          </cell>
        </row>
        <row r="179">
          <cell r="F179">
            <v>39316</v>
          </cell>
          <cell r="G179">
            <v>300</v>
          </cell>
        </row>
        <row r="180">
          <cell r="F180">
            <v>38106</v>
          </cell>
          <cell r="G180">
            <v>200</v>
          </cell>
        </row>
        <row r="181">
          <cell r="F181">
            <v>37900</v>
          </cell>
          <cell r="G181">
            <v>50</v>
          </cell>
        </row>
        <row r="182">
          <cell r="F182">
            <v>39316</v>
          </cell>
          <cell r="G182">
            <v>300</v>
          </cell>
        </row>
        <row r="183">
          <cell r="F183">
            <v>37900</v>
          </cell>
          <cell r="G183">
            <v>50</v>
          </cell>
        </row>
        <row r="184">
          <cell r="F184">
            <v>37900</v>
          </cell>
          <cell r="G184">
            <v>50</v>
          </cell>
        </row>
        <row r="185">
          <cell r="F185">
            <v>37900</v>
          </cell>
          <cell r="G185">
            <v>50</v>
          </cell>
        </row>
        <row r="186">
          <cell r="F186">
            <v>37900</v>
          </cell>
          <cell r="G186">
            <v>500</v>
          </cell>
        </row>
        <row r="187">
          <cell r="F187">
            <v>37900</v>
          </cell>
          <cell r="G187">
            <v>50</v>
          </cell>
        </row>
        <row r="188">
          <cell r="F188">
            <v>37900</v>
          </cell>
          <cell r="G188">
            <v>50</v>
          </cell>
        </row>
        <row r="189">
          <cell r="F189">
            <v>38856</v>
          </cell>
          <cell r="G189">
            <v>400</v>
          </cell>
        </row>
        <row r="190">
          <cell r="F190">
            <v>38106</v>
          </cell>
          <cell r="G190">
            <v>70</v>
          </cell>
        </row>
        <row r="191">
          <cell r="F191">
            <v>37900</v>
          </cell>
          <cell r="G191">
            <v>55</v>
          </cell>
        </row>
        <row r="65451">
          <cell r="F65451">
            <v>37523</v>
          </cell>
        </row>
        <row r="65452">
          <cell r="F65452">
            <v>37523</v>
          </cell>
        </row>
        <row r="65453">
          <cell r="F65453">
            <v>36890</v>
          </cell>
        </row>
        <row r="65454">
          <cell r="F65454">
            <v>36936</v>
          </cell>
        </row>
        <row r="65455">
          <cell r="F65455">
            <v>37125</v>
          </cell>
        </row>
        <row r="65456">
          <cell r="F65456">
            <v>37125</v>
          </cell>
        </row>
        <row r="65457">
          <cell r="F65457">
            <v>37125</v>
          </cell>
        </row>
        <row r="65458">
          <cell r="F65458">
            <v>37194</v>
          </cell>
        </row>
        <row r="65459">
          <cell r="F65459">
            <v>37194</v>
          </cell>
        </row>
        <row r="65460">
          <cell r="F65460">
            <v>37194</v>
          </cell>
        </row>
        <row r="65461">
          <cell r="F65461">
            <v>37194</v>
          </cell>
        </row>
        <row r="65462">
          <cell r="F65462">
            <v>37194</v>
          </cell>
        </row>
        <row r="65463">
          <cell r="F65463">
            <v>37194</v>
          </cell>
        </row>
        <row r="65464">
          <cell r="F65464">
            <v>37249</v>
          </cell>
        </row>
        <row r="65465">
          <cell r="F65465">
            <v>37249</v>
          </cell>
        </row>
        <row r="65466">
          <cell r="F65466">
            <v>37249</v>
          </cell>
        </row>
        <row r="65467">
          <cell r="F65467">
            <v>37249</v>
          </cell>
        </row>
        <row r="65468">
          <cell r="F65468">
            <v>37249</v>
          </cell>
        </row>
        <row r="65469">
          <cell r="F65469">
            <v>37249</v>
          </cell>
        </row>
        <row r="65470">
          <cell r="F65470">
            <v>37249</v>
          </cell>
        </row>
        <row r="65471">
          <cell r="F65471">
            <v>37249</v>
          </cell>
        </row>
        <row r="65472">
          <cell r="F65472">
            <v>37249</v>
          </cell>
        </row>
        <row r="65473">
          <cell r="F65473">
            <v>37315</v>
          </cell>
        </row>
        <row r="65474">
          <cell r="F65474">
            <v>37371</v>
          </cell>
        </row>
        <row r="65475">
          <cell r="F65475">
            <v>37371</v>
          </cell>
        </row>
        <row r="65476">
          <cell r="F65476">
            <v>37371</v>
          </cell>
        </row>
        <row r="65477">
          <cell r="F65477">
            <v>37371</v>
          </cell>
        </row>
        <row r="65478">
          <cell r="F65478">
            <v>37371</v>
          </cell>
        </row>
        <row r="65479">
          <cell r="F65479">
            <v>37425</v>
          </cell>
        </row>
        <row r="65480">
          <cell r="F65480">
            <v>37425</v>
          </cell>
        </row>
        <row r="65481">
          <cell r="F65481">
            <v>37425</v>
          </cell>
        </row>
        <row r="65482">
          <cell r="F65482">
            <v>37425</v>
          </cell>
        </row>
        <row r="65483">
          <cell r="F65483">
            <v>37425</v>
          </cell>
        </row>
        <row r="65484">
          <cell r="F65484">
            <v>37425</v>
          </cell>
        </row>
        <row r="65485">
          <cell r="F65485">
            <v>37425</v>
          </cell>
        </row>
        <row r="65486">
          <cell r="F65486">
            <v>37425</v>
          </cell>
        </row>
        <row r="65487">
          <cell r="F65487">
            <v>37425</v>
          </cell>
        </row>
        <row r="65488">
          <cell r="F65488">
            <v>37489</v>
          </cell>
        </row>
        <row r="65489">
          <cell r="F65489">
            <v>37489</v>
          </cell>
        </row>
        <row r="65490">
          <cell r="F65490">
            <v>37489</v>
          </cell>
        </row>
        <row r="65491">
          <cell r="F65491">
            <v>37489</v>
          </cell>
        </row>
        <row r="65492">
          <cell r="F65492">
            <v>37489</v>
          </cell>
        </row>
        <row r="65493">
          <cell r="F65493">
            <v>37553</v>
          </cell>
        </row>
        <row r="65494">
          <cell r="F65494">
            <v>37553</v>
          </cell>
        </row>
        <row r="65495">
          <cell r="F65495">
            <v>37553</v>
          </cell>
        </row>
        <row r="65496">
          <cell r="F65496">
            <v>37553</v>
          </cell>
        </row>
        <row r="65497">
          <cell r="F65497">
            <v>37553</v>
          </cell>
        </row>
        <row r="65498">
          <cell r="F65498">
            <v>37553</v>
          </cell>
        </row>
        <row r="65499">
          <cell r="F65499">
            <v>37553</v>
          </cell>
        </row>
        <row r="65500">
          <cell r="F65500">
            <v>37553</v>
          </cell>
        </row>
        <row r="65501">
          <cell r="F65501">
            <v>37553</v>
          </cell>
        </row>
        <row r="65502">
          <cell r="F65502">
            <v>37553</v>
          </cell>
        </row>
        <row r="65503">
          <cell r="F65503">
            <v>37553</v>
          </cell>
        </row>
        <row r="65504">
          <cell r="F65504">
            <v>37553</v>
          </cell>
        </row>
        <row r="65505">
          <cell r="F65505">
            <v>37553</v>
          </cell>
        </row>
        <row r="65506">
          <cell r="F65506">
            <v>37553</v>
          </cell>
        </row>
        <row r="65507">
          <cell r="F65507">
            <v>37553</v>
          </cell>
        </row>
        <row r="65508">
          <cell r="F65508">
            <v>37553</v>
          </cell>
        </row>
        <row r="65509">
          <cell r="F65509">
            <v>37621</v>
          </cell>
        </row>
        <row r="65510">
          <cell r="F65510">
            <v>37621</v>
          </cell>
        </row>
        <row r="65511">
          <cell r="F65511">
            <v>37706</v>
          </cell>
        </row>
        <row r="65512">
          <cell r="F65512">
            <v>37802</v>
          </cell>
        </row>
        <row r="65513">
          <cell r="F65513">
            <v>37802</v>
          </cell>
        </row>
        <row r="65514">
          <cell r="F65514">
            <v>37802</v>
          </cell>
        </row>
        <row r="65515">
          <cell r="F65515">
            <v>37802</v>
          </cell>
        </row>
        <row r="65516">
          <cell r="F65516">
            <v>37802</v>
          </cell>
        </row>
        <row r="65517">
          <cell r="F65517">
            <v>37802</v>
          </cell>
        </row>
        <row r="65518">
          <cell r="F65518">
            <v>37802</v>
          </cell>
        </row>
        <row r="65519">
          <cell r="F65519">
            <v>37802</v>
          </cell>
        </row>
        <row r="65520">
          <cell r="F65520">
            <v>38106</v>
          </cell>
        </row>
        <row r="65521">
          <cell r="F65521">
            <v>38106</v>
          </cell>
        </row>
        <row r="65522">
          <cell r="F65522">
            <v>38106</v>
          </cell>
        </row>
        <row r="65523">
          <cell r="F65523">
            <v>38106</v>
          </cell>
        </row>
        <row r="65524">
          <cell r="F65524">
            <v>38106</v>
          </cell>
        </row>
        <row r="65525">
          <cell r="F65525">
            <v>38106</v>
          </cell>
        </row>
        <row r="65526">
          <cell r="F65526">
            <v>38106</v>
          </cell>
        </row>
        <row r="65527">
          <cell r="F65527">
            <v>38106</v>
          </cell>
        </row>
        <row r="65528">
          <cell r="F65528">
            <v>37194</v>
          </cell>
        </row>
        <row r="65529">
          <cell r="F65529">
            <v>37315</v>
          </cell>
        </row>
        <row r="65530">
          <cell r="F65530">
            <v>37802</v>
          </cell>
        </row>
        <row r="65531">
          <cell r="F65531">
            <v>37802</v>
          </cell>
        </row>
        <row r="65532">
          <cell r="F65532">
            <v>37802</v>
          </cell>
        </row>
        <row r="65533">
          <cell r="F65533">
            <v>37802</v>
          </cell>
        </row>
        <row r="65534">
          <cell r="F65534">
            <v>37802</v>
          </cell>
        </row>
        <row r="65535">
          <cell r="F65535">
            <v>37802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ummary"/>
      <sheetName val="2. Recalculations"/>
      <sheetName val="3. Interpolation IRR at Jun-16"/>
      <sheetName val="4. Recalculations-Opening"/>
      <sheetName val="5. Interpolation IRR at Jun-15"/>
      <sheetName val="6. Sales Verification"/>
      <sheetName val="6. Population"/>
      <sheetName val="7. Purchase Verification"/>
      <sheetName val="Tickmarks"/>
      <sheetName val="Worksheet in 5444"/>
    </sheetNames>
    <definedNames>
      <definedName name="Last_Row"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
      <sheetName val="pinex (2)"/>
      <sheetName val="Assets (2)"/>
      <sheetName val="Balance Sheet"/>
      <sheetName val="p&amp;l"/>
      <sheetName val="CashFlow"/>
      <sheetName val="Statement of Ch"/>
      <sheetName val="Notes1-5"/>
      <sheetName val="Note6-8.2"/>
      <sheetName val="Note9-9.6"/>
      <sheetName val="Note 9.7-9.8"/>
      <sheetName val="Notes10-10.4.2"/>
      <sheetName val="10.5-11.3"/>
      <sheetName val="Note 12"/>
      <sheetName val="Note12.3-15.1"/>
      <sheetName val="Note16-21.1"/>
      <sheetName val="Note22-22.7"/>
      <sheetName val="pinex"/>
      <sheetName val="Notes25-26.1"/>
      <sheetName val="Notes26.2-32"/>
      <sheetName val="Notes33-34"/>
      <sheetName val="Notes39-40"/>
      <sheetName val="Notes41-42.1"/>
      <sheetName val="Notes41-42.1 (2)"/>
      <sheetName val="Notes42.2-44"/>
      <sheetName val="Note 45"/>
      <sheetName val="Annexure"/>
      <sheetName val="affair"/>
      <sheetName val="inc-exp"/>
      <sheetName val="Currency-expo"/>
      <sheetName val="YieldAd"/>
      <sheetName val="YieldAd-net"/>
      <sheetName val="MaturLiabili"/>
      <sheetName val="MaturiAssets"/>
      <sheetName val="YielDeposit"/>
      <sheetName val="Sheet1"/>
      <sheetName val="Sheet2"/>
      <sheetName val="Sheet3"/>
      <sheetName val="Notes(New)39-40"/>
      <sheetName val="Sheet6"/>
      <sheetName val="Deferred (2)"/>
      <sheetName val="Taxrelief"/>
      <sheetName val="OLD"/>
      <sheetName val="Assets"/>
      <sheetName val="Sheet4"/>
      <sheetName val="Defeered Work"/>
      <sheetName val="Liabiliteis"/>
      <sheetName val="Sheet2 (2)"/>
      <sheetName val="Sheet3 (2)"/>
      <sheetName val="Chart1"/>
      <sheetName val="Sheet1 (2)"/>
      <sheetName val="Lease"/>
      <sheetName val="Total Adjustments"/>
      <sheetName val="PremiumMaturity"/>
      <sheetName val="NEWAD"/>
      <sheetName val="Notes1_5"/>
      <sheetName val="Assignmentform"/>
      <sheetName val="Liquidity"/>
      <sheetName val="PNSC"/>
      <sheetName val="CFR-5"/>
      <sheetName val="Links"/>
      <sheetName val="Rate Input"/>
      <sheetName val="Profit Worksheet"/>
      <sheetName val="SHF-1026-EXP"/>
      <sheetName val="SITE-1001-P&amp;L"/>
      <sheetName val="CLM-1012-P&amp;L"/>
      <sheetName val="SHF-1026-P&amp;L"/>
      <sheetName val="KRG-1002-P&amp;L"/>
      <sheetName val="MAIN-1003-P&amp;L"/>
      <sheetName val="KSE-1010-P&amp;L"/>
      <sheetName val="JODIA-1011-P&amp;L"/>
      <sheetName val="JODIA-1011-EXP"/>
      <sheetName val="CLM-1012-EXP"/>
      <sheetName val="SITE-1001-EXP"/>
      <sheetName val="KRG-1002-EXP"/>
      <sheetName val="MAIN-1003-EXP"/>
      <sheetName val="nt²"/>
      <sheetName val="nt__2"/>
      <sheetName val="nt__3"/>
      <sheetName val="nt__4"/>
      <sheetName val="A"/>
      <sheetName val="CliftonMain-1003-P&amp;L"/>
      <sheetName val="CliftonMain-1003-EXP"/>
      <sheetName val="SALARY"/>
      <sheetName val="Parameters"/>
      <sheetName val="broker sheet-2"/>
      <sheetName val="pinex_(2)"/>
      <sheetName val="Assets_(2)"/>
      <sheetName val="Balance_Sheet"/>
      <sheetName val="Statement_of_Ch"/>
      <sheetName val="Note6-8_2"/>
      <sheetName val="Note9-9_6"/>
      <sheetName val="Note_9_7-9_8"/>
      <sheetName val="Notes10-10_4_2"/>
      <sheetName val="10_5-11_3"/>
      <sheetName val="Note_12"/>
      <sheetName val="Note12_3-15_1"/>
      <sheetName val="Note16-21_1"/>
      <sheetName val="Note22-22_7"/>
      <sheetName val="Notes25-26_1"/>
      <sheetName val="Notes26_2-32"/>
      <sheetName val="Notes41-42_1"/>
      <sheetName val="Notes41-42_1_(2)"/>
      <sheetName val="Notes42_2-44"/>
      <sheetName val="Note_45"/>
      <sheetName val="Deferred_(2)"/>
      <sheetName val="Defeered_Work"/>
      <sheetName val="Sheet2_(2)"/>
      <sheetName val="Sheet3_(2)"/>
      <sheetName val="Sheet1_(2)"/>
      <sheetName val="Total_Adjustments"/>
      <sheetName val="Rate_Input"/>
      <sheetName val="Profit_Worksheet"/>
      <sheetName val="acct"/>
      <sheetName val="pinex_(2)1"/>
      <sheetName val="Assets_(2)1"/>
      <sheetName val="Balance_Sheet1"/>
      <sheetName val="Statement_of_Ch1"/>
      <sheetName val="Note6-8_21"/>
      <sheetName val="Note9-9_61"/>
      <sheetName val="Note_9_7-9_81"/>
      <sheetName val="Notes10-10_4_21"/>
      <sheetName val="10_5-11_31"/>
      <sheetName val="Note_121"/>
      <sheetName val="Note12_3-15_11"/>
      <sheetName val="Note16-21_11"/>
      <sheetName val="Note22-22_71"/>
      <sheetName val="Notes25-26_11"/>
      <sheetName val="Notes26_2-321"/>
      <sheetName val="Notes41-42_11"/>
      <sheetName val="Notes41-42_1_(2)1"/>
      <sheetName val="Notes42_2-441"/>
      <sheetName val="Note_451"/>
      <sheetName val="Deferred_(2)1"/>
      <sheetName val="Defeered_Work1"/>
      <sheetName val="Sheet2_(2)1"/>
      <sheetName val="Sheet3_(2)1"/>
      <sheetName val="Sheet1_(2)1"/>
      <sheetName val="Total_Adjustments1"/>
      <sheetName val="Rate_Input1"/>
      <sheetName val="Profit_Worksheet1"/>
      <sheetName val="SOURCE"/>
      <sheetName val="Note1_11"/>
      <sheetName val="PDF1"/>
      <sheetName val="2000_ Projects Summary"/>
      <sheetName val="Notes _2_"/>
      <sheetName val="PL_Million_"/>
      <sheetName val="Fin_Histo_PL"/>
      <sheetName val="Deposit"/>
      <sheetName val="Non-Statistical Sampling"/>
      <sheetName val="REV VAR INC"/>
      <sheetName val="Sheet5"/>
      <sheetName val="Augbkp98"/>
      <sheetName val="Statement of Claims"/>
      <sheetName val="Revenue-Fire-Marine-Motor"/>
      <sheetName val="Graphs 1"/>
      <sheetName val="Macro1"/>
      <sheetName val="Summary"/>
      <sheetName val="Grouping"/>
      <sheetName val="pinex_(2)2"/>
      <sheetName val="Assets_(2)2"/>
      <sheetName val="Balance_Sheet2"/>
      <sheetName val="Statement_of_Ch2"/>
      <sheetName val="Note6-8_22"/>
      <sheetName val="Note9-9_62"/>
      <sheetName val="Note_9_7-9_82"/>
      <sheetName val="Notes10-10_4_22"/>
      <sheetName val="10_5-11_32"/>
      <sheetName val="Note_122"/>
      <sheetName val="Note12_3-15_12"/>
      <sheetName val="Note16-21_12"/>
      <sheetName val="Note22-22_72"/>
      <sheetName val="Notes25-26_12"/>
      <sheetName val="Notes26_2-322"/>
      <sheetName val="Notes41-42_12"/>
      <sheetName val="Notes41-42_1_(2)2"/>
      <sheetName val="Notes42_2-442"/>
      <sheetName val="Note_452"/>
      <sheetName val="Deferred_(2)2"/>
      <sheetName val="Defeered_Work2"/>
      <sheetName val="Sheet2_(2)2"/>
      <sheetName val="Sheet3_(2)2"/>
      <sheetName val="Sheet1_(2)2"/>
      <sheetName val="Total_Adjustments2"/>
      <sheetName val="Rate_Input2"/>
      <sheetName val="Profit_Worksheet2"/>
      <sheetName val="broker_sheet-2"/>
      <sheetName val="Notes__2_"/>
      <sheetName val="2000__Projects_Summary"/>
      <sheetName val="Non-Statistical_Sampling"/>
      <sheetName val="REV_VAR_INC"/>
      <sheetName val="Statement_of_Claims"/>
      <sheetName val="Report .1"/>
      <sheetName val="Final Accounts 2001As per Audit"/>
      <sheetName val="Net"/>
      <sheetName val="Profiles"/>
      <sheetName val="Currency"/>
      <sheetName val="DropDown"/>
      <sheetName val="Segment new 1"/>
      <sheetName val="Drop down"/>
      <sheetName val="16-Avg Sales Price"/>
      <sheetName val="stdd costBPCS"/>
      <sheetName val="ៀFinal Accou"/>
      <sheetName val="ḜFinal Accou"/>
      <sheetName val="⒐Final Accou"/>
      <sheetName val="nt__5"/>
      <sheetName val="nt__6"/>
      <sheetName val="nt__7"/>
      <sheetName val="nt__8"/>
      <sheetName val="nt__9"/>
      <sheetName val="DATABASE"/>
      <sheetName val="A-C CODE &amp; NAME"/>
      <sheetName val="Code"/>
      <sheetName val="Abu Dhabi"/>
      <sheetName val="B-S(p)"/>
      <sheetName val="BS-OVS"/>
      <sheetName val="BSDOMOVS"/>
      <sheetName val="PPC-ORD DTL"/>
      <sheetName val="会社別"/>
      <sheetName val="Lead"/>
      <sheetName val="Note Line"/>
      <sheetName val="SETUP"/>
      <sheetName val="pinex_(2)3"/>
      <sheetName val="Assets_(2)3"/>
      <sheetName val="Balance_Sheet3"/>
      <sheetName val="Statement_of_Ch3"/>
      <sheetName val="Note6-8_23"/>
      <sheetName val="Note9-9_63"/>
      <sheetName val="Note_9_7-9_83"/>
      <sheetName val="Notes10-10_4_23"/>
      <sheetName val="10_5-11_33"/>
      <sheetName val="Note_123"/>
      <sheetName val="Note12_3-15_13"/>
      <sheetName val="Note16-21_13"/>
      <sheetName val="Note22-22_73"/>
      <sheetName val="Notes25-26_13"/>
      <sheetName val="Notes26_2-323"/>
      <sheetName val="Notes41-42_13"/>
      <sheetName val="Notes41-42_1_(2)3"/>
      <sheetName val="Notes42_2-443"/>
      <sheetName val="Note_453"/>
      <sheetName val="Deferred_(2)3"/>
      <sheetName val="Defeered_Work3"/>
      <sheetName val="Sheet2_(2)3"/>
      <sheetName val="Sheet3_(2)3"/>
      <sheetName val="Sheet1_(2)3"/>
      <sheetName val="Total_Adjustments3"/>
      <sheetName val="Rate_Input3"/>
      <sheetName val="Profit_Worksheet3"/>
      <sheetName val="broker_sheet-21"/>
      <sheetName val="Notes__2_1"/>
      <sheetName val="2000__Projects_Summary1"/>
      <sheetName val="Non-Statistical_Sampling1"/>
      <sheetName val="REV_VAR_INC1"/>
      <sheetName val="Statement_of_Claims1"/>
      <sheetName val="Graphs_1"/>
      <sheetName val="Final_Accounts_2001As_per_Audit"/>
      <sheetName val="Report__1"/>
      <sheetName val="Segment_new_1"/>
      <sheetName val="Drop_down"/>
      <sheetName val="16-Avg_Sales_Price"/>
      <sheetName val="stdd_costBPCS"/>
      <sheetName val="P &amp; L"/>
      <sheetName val="New Employ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refreshError="1"/>
      <sheetData sheetId="260" refreshError="1"/>
      <sheetData sheetId="261" refreshError="1"/>
      <sheetData sheetId="262" refreshError="1"/>
      <sheetData sheetId="26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iabilities-New"/>
      <sheetName val="Liabiliteis"/>
      <sheetName val="AssetsNew"/>
      <sheetName val="Assets"/>
      <sheetName val="Notes7-8 (2)"/>
      <sheetName val="Note 9.7-9.8 (2)"/>
      <sheetName val="Investment"/>
      <sheetName val="Sheet2"/>
      <sheetName val="SBP-Staggering"/>
      <sheetName val="summary"/>
      <sheetName val="Balancesheet"/>
      <sheetName val="P&amp;L"/>
      <sheetName val="CashFlow"/>
      <sheetName val="Stat-Equity"/>
      <sheetName val="Other Assets Notes"/>
      <sheetName val="Notes1-5"/>
      <sheetName val="Notes 1-6 (2)"/>
      <sheetName val="Investment (2)"/>
      <sheetName val="Notes1-2"/>
      <sheetName val="Notes 1-6"/>
      <sheetName val="Notes7-8"/>
      <sheetName val="Notes 9-10"/>
      <sheetName val="Notes10.1"/>
      <sheetName val="Sheet5"/>
      <sheetName val="notes 5-6000"/>
      <sheetName val="BS"/>
      <sheetName val="A"/>
      <sheetName val="Input_Operating"/>
      <sheetName val="Liquidity"/>
      <sheetName val="Code"/>
      <sheetName val="A-C CODE &amp; NAME"/>
      <sheetName val="PDF1"/>
      <sheetName val="Notes1_5"/>
      <sheetName val="CFR-5"/>
      <sheetName val="Links"/>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Notes7-8_(2)"/>
      <sheetName val="Note_9_7-9_8_(2)"/>
      <sheetName val="Other_Assets_Notes"/>
      <sheetName val="Notes_1-6_(2)"/>
      <sheetName val="Investment_(2)"/>
      <sheetName val="Notes_1-6"/>
      <sheetName val="Notes_9-10"/>
      <sheetName val="Notes10_1"/>
      <sheetName val="notes_5-6000"/>
      <sheetName val="A-C_CODE_&amp;_NAME"/>
      <sheetName val="Notes _2_"/>
      <sheetName val="PL_Million_"/>
      <sheetName val="Fin_Histo_PL"/>
      <sheetName val="Non-Statistical Sampling"/>
      <sheetName val="General"/>
      <sheetName val="P&amp;L Commentary"/>
      <sheetName val="Consolidated"/>
      <sheetName val="TABLES"/>
      <sheetName val="PLC"/>
      <sheetName val="Notes7-8_(2)1"/>
      <sheetName val="Note_9_7-9_8_(2)1"/>
      <sheetName val="Other_Assets_Notes1"/>
      <sheetName val="Notes_1-6_(2)1"/>
      <sheetName val="Investment_(2)1"/>
      <sheetName val="Notes_1-61"/>
      <sheetName val="Notes_9-101"/>
      <sheetName val="Notes10_11"/>
      <sheetName val="notes_5-60001"/>
      <sheetName val="A-C_CODE_&amp;_NAME1"/>
      <sheetName val="Notes__2_"/>
      <sheetName val="Non-Statistical_Sampling"/>
      <sheetName val="Rates"/>
      <sheetName val="NST ( Cap Gain)"/>
      <sheetName val="BSDOMOVS"/>
      <sheetName val="Notes7-8_(2)3"/>
      <sheetName val="Note_9_7-9_8_(2)3"/>
      <sheetName val="Other_Assets_Notes3"/>
      <sheetName val="Notes_1-6_(2)3"/>
      <sheetName val="Investment_(2)3"/>
      <sheetName val="Notes_1-63"/>
      <sheetName val="Notes_9-103"/>
      <sheetName val="Notes10_13"/>
      <sheetName val="notes_5-60003"/>
      <sheetName val="A-C_CODE_&amp;_NAME3"/>
      <sheetName val="Notes7-8_(2)2"/>
      <sheetName val="Note_9_7-9_8_(2)2"/>
      <sheetName val="Other_Assets_Notes2"/>
      <sheetName val="Notes_1-6_(2)2"/>
      <sheetName val="Investment_(2)2"/>
      <sheetName val="Notes_1-62"/>
      <sheetName val="Notes_9-102"/>
      <sheetName val="Notes10_12"/>
      <sheetName val="notes_5-60002"/>
      <sheetName val="A-C_CODE_&amp;_NAME2"/>
      <sheetName val="Lead Schedule"/>
      <sheetName val="Sheet3"/>
      <sheetName val="Institutions List"/>
      <sheetName val="Stat. Changes Equity"/>
      <sheetName val="Notes 7 - 23"/>
      <sheetName val="E"/>
      <sheetName val="Notes__2_1"/>
      <sheetName val="P&amp;L_Commentary"/>
      <sheetName val="Non-Statistical_Sampling1"/>
      <sheetName val="SOURCE"/>
      <sheetName val="UK"/>
      <sheetName val="New Employee"/>
      <sheetName val="NED09-10 SW"/>
      <sheetName val="Lead"/>
      <sheetName val="Support"/>
      <sheetName val="revenue-fire-marine-motor"/>
      <sheetName val="navlun_cetveli"/>
      <sheetName val="INIT"/>
      <sheetName val="Notes7-8_(2)4"/>
      <sheetName val="Note_9_7-9_8_(2)4"/>
      <sheetName val="Other_Assets_Notes4"/>
      <sheetName val="Notes_1-6_(2)4"/>
      <sheetName val="Investment_(2)4"/>
      <sheetName val="Notes_1-64"/>
      <sheetName val="Notes_9-104"/>
      <sheetName val="Notes10_14"/>
      <sheetName val="notes_5-60004"/>
      <sheetName val="A-C_CODE_&amp;_NAME4"/>
      <sheetName val="NST_(_Cap_Gain)"/>
      <sheetName val="Lead_Schedule"/>
      <sheetName val="RiskSim Summary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7">
          <cell r="AX7">
            <v>1346063.09</v>
          </cell>
        </row>
        <row r="8">
          <cell r="AX8">
            <v>-1270.28</v>
          </cell>
        </row>
        <row r="9">
          <cell r="AX9">
            <v>18843861.66</v>
          </cell>
        </row>
        <row r="10">
          <cell r="AX10">
            <v>51230813.909999996</v>
          </cell>
        </row>
        <row r="11">
          <cell r="AX11">
            <v>2751832.22</v>
          </cell>
        </row>
        <row r="12">
          <cell r="AX12">
            <v>-186068.71</v>
          </cell>
        </row>
        <row r="13">
          <cell r="AX13">
            <v>2850010.03</v>
          </cell>
        </row>
        <row r="14">
          <cell r="AX14">
            <v>0</v>
          </cell>
        </row>
        <row r="15">
          <cell r="AX15">
            <v>-25061.99</v>
          </cell>
        </row>
        <row r="16">
          <cell r="AX16">
            <v>76810179.930000007</v>
          </cell>
        </row>
        <row r="17">
          <cell r="AX17">
            <v>1702084.59</v>
          </cell>
        </row>
        <row r="18">
          <cell r="AX18">
            <v>1162777.6599999999</v>
          </cell>
        </row>
        <row r="19">
          <cell r="AX19">
            <v>79675042.180000007</v>
          </cell>
        </row>
        <row r="20">
          <cell r="AX20">
            <v>-1145960.1499999999</v>
          </cell>
        </row>
        <row r="21">
          <cell r="AX21">
            <v>581217.23</v>
          </cell>
        </row>
        <row r="22">
          <cell r="AX22">
            <v>76175</v>
          </cell>
        </row>
        <row r="23">
          <cell r="AX23">
            <v>5839615</v>
          </cell>
        </row>
        <row r="24">
          <cell r="AX24">
            <v>100869011</v>
          </cell>
        </row>
        <row r="25">
          <cell r="AX25">
            <v>106220058.08</v>
          </cell>
        </row>
        <row r="26">
          <cell r="AX26">
            <v>0</v>
          </cell>
        </row>
        <row r="27">
          <cell r="AX27">
            <v>13188041</v>
          </cell>
        </row>
        <row r="28">
          <cell r="AX28">
            <v>391476</v>
          </cell>
        </row>
        <row r="29">
          <cell r="AX29">
            <v>283891</v>
          </cell>
        </row>
        <row r="30">
          <cell r="AX30">
            <v>360280</v>
          </cell>
        </row>
        <row r="31">
          <cell r="AX31">
            <v>2691316</v>
          </cell>
        </row>
        <row r="32">
          <cell r="AX32">
            <v>385700</v>
          </cell>
        </row>
        <row r="33">
          <cell r="AX33">
            <v>3300444</v>
          </cell>
        </row>
        <row r="34">
          <cell r="AX34">
            <v>0</v>
          </cell>
        </row>
        <row r="35">
          <cell r="AX35">
            <v>0</v>
          </cell>
        </row>
        <row r="36">
          <cell r="AX36">
            <v>0</v>
          </cell>
        </row>
        <row r="37">
          <cell r="AX37">
            <v>20601148</v>
          </cell>
        </row>
        <row r="38">
          <cell r="AX38">
            <v>0</v>
          </cell>
        </row>
        <row r="39">
          <cell r="AX39">
            <v>365044.5</v>
          </cell>
        </row>
        <row r="40">
          <cell r="AX40">
            <v>0</v>
          </cell>
        </row>
        <row r="41">
          <cell r="AX41">
            <v>1022753</v>
          </cell>
        </row>
        <row r="42">
          <cell r="AX42">
            <v>40514</v>
          </cell>
        </row>
        <row r="43">
          <cell r="AX43">
            <v>650</v>
          </cell>
        </row>
        <row r="44">
          <cell r="AX44">
            <v>40500</v>
          </cell>
        </row>
        <row r="45">
          <cell r="AX45">
            <v>0</v>
          </cell>
        </row>
        <row r="46">
          <cell r="AX46">
            <v>0</v>
          </cell>
        </row>
        <row r="47">
          <cell r="AX47">
            <v>3342</v>
          </cell>
        </row>
        <row r="48">
          <cell r="AX48">
            <v>15490</v>
          </cell>
        </row>
        <row r="49">
          <cell r="AX49">
            <v>77016</v>
          </cell>
        </row>
        <row r="50">
          <cell r="AX50">
            <v>664789</v>
          </cell>
        </row>
        <row r="51">
          <cell r="AX51">
            <v>64600</v>
          </cell>
        </row>
        <row r="52">
          <cell r="AX52">
            <v>0</v>
          </cell>
        </row>
        <row r="53">
          <cell r="AX53">
            <v>2294698.5</v>
          </cell>
        </row>
        <row r="54">
          <cell r="AX54">
            <v>0</v>
          </cell>
        </row>
        <row r="55">
          <cell r="AX55">
            <v>3801469</v>
          </cell>
        </row>
        <row r="56">
          <cell r="AX56">
            <v>1134855</v>
          </cell>
        </row>
        <row r="57">
          <cell r="AX57">
            <v>324127</v>
          </cell>
        </row>
        <row r="58">
          <cell r="AX58">
            <v>332579</v>
          </cell>
        </row>
        <row r="59">
          <cell r="AX59">
            <v>17817</v>
          </cell>
        </row>
        <row r="60">
          <cell r="AX60">
            <v>7950</v>
          </cell>
        </row>
        <row r="61">
          <cell r="AX61">
            <v>339900</v>
          </cell>
        </row>
        <row r="62">
          <cell r="AX62">
            <v>5958697</v>
          </cell>
        </row>
        <row r="70">
          <cell r="AX70">
            <v>1298551</v>
          </cell>
        </row>
        <row r="71">
          <cell r="AX71">
            <v>161339</v>
          </cell>
        </row>
        <row r="72">
          <cell r="AX72">
            <v>155390</v>
          </cell>
        </row>
        <row r="73">
          <cell r="AX73">
            <v>412665.9</v>
          </cell>
        </row>
        <row r="74">
          <cell r="AX74">
            <v>2027945.9</v>
          </cell>
        </row>
        <row r="76">
          <cell r="AX76">
            <v>143130.54999999999</v>
          </cell>
        </row>
        <row r="77">
          <cell r="AX77">
            <v>730109</v>
          </cell>
        </row>
        <row r="78">
          <cell r="AX78">
            <v>151700</v>
          </cell>
        </row>
        <row r="79">
          <cell r="AX79">
            <v>1024939.55</v>
          </cell>
        </row>
        <row r="80">
          <cell r="AX80">
            <v>0</v>
          </cell>
        </row>
        <row r="81">
          <cell r="AX81">
            <v>127801</v>
          </cell>
        </row>
        <row r="82">
          <cell r="AX82">
            <v>239418.7</v>
          </cell>
        </row>
        <row r="83">
          <cell r="AX83">
            <v>400152</v>
          </cell>
        </row>
        <row r="84">
          <cell r="AX84">
            <v>80422</v>
          </cell>
        </row>
        <row r="85">
          <cell r="AX85">
            <v>545736</v>
          </cell>
        </row>
        <row r="86">
          <cell r="AX86">
            <v>0</v>
          </cell>
        </row>
        <row r="87">
          <cell r="AX87">
            <v>231877</v>
          </cell>
        </row>
        <row r="88">
          <cell r="AX88">
            <v>739465.6</v>
          </cell>
        </row>
        <row r="89">
          <cell r="AX89">
            <v>45042</v>
          </cell>
        </row>
        <row r="90">
          <cell r="AX90">
            <v>396160.5</v>
          </cell>
        </row>
        <row r="91">
          <cell r="AX91">
            <v>0</v>
          </cell>
        </row>
        <row r="92">
          <cell r="AX92">
            <v>24055.68</v>
          </cell>
        </row>
        <row r="93">
          <cell r="AX93">
            <v>574252</v>
          </cell>
        </row>
        <row r="94">
          <cell r="AX94">
            <v>82254</v>
          </cell>
        </row>
        <row r="95">
          <cell r="AX95">
            <v>1359009.16</v>
          </cell>
        </row>
        <row r="96">
          <cell r="AX96">
            <v>439224.89</v>
          </cell>
        </row>
        <row r="97">
          <cell r="AX97">
            <v>292318</v>
          </cell>
        </row>
        <row r="98">
          <cell r="AX98">
            <v>193011</v>
          </cell>
        </row>
        <row r="99">
          <cell r="AX99">
            <v>624960.82999999996</v>
          </cell>
        </row>
        <row r="100">
          <cell r="AX100">
            <v>349107.07</v>
          </cell>
        </row>
        <row r="101">
          <cell r="AX101">
            <v>876848</v>
          </cell>
        </row>
        <row r="102">
          <cell r="AX102">
            <v>80101</v>
          </cell>
        </row>
        <row r="103">
          <cell r="AX103">
            <v>1336880.3999999999</v>
          </cell>
        </row>
        <row r="104">
          <cell r="AX104">
            <v>2855</v>
          </cell>
        </row>
        <row r="105">
          <cell r="AX105">
            <v>1087532.02</v>
          </cell>
        </row>
        <row r="106">
          <cell r="AX106">
            <v>1036246</v>
          </cell>
        </row>
        <row r="107">
          <cell r="AX107">
            <v>213797</v>
          </cell>
        </row>
        <row r="108">
          <cell r="AX108">
            <v>158249.31</v>
          </cell>
        </row>
        <row r="109">
          <cell r="AX109">
            <v>11536776.16</v>
          </cell>
        </row>
        <row r="110">
          <cell r="AX110">
            <v>0</v>
          </cell>
        </row>
        <row r="111">
          <cell r="AX111">
            <v>0</v>
          </cell>
        </row>
        <row r="112">
          <cell r="AX112">
            <v>0</v>
          </cell>
        </row>
        <row r="113">
          <cell r="AX113">
            <v>8790</v>
          </cell>
        </row>
        <row r="114">
          <cell r="AX114">
            <v>0</v>
          </cell>
        </row>
        <row r="115">
          <cell r="AX115">
            <v>0</v>
          </cell>
        </row>
        <row r="116">
          <cell r="AX116">
            <v>8790</v>
          </cell>
        </row>
        <row r="117">
          <cell r="AX117">
            <v>0</v>
          </cell>
        </row>
        <row r="118">
          <cell r="AX118">
            <v>1556627</v>
          </cell>
        </row>
        <row r="119">
          <cell r="AX119">
            <v>1273854</v>
          </cell>
        </row>
        <row r="120">
          <cell r="AX120">
            <v>1804489</v>
          </cell>
        </row>
        <row r="121">
          <cell r="AX121">
            <v>1158120</v>
          </cell>
        </row>
        <row r="122">
          <cell r="AX122">
            <v>0</v>
          </cell>
        </row>
        <row r="123">
          <cell r="AX123">
            <v>0</v>
          </cell>
        </row>
        <row r="124">
          <cell r="AX124">
            <v>0</v>
          </cell>
        </row>
        <row r="125">
          <cell r="AX125">
            <v>5793090</v>
          </cell>
        </row>
        <row r="126">
          <cell r="AX126">
            <v>235141185.37</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BSDOMOVS"/>
      <sheetName val="LS-UAE"/>
      <sheetName val="ASSETS"/>
      <sheetName val="OUTSTANDING FX-SWAP"/>
      <sheetName val="Code"/>
      <sheetName val="Lookups"/>
      <sheetName val="Pool"/>
      <sheetName val="RC-0997"/>
      <sheetName val="Macro1"/>
      <sheetName val="A-C CODE &amp; NAME"/>
      <sheetName val="TABLES"/>
      <sheetName val="actual (2)"/>
      <sheetName val="B2 STMT"/>
      <sheetName val="List"/>
      <sheetName val="T-BILL"/>
      <sheetName val="Abu Dhabi"/>
      <sheetName val="1-bwb(cb)"/>
      <sheetName val="Implied Rate"/>
      <sheetName val="Rating"/>
      <sheetName val="INPUT"/>
      <sheetName val="RATE"/>
      <sheetName val="BS-OVS"/>
      <sheetName val="PKRV"/>
      <sheetName val="B2 STMT - F"/>
      <sheetName val="ADI"/>
      <sheetName val="II- INV CO"/>
      <sheetName val="OUTSTANDING_FX-SWAP"/>
      <sheetName val="A-C_CODE_&amp;_NAME"/>
      <sheetName val="actual_(2)"/>
      <sheetName val="B2_STMT"/>
      <sheetName val="Abu_Dhabi"/>
      <sheetName val="Implied_Rate"/>
      <sheetName val="B2_STMT_-_F"/>
      <sheetName val="Product &amp; TL list"/>
      <sheetName val="TL List"/>
      <sheetName val="WEEKLY 1"/>
      <sheetName val="RATES"/>
      <sheetName val="B-SHEET"/>
      <sheetName val="AVERAGES"/>
      <sheetName val="OUTSTANDING_FX-SWAP1"/>
      <sheetName val="A-C_CODE_&amp;_NAME1"/>
      <sheetName val="actual_(2)1"/>
      <sheetName val="B2_STMT1"/>
      <sheetName val="Abu_Dhabi1"/>
      <sheetName val="Implied_Rate1"/>
      <sheetName val="B2_STMT_-_F1"/>
      <sheetName val="Product_&amp;_TL_list"/>
      <sheetName val="TL_List"/>
      <sheetName val="II-_INV_CO"/>
      <sheetName val="tran"/>
      <sheetName val="tb"/>
      <sheetName val="Sheet3"/>
      <sheetName val="Variables"/>
      <sheetName val="Sheet Tally! PNL PRODUCT"/>
      <sheetName val="PNL Assorted"/>
      <sheetName val="Switch &amp; IBFT"/>
      <sheetName val="Sheet Tally! PNL PRODUCT in Mn."/>
      <sheetName val="Switch"/>
      <sheetName val="IBFT"/>
      <sheetName val="BPS PNL"/>
      <sheetName val="SDRS"/>
      <sheetName val="Recertification &amp; Others"/>
      <sheetName val="PayPak"/>
      <sheetName val="VISA PNL"/>
      <sheetName val="Loyalty"/>
      <sheetName val="OTC PNL"/>
      <sheetName val="POS"/>
      <sheetName val="CUP PNL"/>
      <sheetName val="JCB"/>
      <sheetName val="MasterCard PNL"/>
      <sheetName val="FRMS PNL"/>
      <sheetName val="PERSO"/>
      <sheetName val="BR"/>
      <sheetName val="FS"/>
      <sheetName val="Software sum (Main Cal Hidden)"/>
      <sheetName val="Sheet tally"/>
      <sheetName val="Software Bifurcation June 2019"/>
      <sheetName val="Hardware Calcu Sum"/>
      <sheetName val="Main Calcus"/>
      <sheetName val="GPS Settlement"/>
      <sheetName val="Total TPS Tally"/>
      <sheetName val="Segment"/>
      <sheetName val="last qrt2001"/>
      <sheetName val="last_qrt2001"/>
      <sheetName val="Final"/>
      <sheetName val="MODEL"/>
      <sheetName val="handout_data"/>
      <sheetName val="Data"/>
      <sheetName val="Control"/>
      <sheetName val="Frontpage"/>
      <sheetName val="Stock"/>
      <sheetName val="Revenue-Fire-Marine-Motor"/>
      <sheetName val="OUTSTANDING_FX-SWAP2"/>
      <sheetName val="A-C_CODE_&amp;_NAME2"/>
      <sheetName val="actual_(2)2"/>
      <sheetName val="B2_STMT2"/>
      <sheetName val="Abu_Dhabi2"/>
      <sheetName val="Implied_Rate2"/>
      <sheetName val="B2_STMT_-_F2"/>
      <sheetName val="Product_&amp;_TL_list1"/>
      <sheetName val="TL_List1"/>
      <sheetName val="II-_INV_CO1"/>
      <sheetName val="Sheet2"/>
      <sheetName val="Sheet1"/>
    </sheetNames>
    <sheetDataSet>
      <sheetData sheetId="0" refreshError="1">
        <row r="8">
          <cell r="O8" t="str">
            <v>||\027\033\068</v>
          </cell>
        </row>
        <row r="16">
          <cell r="L16">
            <v>2300000</v>
          </cell>
          <cell r="Q16" t="e">
            <v>#REF!</v>
          </cell>
          <cell r="Y16">
            <v>0</v>
          </cell>
        </row>
        <row r="17">
          <cell r="L17">
            <v>33660.413</v>
          </cell>
          <cell r="Q17" t="e">
            <v>#REF!</v>
          </cell>
          <cell r="Y17">
            <v>106941.372</v>
          </cell>
        </row>
        <row r="18">
          <cell r="L18">
            <v>0</v>
          </cell>
          <cell r="Q18" t="e">
            <v>#REF!</v>
          </cell>
          <cell r="Y18">
            <v>0</v>
          </cell>
        </row>
        <row r="19">
          <cell r="L19">
            <v>0</v>
          </cell>
          <cell r="Q19" t="e">
            <v>#REF!</v>
          </cell>
          <cell r="Y19">
            <v>1895000</v>
          </cell>
        </row>
        <row r="20">
          <cell r="L20">
            <v>0</v>
          </cell>
          <cell r="Q20" t="e">
            <v>#REF!</v>
          </cell>
          <cell r="Y20">
            <v>0</v>
          </cell>
        </row>
        <row r="21">
          <cell r="L21">
            <v>2817064.3510000003</v>
          </cell>
          <cell r="Q21" t="e">
            <v>#REF!</v>
          </cell>
          <cell r="Y21">
            <v>15963.751</v>
          </cell>
        </row>
        <row r="22">
          <cell r="L22">
            <v>0</v>
          </cell>
          <cell r="Q22" t="e">
            <v>#REF!</v>
          </cell>
          <cell r="Y22">
            <v>0</v>
          </cell>
        </row>
        <row r="23">
          <cell r="L23">
            <v>0</v>
          </cell>
          <cell r="Q23" t="e">
            <v>#REF!</v>
          </cell>
          <cell r="Y23">
            <v>11375.326999999999</v>
          </cell>
        </row>
        <row r="24">
          <cell r="L24">
            <v>0</v>
          </cell>
          <cell r="Q24" t="e">
            <v>#REF!</v>
          </cell>
          <cell r="Y24">
            <v>0</v>
          </cell>
        </row>
        <row r="25">
          <cell r="L25">
            <v>0</v>
          </cell>
          <cell r="Q25" t="e">
            <v>#REF!</v>
          </cell>
          <cell r="Y25">
            <v>0</v>
          </cell>
        </row>
        <row r="26">
          <cell r="L26">
            <v>0</v>
          </cell>
          <cell r="Q26" t="e">
            <v>#REF!</v>
          </cell>
          <cell r="Y26">
            <v>-153169.35200000001</v>
          </cell>
        </row>
        <row r="27">
          <cell r="L27">
            <v>0</v>
          </cell>
          <cell r="Q27" t="e">
            <v>#REF!</v>
          </cell>
          <cell r="Y27">
            <v>13001885.411</v>
          </cell>
        </row>
        <row r="28">
          <cell r="L28">
            <v>0</v>
          </cell>
          <cell r="Q28" t="e">
            <v>#REF!</v>
          </cell>
          <cell r="Y28">
            <v>0</v>
          </cell>
        </row>
        <row r="29">
          <cell r="L29">
            <v>0</v>
          </cell>
          <cell r="Q29" t="e">
            <v>#REF!</v>
          </cell>
          <cell r="Y29">
            <v>2940600</v>
          </cell>
        </row>
        <row r="30">
          <cell r="L30">
            <v>1720250.2149999999</v>
          </cell>
          <cell r="Q30" t="e">
            <v>#REF!</v>
          </cell>
          <cell r="Y30">
            <v>0</v>
          </cell>
        </row>
        <row r="31">
          <cell r="L31">
            <v>52433.093999999997</v>
          </cell>
          <cell r="Q31" t="e">
            <v>#REF!</v>
          </cell>
          <cell r="Y31">
            <v>0</v>
          </cell>
        </row>
        <row r="32">
          <cell r="L32">
            <v>219566.79</v>
          </cell>
          <cell r="Q32" t="e">
            <v>#REF!</v>
          </cell>
          <cell r="Y32">
            <v>592768.07499999995</v>
          </cell>
        </row>
        <row r="33">
          <cell r="L33">
            <v>0</v>
          </cell>
          <cell r="Q33" t="e">
            <v>#REF!</v>
          </cell>
          <cell r="Y33">
            <v>0</v>
          </cell>
        </row>
        <row r="34">
          <cell r="L34">
            <v>40699</v>
          </cell>
          <cell r="Q34" t="e">
            <v>#REF!</v>
          </cell>
          <cell r="Y34">
            <v>0</v>
          </cell>
        </row>
        <row r="35">
          <cell r="L35">
            <v>0</v>
          </cell>
          <cell r="Q35" t="e">
            <v>#REF!</v>
          </cell>
          <cell r="Y35">
            <v>0</v>
          </cell>
        </row>
        <row r="36">
          <cell r="L36">
            <v>36162.53</v>
          </cell>
          <cell r="Q36" t="e">
            <v>#REF!</v>
          </cell>
          <cell r="Y36">
            <v>39693.930999999997</v>
          </cell>
        </row>
        <row r="37">
          <cell r="L37">
            <v>126981.822</v>
          </cell>
          <cell r="Q37" t="e">
            <v>#REF!</v>
          </cell>
          <cell r="Y37">
            <v>4519235.5609999998</v>
          </cell>
        </row>
        <row r="38">
          <cell r="L38">
            <v>0</v>
          </cell>
          <cell r="Q38" t="e">
            <v>#REF!</v>
          </cell>
          <cell r="Y38">
            <v>0</v>
          </cell>
        </row>
        <row r="39">
          <cell r="L39">
            <v>23755.813999999998</v>
          </cell>
          <cell r="Q39" t="e">
            <v>#REF!</v>
          </cell>
          <cell r="Y39">
            <v>252000</v>
          </cell>
        </row>
        <row r="40">
          <cell r="L40">
            <v>0</v>
          </cell>
          <cell r="Q40" t="e">
            <v>#REF!</v>
          </cell>
          <cell r="Y40">
            <v>25000</v>
          </cell>
        </row>
        <row r="41">
          <cell r="L41">
            <v>4080600</v>
          </cell>
          <cell r="Q41" t="e">
            <v>#REF!</v>
          </cell>
          <cell r="Y41">
            <v>1510873.9300000002</v>
          </cell>
        </row>
        <row r="42">
          <cell r="L42">
            <v>0</v>
          </cell>
          <cell r="Q42" t="e">
            <v>#REF!</v>
          </cell>
          <cell r="Y42">
            <v>0</v>
          </cell>
        </row>
        <row r="43">
          <cell r="L43">
            <v>12141.620999999999</v>
          </cell>
          <cell r="Q43" t="e">
            <v>#REF!</v>
          </cell>
          <cell r="Y43">
            <v>4641809.2860000003</v>
          </cell>
        </row>
        <row r="44">
          <cell r="L44">
            <v>0</v>
          </cell>
          <cell r="Q44" t="e">
            <v>#REF!</v>
          </cell>
          <cell r="Y44">
            <v>0</v>
          </cell>
        </row>
        <row r="45">
          <cell r="L45">
            <v>0</v>
          </cell>
          <cell r="Q45" t="e">
            <v>#REF!</v>
          </cell>
          <cell r="Y45">
            <v>0</v>
          </cell>
        </row>
        <row r="46">
          <cell r="L46">
            <v>0</v>
          </cell>
          <cell r="Q46" t="e">
            <v>#REF!</v>
          </cell>
          <cell r="Y46">
            <v>0</v>
          </cell>
        </row>
        <row r="48">
          <cell r="L48">
            <v>1246347.0989999999</v>
          </cell>
          <cell r="Q48" t="e">
            <v>#REF!</v>
          </cell>
          <cell r="Y48">
            <v>3282.598</v>
          </cell>
        </row>
        <row r="49">
          <cell r="L49">
            <v>0</v>
          </cell>
          <cell r="Q49" t="e">
            <v>#REF!</v>
          </cell>
          <cell r="Y49">
            <v>175290.41999999998</v>
          </cell>
        </row>
        <row r="50">
          <cell r="L50">
            <v>0</v>
          </cell>
          <cell r="Q50" t="e">
            <v>#REF!</v>
          </cell>
          <cell r="Y50">
            <v>3488648.6310000001</v>
          </cell>
        </row>
        <row r="51">
          <cell r="L51">
            <v>7169953.6749999998</v>
          </cell>
          <cell r="Q51" t="e">
            <v>#REF!</v>
          </cell>
          <cell r="Y51">
            <v>0</v>
          </cell>
        </row>
        <row r="52">
          <cell r="L52">
            <v>0</v>
          </cell>
          <cell r="Q52" t="e">
            <v>#REF!</v>
          </cell>
          <cell r="Y52">
            <v>31898.387999999999</v>
          </cell>
        </row>
        <row r="53">
          <cell r="L53">
            <v>13759768.784</v>
          </cell>
          <cell r="Q53" t="e">
            <v>#REF!</v>
          </cell>
          <cell r="Y53">
            <v>0</v>
          </cell>
        </row>
        <row r="54">
          <cell r="L54">
            <v>0</v>
          </cell>
          <cell r="Q54" t="e">
            <v>#REF!</v>
          </cell>
          <cell r="Y54">
            <v>732765.84</v>
          </cell>
        </row>
        <row r="55">
          <cell r="L55">
            <v>0</v>
          </cell>
          <cell r="Q55" t="e">
            <v>#REF!</v>
          </cell>
          <cell r="Y55">
            <v>211700</v>
          </cell>
        </row>
        <row r="56">
          <cell r="L56">
            <v>11611.779999999999</v>
          </cell>
          <cell r="Q56" t="e">
            <v>#REF!</v>
          </cell>
          <cell r="Y56">
            <v>47027.165999999997</v>
          </cell>
        </row>
        <row r="57">
          <cell r="L57">
            <v>0</v>
          </cell>
          <cell r="Q57" t="e">
            <v>#REF!</v>
          </cell>
          <cell r="Y57">
            <v>0</v>
          </cell>
        </row>
        <row r="58">
          <cell r="L58">
            <v>0</v>
          </cell>
          <cell r="Q58" t="e">
            <v>#REF!</v>
          </cell>
          <cell r="Y58">
            <v>0</v>
          </cell>
        </row>
        <row r="59">
          <cell r="L59">
            <v>0</v>
          </cell>
          <cell r="Q59" t="e">
            <v>#REF!</v>
          </cell>
          <cell r="Y59">
            <v>0</v>
          </cell>
        </row>
        <row r="60">
          <cell r="L60">
            <v>0</v>
          </cell>
          <cell r="Q60" t="e">
            <v>#REF!</v>
          </cell>
          <cell r="Y60">
            <v>0</v>
          </cell>
        </row>
        <row r="61">
          <cell r="L61">
            <v>0</v>
          </cell>
          <cell r="Q61" t="e">
            <v>#REF!</v>
          </cell>
          <cell r="Y61">
            <v>95017.777000000002</v>
          </cell>
        </row>
        <row r="62">
          <cell r="L62">
            <v>0</v>
          </cell>
          <cell r="Q62" t="e">
            <v>#REF!</v>
          </cell>
          <cell r="Y62">
            <v>3121.0209999999997</v>
          </cell>
        </row>
        <row r="63">
          <cell r="L63">
            <v>177617.62599999999</v>
          </cell>
          <cell r="Q63" t="e">
            <v>#REF!</v>
          </cell>
          <cell r="Y63">
            <v>0</v>
          </cell>
        </row>
        <row r="64">
          <cell r="L64">
            <v>0</v>
          </cell>
          <cell r="Q64" t="e">
            <v>#REF!</v>
          </cell>
          <cell r="Y64">
            <v>311.3</v>
          </cell>
        </row>
        <row r="65">
          <cell r="L65">
            <v>0</v>
          </cell>
          <cell r="Q65" t="e">
            <v>#REF!</v>
          </cell>
          <cell r="Y65">
            <v>0</v>
          </cell>
        </row>
        <row r="66">
          <cell r="L66">
            <v>0</v>
          </cell>
          <cell r="Q66" t="e">
            <v>#REF!</v>
          </cell>
          <cell r="Y66">
            <v>0</v>
          </cell>
        </row>
        <row r="67">
          <cell r="L67">
            <v>0</v>
          </cell>
          <cell r="Q67" t="e">
            <v>#REF!</v>
          </cell>
          <cell r="Y67">
            <v>0</v>
          </cell>
        </row>
        <row r="68">
          <cell r="L68">
            <v>0</v>
          </cell>
          <cell r="Q68" t="e">
            <v>#REF!</v>
          </cell>
          <cell r="Y68">
            <v>0</v>
          </cell>
        </row>
        <row r="69">
          <cell r="L69">
            <v>0</v>
          </cell>
          <cell r="Q69" t="e">
            <v>#REF!</v>
          </cell>
          <cell r="Y69">
            <v>0</v>
          </cell>
        </row>
        <row r="70">
          <cell r="L70">
            <v>524515.14500000002</v>
          </cell>
          <cell r="Q70" t="e">
            <v>#REF!</v>
          </cell>
          <cell r="Y70">
            <v>0</v>
          </cell>
        </row>
        <row r="71">
          <cell r="L71">
            <v>0</v>
          </cell>
          <cell r="Q71" t="e">
            <v>#REF!</v>
          </cell>
          <cell r="Y71">
            <v>0</v>
          </cell>
        </row>
        <row r="72">
          <cell r="L72">
            <v>0</v>
          </cell>
          <cell r="Q72" t="e">
            <v>#REF!</v>
          </cell>
          <cell r="Y72">
            <v>0</v>
          </cell>
        </row>
        <row r="73">
          <cell r="L73">
            <v>0</v>
          </cell>
          <cell r="Q73" t="e">
            <v>#REF!</v>
          </cell>
          <cell r="Y73">
            <v>100</v>
          </cell>
        </row>
        <row r="74">
          <cell r="L74">
            <v>0</v>
          </cell>
          <cell r="Q74" t="e">
            <v>#REF!</v>
          </cell>
          <cell r="Y74">
            <v>0</v>
          </cell>
        </row>
        <row r="75">
          <cell r="L75">
            <v>0</v>
          </cell>
          <cell r="Q75" t="e">
            <v>#REF!</v>
          </cell>
          <cell r="Y75">
            <v>0</v>
          </cell>
        </row>
        <row r="77">
          <cell r="L77">
            <v>0</v>
          </cell>
          <cell r="Q77" t="e">
            <v>#REF!</v>
          </cell>
          <cell r="Y77">
            <v>0</v>
          </cell>
        </row>
        <row r="78">
          <cell r="L78">
            <v>0</v>
          </cell>
          <cell r="Q78" t="e">
            <v>#REF!</v>
          </cell>
          <cell r="Y78">
            <v>0</v>
          </cell>
        </row>
        <row r="79">
          <cell r="L79">
            <v>0</v>
          </cell>
          <cell r="Q79" t="e">
            <v>#REF!</v>
          </cell>
          <cell r="Y79">
            <v>0</v>
          </cell>
        </row>
        <row r="80">
          <cell r="L80">
            <v>0</v>
          </cell>
          <cell r="Q80" t="e">
            <v>#REF!</v>
          </cell>
          <cell r="Y80">
            <v>132817.76799999998</v>
          </cell>
        </row>
        <row r="81">
          <cell r="L81">
            <v>0</v>
          </cell>
          <cell r="Q81" t="e">
            <v>#REF!</v>
          </cell>
          <cell r="Y81">
            <v>0</v>
          </cell>
        </row>
        <row r="82">
          <cell r="L82">
            <v>0</v>
          </cell>
          <cell r="Q82" t="e">
            <v>#REF!</v>
          </cell>
          <cell r="Y82">
            <v>0</v>
          </cell>
        </row>
        <row r="83">
          <cell r="L83">
            <v>0</v>
          </cell>
          <cell r="Q83" t="e">
            <v>#REF!</v>
          </cell>
          <cell r="Y83">
            <v>0</v>
          </cell>
        </row>
        <row r="84">
          <cell r="L84">
            <v>0</v>
          </cell>
          <cell r="Q84" t="e">
            <v>#REF!</v>
          </cell>
          <cell r="Y84">
            <v>0</v>
          </cell>
        </row>
        <row r="85">
          <cell r="L85">
            <v>11593</v>
          </cell>
          <cell r="Q85" t="e">
            <v>#REF!</v>
          </cell>
          <cell r="Y85">
            <v>11593</v>
          </cell>
        </row>
        <row r="86">
          <cell r="L86">
            <v>2396683</v>
          </cell>
          <cell r="Q86" t="e">
            <v>#REF!</v>
          </cell>
          <cell r="Y86">
            <v>2396683</v>
          </cell>
        </row>
        <row r="87">
          <cell r="L87">
            <v>244566</v>
          </cell>
          <cell r="Q87" t="e">
            <v>#REF!</v>
          </cell>
          <cell r="Y87">
            <v>244566</v>
          </cell>
        </row>
        <row r="88">
          <cell r="L88">
            <v>731613.6</v>
          </cell>
          <cell r="Q88" t="e">
            <v>#REF!</v>
          </cell>
          <cell r="Y88">
            <v>731613.6</v>
          </cell>
        </row>
        <row r="89">
          <cell r="L89">
            <v>0</v>
          </cell>
          <cell r="Q89" t="e">
            <v>#REF!</v>
          </cell>
          <cell r="Y89">
            <v>0</v>
          </cell>
        </row>
        <row r="90">
          <cell r="L90">
            <v>17900</v>
          </cell>
          <cell r="Q90" t="e">
            <v>#REF!</v>
          </cell>
          <cell r="Y90">
            <v>17900</v>
          </cell>
        </row>
        <row r="91">
          <cell r="L91">
            <v>0</v>
          </cell>
          <cell r="Q91" t="e">
            <v>#REF!</v>
          </cell>
          <cell r="Y91">
            <v>0</v>
          </cell>
        </row>
        <row r="92">
          <cell r="L92">
            <v>4721528.4210000001</v>
          </cell>
          <cell r="Q92" t="e">
            <v>#REF!</v>
          </cell>
          <cell r="Y92">
            <v>4719039.5659999996</v>
          </cell>
        </row>
        <row r="93">
          <cell r="L93">
            <v>0</v>
          </cell>
          <cell r="Q93" t="e">
            <v>#REF!</v>
          </cell>
          <cell r="Y93">
            <v>0</v>
          </cell>
        </row>
        <row r="94">
          <cell r="L94">
            <v>3732499.0830000001</v>
          </cell>
          <cell r="Q94" t="e">
            <v>#REF!</v>
          </cell>
          <cell r="Y94">
            <v>3766159.4960000003</v>
          </cell>
        </row>
        <row r="95">
          <cell r="L95">
            <v>0</v>
          </cell>
          <cell r="Q95" t="e">
            <v>#REF!</v>
          </cell>
          <cell r="Y95">
            <v>0</v>
          </cell>
        </row>
        <row r="97">
          <cell r="L97" t="str">
            <v>-</v>
          </cell>
          <cell r="Q97" t="str">
            <v>-</v>
          </cell>
          <cell r="Y97" t="str">
            <v>-</v>
          </cell>
        </row>
        <row r="98">
          <cell r="L98">
            <v>46209512.862999998</v>
          </cell>
          <cell r="Q98" t="e">
            <v>#REF!</v>
          </cell>
          <cell r="Y98">
            <v>46209512.863000005</v>
          </cell>
        </row>
        <row r="99">
          <cell r="L99" t="str">
            <v>-</v>
          </cell>
          <cell r="Q99" t="str">
            <v>-</v>
          </cell>
          <cell r="Y99" t="str">
            <v>-</v>
          </cell>
        </row>
        <row r="100">
          <cell r="L100">
            <v>46209512.862999998</v>
          </cell>
          <cell r="Q100" t="e">
            <v>#REF!</v>
          </cell>
          <cell r="Y100">
            <v>46209512.862999998</v>
          </cell>
        </row>
        <row r="101">
          <cell r="L101" t="str">
            <v>-</v>
          </cell>
          <cell r="Q101" t="str">
            <v>-</v>
          </cell>
          <cell r="Y101" t="str">
            <v>-</v>
          </cell>
        </row>
        <row r="102">
          <cell r="L102">
            <v>0</v>
          </cell>
          <cell r="Q102" t="e">
            <v>#REF!</v>
          </cell>
          <cell r="Y102">
            <v>0</v>
          </cell>
        </row>
        <row r="103">
          <cell r="L103" t="str">
            <v>-</v>
          </cell>
          <cell r="Q103" t="str">
            <v>-</v>
          </cell>
          <cell r="Y103" t="str">
            <v>-</v>
          </cell>
        </row>
        <row r="104">
          <cell r="L104">
            <v>28488660.443999998</v>
          </cell>
          <cell r="Q104" t="e">
            <v>#REF!</v>
          </cell>
          <cell r="Y104">
            <v>15679225.751</v>
          </cell>
        </row>
        <row r="105">
          <cell r="L105" t="str">
            <v>-</v>
          </cell>
          <cell r="Q105" t="str">
            <v>-</v>
          </cell>
          <cell r="Y105" t="str">
            <v>-</v>
          </cell>
        </row>
        <row r="112">
          <cell r="O112" t="str">
            <v>||\027\033\068</v>
          </cell>
        </row>
        <row r="118">
          <cell r="D118" t="e">
            <v>#REF!</v>
          </cell>
        </row>
        <row r="119">
          <cell r="D119" t="e">
            <v>#REF!</v>
          </cell>
        </row>
        <row r="120">
          <cell r="D120" t="e">
            <v>#REF!</v>
          </cell>
        </row>
        <row r="121">
          <cell r="D121" t="e">
            <v>#REF!</v>
          </cell>
        </row>
        <row r="122">
          <cell r="D122" t="e">
            <v>#REF!</v>
          </cell>
        </row>
        <row r="123">
          <cell r="D123" t="e">
            <v>#REF!</v>
          </cell>
        </row>
        <row r="124">
          <cell r="D124" t="e">
            <v>#REF!</v>
          </cell>
        </row>
        <row r="125">
          <cell r="D125" t="e">
            <v>#REF!</v>
          </cell>
        </row>
        <row r="126">
          <cell r="D126" t="e">
            <v>#REF!</v>
          </cell>
        </row>
        <row r="127">
          <cell r="D127" t="e">
            <v>#REF!</v>
          </cell>
        </row>
        <row r="128">
          <cell r="D128" t="e">
            <v>#REF!</v>
          </cell>
        </row>
        <row r="129">
          <cell r="D129" t="e">
            <v>#REF!</v>
          </cell>
        </row>
        <row r="130">
          <cell r="D130" t="e">
            <v>#REF!</v>
          </cell>
        </row>
        <row r="131">
          <cell r="D131" t="e">
            <v>#REF!</v>
          </cell>
        </row>
        <row r="132">
          <cell r="D132" t="e">
            <v>#REF!</v>
          </cell>
        </row>
        <row r="133">
          <cell r="D133" t="e">
            <v>#REF!</v>
          </cell>
        </row>
        <row r="134">
          <cell r="D134" t="e">
            <v>#REF!</v>
          </cell>
        </row>
        <row r="135">
          <cell r="D135" t="e">
            <v>#REF!</v>
          </cell>
        </row>
        <row r="136">
          <cell r="D136" t="e">
            <v>#REF!</v>
          </cell>
        </row>
        <row r="137">
          <cell r="D137" t="e">
            <v>#REF!</v>
          </cell>
        </row>
        <row r="138">
          <cell r="D138" t="e">
            <v>#REF!</v>
          </cell>
        </row>
        <row r="139">
          <cell r="D139" t="e">
            <v>#REF!</v>
          </cell>
        </row>
        <row r="140">
          <cell r="D140" t="e">
            <v>#REF!</v>
          </cell>
        </row>
        <row r="141">
          <cell r="D141" t="e">
            <v>#REF!</v>
          </cell>
        </row>
        <row r="142">
          <cell r="D142" t="e">
            <v>#REF!</v>
          </cell>
        </row>
        <row r="143">
          <cell r="D143" t="e">
            <v>#REF!</v>
          </cell>
        </row>
        <row r="144">
          <cell r="D144" t="e">
            <v>#REF!</v>
          </cell>
        </row>
        <row r="145">
          <cell r="D145" t="e">
            <v>#REF!</v>
          </cell>
        </row>
        <row r="146">
          <cell r="D146" t="e">
            <v>#REF!</v>
          </cell>
        </row>
        <row r="147">
          <cell r="D147" t="e">
            <v>#REF!</v>
          </cell>
        </row>
        <row r="148">
          <cell r="D148" t="e">
            <v>#REF!</v>
          </cell>
        </row>
        <row r="150">
          <cell r="D150" t="e">
            <v>#REF!</v>
          </cell>
        </row>
        <row r="151">
          <cell r="D151" t="e">
            <v>#REF!</v>
          </cell>
        </row>
        <row r="152">
          <cell r="D152" t="e">
            <v>#REF!</v>
          </cell>
        </row>
        <row r="153">
          <cell r="D153" t="e">
            <v>#REF!</v>
          </cell>
        </row>
        <row r="154">
          <cell r="D154" t="e">
            <v>#REF!</v>
          </cell>
        </row>
        <row r="155">
          <cell r="D155" t="e">
            <v>#REF!</v>
          </cell>
        </row>
        <row r="156">
          <cell r="D156" t="e">
            <v>#REF!</v>
          </cell>
        </row>
        <row r="157">
          <cell r="D157" t="e">
            <v>#REF!</v>
          </cell>
        </row>
        <row r="158">
          <cell r="D158" t="e">
            <v>#REF!</v>
          </cell>
        </row>
        <row r="159">
          <cell r="D159" t="e">
            <v>#REF!</v>
          </cell>
        </row>
        <row r="160">
          <cell r="D160" t="e">
            <v>#REF!</v>
          </cell>
        </row>
        <row r="161">
          <cell r="D161" t="e">
            <v>#REF!</v>
          </cell>
        </row>
        <row r="162">
          <cell r="D162" t="e">
            <v>#REF!</v>
          </cell>
        </row>
        <row r="163">
          <cell r="D163" t="e">
            <v>#REF!</v>
          </cell>
        </row>
        <row r="164">
          <cell r="D164" t="e">
            <v>#REF!</v>
          </cell>
        </row>
        <row r="165">
          <cell r="D165" t="e">
            <v>#REF!</v>
          </cell>
        </row>
        <row r="166">
          <cell r="D166" t="e">
            <v>#REF!</v>
          </cell>
        </row>
        <row r="167">
          <cell r="D167" t="e">
            <v>#REF!</v>
          </cell>
        </row>
        <row r="168">
          <cell r="D168" t="e">
            <v>#REF!</v>
          </cell>
        </row>
        <row r="169">
          <cell r="D169" t="e">
            <v>#REF!</v>
          </cell>
        </row>
        <row r="170">
          <cell r="D170" t="e">
            <v>#REF!</v>
          </cell>
        </row>
        <row r="171">
          <cell r="D171" t="e">
            <v>#REF!</v>
          </cell>
        </row>
        <row r="172">
          <cell r="D172" t="e">
            <v>#REF!</v>
          </cell>
        </row>
        <row r="173">
          <cell r="D173" t="e">
            <v>#REF!</v>
          </cell>
        </row>
        <row r="174">
          <cell r="D174" t="e">
            <v>#REF!</v>
          </cell>
        </row>
        <row r="175">
          <cell r="D175" t="e">
            <v>#REF!</v>
          </cell>
        </row>
        <row r="176">
          <cell r="D176" t="e">
            <v>#REF!</v>
          </cell>
        </row>
        <row r="177">
          <cell r="D177" t="e">
            <v>#REF!</v>
          </cell>
        </row>
        <row r="179">
          <cell r="D179" t="e">
            <v>#REF!</v>
          </cell>
        </row>
        <row r="180">
          <cell r="D180" t="e">
            <v>#REF!</v>
          </cell>
        </row>
        <row r="181">
          <cell r="D181" t="e">
            <v>#REF!</v>
          </cell>
        </row>
        <row r="182">
          <cell r="D182" t="e">
            <v>#REF!</v>
          </cell>
        </row>
        <row r="183">
          <cell r="D183" t="e">
            <v>#REF!</v>
          </cell>
        </row>
        <row r="184">
          <cell r="D184" t="e">
            <v>#REF!</v>
          </cell>
        </row>
        <row r="185">
          <cell r="D185" t="e">
            <v>#REF!</v>
          </cell>
        </row>
        <row r="186">
          <cell r="D186" t="e">
            <v>#REF!</v>
          </cell>
        </row>
        <row r="187">
          <cell r="D187" t="e">
            <v>#REF!</v>
          </cell>
        </row>
        <row r="188">
          <cell r="D188" t="e">
            <v>#REF!</v>
          </cell>
        </row>
        <row r="189">
          <cell r="D189" t="e">
            <v>#REF!</v>
          </cell>
        </row>
        <row r="190">
          <cell r="D190" t="e">
            <v>#REF!</v>
          </cell>
        </row>
        <row r="191">
          <cell r="D191" t="e">
            <v>#REF!</v>
          </cell>
        </row>
        <row r="192">
          <cell r="D192" t="e">
            <v>#REF!</v>
          </cell>
        </row>
        <row r="193">
          <cell r="D193" t="e">
            <v>#REF!</v>
          </cell>
        </row>
        <row r="194">
          <cell r="D194" t="e">
            <v>#REF!</v>
          </cell>
        </row>
        <row r="195">
          <cell r="D195" t="e">
            <v>#REF!</v>
          </cell>
        </row>
        <row r="196">
          <cell r="D196" t="e">
            <v>#REF!</v>
          </cell>
        </row>
        <row r="197">
          <cell r="D197" t="e">
            <v>#REF!</v>
          </cell>
        </row>
        <row r="199">
          <cell r="D199" t="str">
            <v>-</v>
          </cell>
        </row>
        <row r="200">
          <cell r="D200" t="e">
            <v>#REF!</v>
          </cell>
        </row>
        <row r="201">
          <cell r="D201" t="str">
            <v>-</v>
          </cell>
        </row>
        <row r="202">
          <cell r="D202" t="e">
            <v>#REF!</v>
          </cell>
        </row>
        <row r="203">
          <cell r="D203" t="str">
            <v>-</v>
          </cell>
        </row>
        <row r="204">
          <cell r="D204" t="e">
            <v>#REF!</v>
          </cell>
        </row>
        <row r="205">
          <cell r="D205" t="str">
            <v>-</v>
          </cell>
        </row>
        <row r="206">
          <cell r="D206" t="e">
            <v>#REF!</v>
          </cell>
        </row>
        <row r="207">
          <cell r="D207" t="str">
            <v>-</v>
          </cell>
        </row>
        <row r="214">
          <cell r="A214" t="str">
            <v>||\027\033\068</v>
          </cell>
        </row>
        <row r="216">
          <cell r="O216" t="str">
            <v>||\027\033\068</v>
          </cell>
        </row>
        <row r="224">
          <cell r="L224">
            <v>750000000</v>
          </cell>
          <cell r="S224">
            <v>0</v>
          </cell>
          <cell r="Y224">
            <v>4374151.68</v>
          </cell>
        </row>
        <row r="225">
          <cell r="L225">
            <v>14604455.57</v>
          </cell>
          <cell r="S225">
            <v>238769.23000000004</v>
          </cell>
          <cell r="Y225">
            <v>5513382.3399999999</v>
          </cell>
        </row>
        <row r="226">
          <cell r="L226">
            <v>0</v>
          </cell>
          <cell r="S226">
            <v>0</v>
          </cell>
          <cell r="Y226">
            <v>0</v>
          </cell>
        </row>
        <row r="227">
          <cell r="L227">
            <v>29989300</v>
          </cell>
          <cell r="S227">
            <v>0</v>
          </cell>
          <cell r="Y227">
            <v>275250074.12</v>
          </cell>
        </row>
        <row r="228">
          <cell r="L228">
            <v>5999828.9000000004</v>
          </cell>
          <cell r="S228">
            <v>0</v>
          </cell>
          <cell r="Y228">
            <v>0</v>
          </cell>
        </row>
        <row r="229">
          <cell r="L229">
            <v>78499347.74000001</v>
          </cell>
          <cell r="S229">
            <v>151235.01999999999</v>
          </cell>
          <cell r="Y229">
            <v>3645022.96</v>
          </cell>
        </row>
        <row r="230">
          <cell r="L230">
            <v>76537584</v>
          </cell>
          <cell r="S230">
            <v>603115</v>
          </cell>
          <cell r="Y230">
            <v>1361618.22</v>
          </cell>
        </row>
        <row r="231">
          <cell r="L231">
            <v>0</v>
          </cell>
          <cell r="S231">
            <v>276139.32999999996</v>
          </cell>
          <cell r="Y231">
            <v>-113225000.62</v>
          </cell>
        </row>
        <row r="232">
          <cell r="L232">
            <v>0</v>
          </cell>
          <cell r="S232">
            <v>0</v>
          </cell>
          <cell r="Y232">
            <v>0</v>
          </cell>
        </row>
        <row r="233">
          <cell r="L233">
            <v>0</v>
          </cell>
          <cell r="S233">
            <v>0</v>
          </cell>
          <cell r="Y233">
            <v>0</v>
          </cell>
        </row>
        <row r="234">
          <cell r="L234">
            <v>0</v>
          </cell>
          <cell r="S234">
            <v>48797.74</v>
          </cell>
          <cell r="Y234">
            <v>225408968.98999998</v>
          </cell>
        </row>
        <row r="235">
          <cell r="L235">
            <v>0</v>
          </cell>
          <cell r="S235">
            <v>0</v>
          </cell>
          <cell r="Y235">
            <v>920551908.37</v>
          </cell>
        </row>
        <row r="236">
          <cell r="L236">
            <v>0</v>
          </cell>
          <cell r="S236">
            <v>0</v>
          </cell>
          <cell r="Y236">
            <v>0</v>
          </cell>
        </row>
        <row r="237">
          <cell r="L237">
            <v>0</v>
          </cell>
          <cell r="S237">
            <v>34066668.909999996</v>
          </cell>
          <cell r="Y237">
            <v>0</v>
          </cell>
        </row>
        <row r="238">
          <cell r="L238">
            <v>152302001.98000002</v>
          </cell>
          <cell r="S238">
            <v>0</v>
          </cell>
          <cell r="Y238">
            <v>0</v>
          </cell>
        </row>
        <row r="239">
          <cell r="L239">
            <v>7035630.8899999997</v>
          </cell>
          <cell r="S239">
            <v>0</v>
          </cell>
          <cell r="Y239">
            <v>0</v>
          </cell>
        </row>
        <row r="240">
          <cell r="L240">
            <v>153771425.58000001</v>
          </cell>
          <cell r="S240">
            <v>3564184.18</v>
          </cell>
          <cell r="Y240">
            <v>1060405805.58</v>
          </cell>
        </row>
        <row r="241">
          <cell r="L241">
            <v>0</v>
          </cell>
          <cell r="S241">
            <v>0</v>
          </cell>
          <cell r="Y241">
            <v>0</v>
          </cell>
        </row>
        <row r="242">
          <cell r="L242">
            <v>13405415.34</v>
          </cell>
          <cell r="S242">
            <v>0</v>
          </cell>
          <cell r="Y242">
            <v>0</v>
          </cell>
        </row>
        <row r="243">
          <cell r="L243">
            <v>28733787.93</v>
          </cell>
          <cell r="S243">
            <v>0</v>
          </cell>
          <cell r="Y243">
            <v>0</v>
          </cell>
        </row>
        <row r="244">
          <cell r="L244">
            <v>2923956.48</v>
          </cell>
          <cell r="S244">
            <v>734145.86</v>
          </cell>
          <cell r="Y244">
            <v>1022124.63</v>
          </cell>
        </row>
        <row r="245">
          <cell r="L245">
            <v>8564534.7400000002</v>
          </cell>
          <cell r="S245">
            <v>12152720.940000001</v>
          </cell>
          <cell r="Y245">
            <v>14292870.289999999</v>
          </cell>
        </row>
        <row r="246">
          <cell r="L246">
            <v>0</v>
          </cell>
          <cell r="S246">
            <v>0</v>
          </cell>
          <cell r="Y246">
            <v>0</v>
          </cell>
        </row>
        <row r="247">
          <cell r="L247">
            <v>0</v>
          </cell>
          <cell r="S247">
            <v>0</v>
          </cell>
          <cell r="Y247">
            <v>0</v>
          </cell>
        </row>
        <row r="248">
          <cell r="L248">
            <v>0</v>
          </cell>
          <cell r="S248">
            <v>0</v>
          </cell>
          <cell r="Y248">
            <v>0</v>
          </cell>
        </row>
        <row r="249">
          <cell r="L249">
            <v>0</v>
          </cell>
          <cell r="S249">
            <v>0</v>
          </cell>
          <cell r="Y249">
            <v>2373570.48</v>
          </cell>
        </row>
        <row r="250">
          <cell r="L250">
            <v>0</v>
          </cell>
          <cell r="S250">
            <v>0</v>
          </cell>
          <cell r="Y250">
            <v>0</v>
          </cell>
        </row>
        <row r="251">
          <cell r="L251">
            <v>0</v>
          </cell>
          <cell r="S251">
            <v>0</v>
          </cell>
          <cell r="Y251">
            <v>0</v>
          </cell>
        </row>
        <row r="252">
          <cell r="L252">
            <v>0</v>
          </cell>
          <cell r="S252">
            <v>0</v>
          </cell>
          <cell r="Y252">
            <v>0</v>
          </cell>
        </row>
        <row r="253">
          <cell r="L253">
            <v>0</v>
          </cell>
          <cell r="S253">
            <v>0</v>
          </cell>
          <cell r="Y253">
            <v>0</v>
          </cell>
        </row>
        <row r="254">
          <cell r="L254">
            <v>0</v>
          </cell>
        </row>
        <row r="255">
          <cell r="L255">
            <v>0</v>
          </cell>
          <cell r="S255">
            <v>0</v>
          </cell>
          <cell r="Y255">
            <v>0</v>
          </cell>
        </row>
        <row r="256">
          <cell r="L256">
            <v>262079774.88000003</v>
          </cell>
          <cell r="S256">
            <v>565164.27</v>
          </cell>
          <cell r="Y256">
            <v>51089902.710000001</v>
          </cell>
        </row>
        <row r="257">
          <cell r="L257">
            <v>79878373.549999997</v>
          </cell>
          <cell r="S257">
            <v>92772.11</v>
          </cell>
          <cell r="Y257">
            <v>4039736.7600000002</v>
          </cell>
        </row>
        <row r="258">
          <cell r="L258">
            <v>0</v>
          </cell>
          <cell r="S258">
            <v>17631069.439999998</v>
          </cell>
          <cell r="Y258">
            <v>85487441.75999999</v>
          </cell>
        </row>
        <row r="259">
          <cell r="L259">
            <v>403801973.25</v>
          </cell>
          <cell r="S259">
            <v>0</v>
          </cell>
          <cell r="Y259">
            <v>0</v>
          </cell>
        </row>
        <row r="260">
          <cell r="L260">
            <v>0</v>
          </cell>
          <cell r="S260">
            <v>0</v>
          </cell>
          <cell r="Y260">
            <v>0</v>
          </cell>
        </row>
        <row r="261">
          <cell r="L261">
            <v>468410157.93000001</v>
          </cell>
          <cell r="S261">
            <v>0</v>
          </cell>
          <cell r="Y261">
            <v>0</v>
          </cell>
        </row>
        <row r="262">
          <cell r="L262">
            <v>0</v>
          </cell>
          <cell r="S262">
            <v>980981.79</v>
          </cell>
          <cell r="Y262">
            <v>0</v>
          </cell>
        </row>
        <row r="263">
          <cell r="L263">
            <v>0</v>
          </cell>
          <cell r="S263">
            <v>103160.37</v>
          </cell>
          <cell r="Y263">
            <v>149076.46</v>
          </cell>
        </row>
        <row r="264">
          <cell r="L264">
            <v>4647803.25</v>
          </cell>
          <cell r="S264">
            <v>0</v>
          </cell>
          <cell r="Y264">
            <v>0</v>
          </cell>
        </row>
        <row r="265">
          <cell r="L265">
            <v>1692190.54</v>
          </cell>
          <cell r="S265">
            <v>0</v>
          </cell>
          <cell r="Y265">
            <v>0</v>
          </cell>
        </row>
        <row r="266">
          <cell r="L266">
            <v>711810</v>
          </cell>
          <cell r="S266">
            <v>0</v>
          </cell>
          <cell r="Y266">
            <v>0</v>
          </cell>
        </row>
        <row r="267">
          <cell r="L267">
            <v>62829.71</v>
          </cell>
          <cell r="S267">
            <v>0</v>
          </cell>
          <cell r="Y267">
            <v>0</v>
          </cell>
        </row>
        <row r="268">
          <cell r="L268">
            <v>0</v>
          </cell>
          <cell r="S268">
            <v>293177.40999999997</v>
          </cell>
          <cell r="Y268">
            <v>0</v>
          </cell>
        </row>
        <row r="269">
          <cell r="L269">
            <v>141740</v>
          </cell>
          <cell r="S269">
            <v>147742.65000000002</v>
          </cell>
          <cell r="Y269">
            <v>7773113.0700000003</v>
          </cell>
        </row>
        <row r="270">
          <cell r="L270">
            <v>17670806.59</v>
          </cell>
          <cell r="S270">
            <v>9367.27</v>
          </cell>
          <cell r="Y270">
            <v>484761.88</v>
          </cell>
        </row>
        <row r="271">
          <cell r="L271">
            <v>27223197.699999999</v>
          </cell>
          <cell r="S271">
            <v>1889.69</v>
          </cell>
          <cell r="Y271">
            <v>0</v>
          </cell>
        </row>
        <row r="272">
          <cell r="L272">
            <v>0</v>
          </cell>
          <cell r="S272">
            <v>900</v>
          </cell>
          <cell r="Y272">
            <v>9850</v>
          </cell>
        </row>
        <row r="273">
          <cell r="L273">
            <v>0</v>
          </cell>
          <cell r="S273">
            <v>102405.73</v>
          </cell>
          <cell r="Y273">
            <v>0</v>
          </cell>
        </row>
        <row r="274">
          <cell r="L274">
            <v>0</v>
          </cell>
          <cell r="S274">
            <v>0</v>
          </cell>
          <cell r="Y274">
            <v>0</v>
          </cell>
        </row>
        <row r="275">
          <cell r="L275">
            <v>0</v>
          </cell>
          <cell r="S275">
            <v>0</v>
          </cell>
          <cell r="Y275">
            <v>0</v>
          </cell>
        </row>
        <row r="276">
          <cell r="L276">
            <v>0</v>
          </cell>
          <cell r="S276">
            <v>0</v>
          </cell>
          <cell r="Y276">
            <v>0</v>
          </cell>
        </row>
        <row r="277">
          <cell r="L277">
            <v>0</v>
          </cell>
          <cell r="S277">
            <v>0</v>
          </cell>
          <cell r="Y277">
            <v>0</v>
          </cell>
        </row>
        <row r="278">
          <cell r="L278">
            <v>27988442.219999999</v>
          </cell>
          <cell r="S278">
            <v>37706.78</v>
          </cell>
          <cell r="Y278">
            <v>0</v>
          </cell>
        </row>
        <row r="279">
          <cell r="L279">
            <v>2005965</v>
          </cell>
          <cell r="S279">
            <v>0</v>
          </cell>
          <cell r="Y279">
            <v>0</v>
          </cell>
        </row>
        <row r="280">
          <cell r="L280">
            <v>0</v>
          </cell>
          <cell r="S280">
            <v>0</v>
          </cell>
          <cell r="Y280">
            <v>0</v>
          </cell>
        </row>
        <row r="281">
          <cell r="L281">
            <v>11500000</v>
          </cell>
          <cell r="S281">
            <v>4336</v>
          </cell>
          <cell r="Y281">
            <v>59337.89</v>
          </cell>
        </row>
        <row r="282">
          <cell r="L282">
            <v>0</v>
          </cell>
          <cell r="S282">
            <v>0</v>
          </cell>
          <cell r="Y282">
            <v>0</v>
          </cell>
        </row>
        <row r="283">
          <cell r="L283">
            <v>0</v>
          </cell>
          <cell r="S283">
            <v>0</v>
          </cell>
          <cell r="Y283">
            <v>167240</v>
          </cell>
        </row>
        <row r="285">
          <cell r="L285">
            <v>0</v>
          </cell>
          <cell r="S285">
            <v>-90</v>
          </cell>
          <cell r="Y285">
            <v>7980</v>
          </cell>
        </row>
        <row r="286">
          <cell r="L286">
            <v>0</v>
          </cell>
          <cell r="S286">
            <v>4707.92</v>
          </cell>
          <cell r="Y286">
            <v>1060733.5</v>
          </cell>
        </row>
        <row r="287">
          <cell r="L287">
            <v>0</v>
          </cell>
          <cell r="S287">
            <v>0</v>
          </cell>
          <cell r="Y287">
            <v>1033945.04</v>
          </cell>
        </row>
        <row r="288">
          <cell r="L288">
            <v>0</v>
          </cell>
          <cell r="S288">
            <v>681241.71</v>
          </cell>
          <cell r="Y288">
            <v>39695438.049999997</v>
          </cell>
        </row>
        <row r="289">
          <cell r="L289">
            <v>0</v>
          </cell>
          <cell r="S289">
            <v>0</v>
          </cell>
          <cell r="Y289">
            <v>0</v>
          </cell>
        </row>
        <row r="290">
          <cell r="L290">
            <v>0</v>
          </cell>
          <cell r="S290">
            <v>0</v>
          </cell>
          <cell r="Y290">
            <v>0</v>
          </cell>
        </row>
        <row r="291">
          <cell r="L291">
            <v>0</v>
          </cell>
          <cell r="S291">
            <v>0</v>
          </cell>
          <cell r="Y291">
            <v>0</v>
          </cell>
        </row>
        <row r="292">
          <cell r="L292">
            <v>0</v>
          </cell>
          <cell r="S292">
            <v>0</v>
          </cell>
          <cell r="Y292">
            <v>0</v>
          </cell>
        </row>
        <row r="293">
          <cell r="L293">
            <v>0</v>
          </cell>
          <cell r="S293">
            <v>0</v>
          </cell>
          <cell r="Y293">
            <v>0</v>
          </cell>
        </row>
        <row r="294">
          <cell r="L294">
            <v>34556566.200000003</v>
          </cell>
          <cell r="S294">
            <v>1567851.3699999999</v>
          </cell>
          <cell r="Y294">
            <v>34556566.200000003</v>
          </cell>
        </row>
        <row r="295">
          <cell r="L295">
            <v>23431506</v>
          </cell>
          <cell r="S295">
            <v>50966.06</v>
          </cell>
          <cell r="Y295">
            <v>23431506</v>
          </cell>
        </row>
        <row r="296">
          <cell r="L296">
            <v>43474827</v>
          </cell>
          <cell r="S296">
            <v>0</v>
          </cell>
          <cell r="Y296">
            <v>43474827</v>
          </cell>
        </row>
        <row r="297">
          <cell r="L297">
            <v>0</v>
          </cell>
          <cell r="S297">
            <v>0</v>
          </cell>
          <cell r="Y297">
            <v>0</v>
          </cell>
        </row>
        <row r="298">
          <cell r="L298">
            <v>0</v>
          </cell>
          <cell r="S298">
            <v>0</v>
          </cell>
          <cell r="Y298">
            <v>0</v>
          </cell>
        </row>
        <row r="299">
          <cell r="L299">
            <v>0</v>
          </cell>
          <cell r="S299">
            <v>0</v>
          </cell>
          <cell r="Y299">
            <v>0</v>
          </cell>
        </row>
        <row r="300">
          <cell r="L300">
            <v>5736068.7800000003</v>
          </cell>
          <cell r="S300">
            <v>5525546.4000000004</v>
          </cell>
          <cell r="Y300">
            <v>1354351.37</v>
          </cell>
        </row>
        <row r="301">
          <cell r="L301">
            <v>0</v>
          </cell>
          <cell r="S301">
            <v>0</v>
          </cell>
          <cell r="Y301">
            <v>0</v>
          </cell>
        </row>
        <row r="302">
          <cell r="L302">
            <v>205117839.66</v>
          </cell>
          <cell r="S302">
            <v>2020487.96</v>
          </cell>
          <cell r="Y302">
            <v>247648836.68000004</v>
          </cell>
        </row>
        <row r="303">
          <cell r="L303">
            <v>0</v>
          </cell>
          <cell r="S303">
            <v>0</v>
          </cell>
          <cell r="Y303">
            <v>0</v>
          </cell>
        </row>
        <row r="305">
          <cell r="L305" t="str">
            <v>-</v>
          </cell>
          <cell r="S305" t="str">
            <v>-</v>
          </cell>
          <cell r="Y305" t="str">
            <v>-</v>
          </cell>
        </row>
        <row r="306">
          <cell r="L306">
            <v>2942499141.4099998</v>
          </cell>
          <cell r="S306">
            <v>81657161.140000015</v>
          </cell>
          <cell r="Y306">
            <v>2942499141.4100003</v>
          </cell>
        </row>
        <row r="307">
          <cell r="L307" t="str">
            <v>-</v>
          </cell>
          <cell r="S307" t="str">
            <v>-</v>
          </cell>
          <cell r="Y307" t="str">
            <v>-</v>
          </cell>
        </row>
        <row r="308">
          <cell r="L308">
            <v>2942499141.4100003</v>
          </cell>
          <cell r="S308">
            <v>81657161.140000001</v>
          </cell>
          <cell r="Y308">
            <v>2942499141.4100003</v>
          </cell>
        </row>
        <row r="309">
          <cell r="L309" t="str">
            <v>-</v>
          </cell>
          <cell r="S309" t="str">
            <v>-</v>
          </cell>
          <cell r="Y309" t="str">
            <v>-</v>
          </cell>
        </row>
        <row r="310">
          <cell r="L310">
            <v>0</v>
          </cell>
          <cell r="S310">
            <v>0</v>
          </cell>
          <cell r="Y310">
            <v>0</v>
          </cell>
        </row>
        <row r="311">
          <cell r="L311" t="str">
            <v>-</v>
          </cell>
          <cell r="S311" t="str">
            <v>-</v>
          </cell>
          <cell r="Y311" t="str">
            <v>-</v>
          </cell>
        </row>
        <row r="312">
          <cell r="L312">
            <v>1580907032.55</v>
          </cell>
          <cell r="S312">
            <v>32260014.779999997</v>
          </cell>
          <cell r="Y312">
            <v>158454723.09</v>
          </cell>
        </row>
        <row r="313">
          <cell r="L313" t="str">
            <v>-</v>
          </cell>
          <cell r="S313" t="str">
            <v>-</v>
          </cell>
          <cell r="Y313" t="str">
            <v>-</v>
          </cell>
        </row>
        <row r="318">
          <cell r="A318" t="str">
            <v>||\027\033\068</v>
          </cell>
        </row>
        <row r="320">
          <cell r="O320" t="str">
            <v>||\027\033\068</v>
          </cell>
        </row>
        <row r="326">
          <cell r="F326">
            <v>0</v>
          </cell>
        </row>
        <row r="327">
          <cell r="F327">
            <v>0</v>
          </cell>
        </row>
        <row r="328">
          <cell r="F328">
            <v>0</v>
          </cell>
          <cell r="U328">
            <v>86162.44</v>
          </cell>
        </row>
        <row r="329">
          <cell r="F329">
            <v>0</v>
          </cell>
          <cell r="S329">
            <v>16039</v>
          </cell>
          <cell r="U329">
            <v>1264365.1600000001</v>
          </cell>
        </row>
        <row r="330">
          <cell r="F330">
            <v>0</v>
          </cell>
          <cell r="S330">
            <v>20606965.59</v>
          </cell>
        </row>
        <row r="331">
          <cell r="F331">
            <v>17899376.960000001</v>
          </cell>
        </row>
        <row r="332">
          <cell r="F332">
            <v>0</v>
          </cell>
        </row>
        <row r="333">
          <cell r="F333">
            <v>2028780.7</v>
          </cell>
          <cell r="Q333">
            <v>530671.75</v>
          </cell>
          <cell r="U333">
            <v>6108409.0300000003</v>
          </cell>
        </row>
        <row r="334">
          <cell r="F334">
            <v>1401306.62</v>
          </cell>
          <cell r="Q334">
            <v>1305627.23</v>
          </cell>
          <cell r="U334">
            <v>212610.86</v>
          </cell>
        </row>
        <row r="335">
          <cell r="F335">
            <v>0</v>
          </cell>
          <cell r="S335">
            <v>12448.39</v>
          </cell>
          <cell r="U335">
            <v>259984.08</v>
          </cell>
        </row>
        <row r="336">
          <cell r="F336">
            <v>0</v>
          </cell>
        </row>
        <row r="337">
          <cell r="F337">
            <v>0</v>
          </cell>
        </row>
        <row r="338">
          <cell r="F338">
            <v>0</v>
          </cell>
          <cell r="S338">
            <v>240664.9</v>
          </cell>
          <cell r="U338">
            <v>796103.85999999987</v>
          </cell>
        </row>
        <row r="339">
          <cell r="F339">
            <v>0</v>
          </cell>
          <cell r="Q339">
            <v>31000000</v>
          </cell>
          <cell r="U339">
            <v>82952873</v>
          </cell>
        </row>
        <row r="340">
          <cell r="F340">
            <v>1970946.72</v>
          </cell>
        </row>
        <row r="341">
          <cell r="F341">
            <v>0</v>
          </cell>
          <cell r="Q341">
            <v>2500000</v>
          </cell>
          <cell r="U341">
            <v>78542994</v>
          </cell>
        </row>
        <row r="342">
          <cell r="F342">
            <v>151757.71000000002</v>
          </cell>
        </row>
        <row r="343">
          <cell r="F343">
            <v>0</v>
          </cell>
        </row>
        <row r="344">
          <cell r="F344">
            <v>2500</v>
          </cell>
          <cell r="S344">
            <v>74061550</v>
          </cell>
        </row>
        <row r="345">
          <cell r="F345">
            <v>5145</v>
          </cell>
        </row>
        <row r="346">
          <cell r="F346">
            <v>1207869.72</v>
          </cell>
        </row>
        <row r="347">
          <cell r="F347">
            <v>0</v>
          </cell>
        </row>
        <row r="348">
          <cell r="F348">
            <v>0</v>
          </cell>
          <cell r="S348">
            <v>544.37</v>
          </cell>
          <cell r="U348">
            <v>343410.21</v>
          </cell>
        </row>
        <row r="349">
          <cell r="F349">
            <v>35017.230000000003</v>
          </cell>
          <cell r="Q349">
            <v>1397920.19</v>
          </cell>
          <cell r="S349">
            <v>9674129.5500000007</v>
          </cell>
          <cell r="U349">
            <v>15834994.460000001</v>
          </cell>
        </row>
        <row r="350">
          <cell r="F350">
            <v>0</v>
          </cell>
          <cell r="S350">
            <v>171205.06</v>
          </cell>
          <cell r="U350">
            <v>21684080.039999999</v>
          </cell>
        </row>
        <row r="351">
          <cell r="F351">
            <v>11198546.82</v>
          </cell>
        </row>
        <row r="352">
          <cell r="F352">
            <v>0</v>
          </cell>
          <cell r="Q352">
            <v>75000</v>
          </cell>
        </row>
        <row r="353">
          <cell r="F353">
            <v>552770.66</v>
          </cell>
          <cell r="S353">
            <v>1378370.61</v>
          </cell>
          <cell r="U353">
            <v>16863453.329999998</v>
          </cell>
        </row>
        <row r="354">
          <cell r="F354">
            <v>0</v>
          </cell>
        </row>
        <row r="355">
          <cell r="F355">
            <v>400000</v>
          </cell>
          <cell r="S355">
            <v>24632394.239999998</v>
          </cell>
        </row>
        <row r="356">
          <cell r="F356">
            <v>5111110.4399999995</v>
          </cell>
          <cell r="Q356">
            <v>1958540.1</v>
          </cell>
        </row>
        <row r="357">
          <cell r="F357">
            <v>0</v>
          </cell>
        </row>
        <row r="358">
          <cell r="F358">
            <v>7229415.0099999998</v>
          </cell>
        </row>
        <row r="359">
          <cell r="F359">
            <v>407251.85</v>
          </cell>
        </row>
        <row r="360">
          <cell r="F360">
            <v>0</v>
          </cell>
          <cell r="Q360">
            <v>195664.03</v>
          </cell>
          <cell r="U360">
            <v>2003040.44</v>
          </cell>
        </row>
        <row r="361">
          <cell r="F361">
            <v>7132467.4700000007</v>
          </cell>
          <cell r="Q361">
            <v>24973.42</v>
          </cell>
          <cell r="U361">
            <v>9615763.3800000008</v>
          </cell>
        </row>
        <row r="362">
          <cell r="F362">
            <v>0</v>
          </cell>
          <cell r="Q362">
            <v>3219015.49</v>
          </cell>
          <cell r="S362">
            <v>9404781.0399999991</v>
          </cell>
          <cell r="U362">
            <v>11011197.130000001</v>
          </cell>
        </row>
        <row r="363">
          <cell r="F363">
            <v>5336836.7699999996</v>
          </cell>
        </row>
        <row r="364">
          <cell r="F364">
            <v>0</v>
          </cell>
          <cell r="Q364">
            <v>2185691.7599999998</v>
          </cell>
          <cell r="S364">
            <v>141500</v>
          </cell>
          <cell r="U364">
            <v>1415654</v>
          </cell>
        </row>
        <row r="365">
          <cell r="F365">
            <v>0</v>
          </cell>
        </row>
        <row r="366">
          <cell r="F366">
            <v>0</v>
          </cell>
          <cell r="U366">
            <v>5042124</v>
          </cell>
        </row>
        <row r="367">
          <cell r="F367">
            <v>90736.88</v>
          </cell>
          <cell r="S367">
            <v>253187.86</v>
          </cell>
          <cell r="U367">
            <v>8000</v>
          </cell>
        </row>
        <row r="368">
          <cell r="F368">
            <v>0</v>
          </cell>
          <cell r="U368">
            <v>7543439.2999999998</v>
          </cell>
        </row>
        <row r="369">
          <cell r="F369">
            <v>0</v>
          </cell>
        </row>
        <row r="370">
          <cell r="F370">
            <v>0</v>
          </cell>
        </row>
        <row r="371">
          <cell r="F371">
            <v>0</v>
          </cell>
        </row>
        <row r="372">
          <cell r="F372">
            <v>0</v>
          </cell>
          <cell r="Q372">
            <v>510000</v>
          </cell>
          <cell r="S372">
            <v>71538</v>
          </cell>
        </row>
        <row r="373">
          <cell r="F373">
            <v>1191469.6700000002</v>
          </cell>
          <cell r="Q373">
            <v>201954.86</v>
          </cell>
          <cell r="S373">
            <v>5605.65</v>
          </cell>
          <cell r="U373">
            <v>509739</v>
          </cell>
        </row>
        <row r="374">
          <cell r="F374">
            <v>0</v>
          </cell>
          <cell r="Q374">
            <v>5830.59</v>
          </cell>
          <cell r="S374">
            <v>935.32</v>
          </cell>
          <cell r="U374">
            <v>178071.21</v>
          </cell>
        </row>
        <row r="375">
          <cell r="F375">
            <v>0</v>
          </cell>
          <cell r="S375">
            <v>301.39999999999998</v>
          </cell>
        </row>
        <row r="376">
          <cell r="F376">
            <v>0</v>
          </cell>
          <cell r="Q376">
            <v>32646.49</v>
          </cell>
          <cell r="S376">
            <v>40</v>
          </cell>
          <cell r="U376">
            <v>12000</v>
          </cell>
        </row>
        <row r="377">
          <cell r="F377">
            <v>0</v>
          </cell>
        </row>
        <row r="378">
          <cell r="F378">
            <v>0</v>
          </cell>
        </row>
        <row r="379">
          <cell r="F379">
            <v>0</v>
          </cell>
        </row>
        <row r="380">
          <cell r="F380">
            <v>6796131.7699999996</v>
          </cell>
        </row>
        <row r="381">
          <cell r="F381">
            <v>0</v>
          </cell>
        </row>
        <row r="382">
          <cell r="F382">
            <v>0</v>
          </cell>
          <cell r="Q382">
            <v>16478.580000000002</v>
          </cell>
        </row>
        <row r="383">
          <cell r="F383">
            <v>0</v>
          </cell>
          <cell r="Q383">
            <v>169481.3</v>
          </cell>
        </row>
        <row r="384">
          <cell r="F384">
            <v>0</v>
          </cell>
          <cell r="U384">
            <v>4298</v>
          </cell>
        </row>
        <row r="385">
          <cell r="F385">
            <v>0</v>
          </cell>
        </row>
        <row r="386">
          <cell r="Q386">
            <v>110854.95</v>
          </cell>
          <cell r="U386">
            <v>326499</v>
          </cell>
        </row>
        <row r="387">
          <cell r="F387">
            <v>0</v>
          </cell>
          <cell r="U387">
            <v>17500</v>
          </cell>
        </row>
        <row r="388">
          <cell r="F388">
            <v>0</v>
          </cell>
        </row>
        <row r="389">
          <cell r="F389">
            <v>0</v>
          </cell>
          <cell r="S389">
            <v>22.92</v>
          </cell>
        </row>
        <row r="390">
          <cell r="F390">
            <v>0</v>
          </cell>
        </row>
        <row r="391">
          <cell r="F391">
            <v>0</v>
          </cell>
        </row>
        <row r="392">
          <cell r="F392">
            <v>0</v>
          </cell>
          <cell r="Q392">
            <v>19826.55</v>
          </cell>
          <cell r="S392">
            <v>7489549</v>
          </cell>
          <cell r="U392">
            <v>493689</v>
          </cell>
        </row>
        <row r="393">
          <cell r="F393">
            <v>0</v>
          </cell>
        </row>
        <row r="394">
          <cell r="F394">
            <v>0</v>
          </cell>
        </row>
        <row r="395">
          <cell r="F395">
            <v>0</v>
          </cell>
        </row>
        <row r="396">
          <cell r="F396">
            <v>1567851.3699999999</v>
          </cell>
        </row>
        <row r="397">
          <cell r="F397">
            <v>50966.06</v>
          </cell>
          <cell r="Q397">
            <v>0</v>
          </cell>
          <cell r="S397">
            <v>0</v>
          </cell>
          <cell r="U397">
            <v>0</v>
          </cell>
        </row>
        <row r="398">
          <cell r="F398">
            <v>0</v>
          </cell>
          <cell r="Q398">
            <v>18620913</v>
          </cell>
          <cell r="S398">
            <v>764286</v>
          </cell>
          <cell r="U398">
            <v>9687850</v>
          </cell>
        </row>
        <row r="399">
          <cell r="F399">
            <v>0</v>
          </cell>
          <cell r="Q399">
            <v>0</v>
          </cell>
          <cell r="S399">
            <v>10062</v>
          </cell>
          <cell r="U399">
            <v>17466800</v>
          </cell>
        </row>
        <row r="400">
          <cell r="F400">
            <v>0</v>
          </cell>
          <cell r="Q400">
            <v>658954</v>
          </cell>
          <cell r="S400">
            <v>144537</v>
          </cell>
          <cell r="U400">
            <v>15131600</v>
          </cell>
        </row>
        <row r="401">
          <cell r="F401">
            <v>0</v>
          </cell>
          <cell r="Q401">
            <v>0</v>
          </cell>
          <cell r="S401">
            <v>0</v>
          </cell>
          <cell r="U401">
            <v>0</v>
          </cell>
        </row>
        <row r="402">
          <cell r="F402">
            <v>5552534.0899999999</v>
          </cell>
          <cell r="Q402">
            <v>19672</v>
          </cell>
          <cell r="S402">
            <v>0</v>
          </cell>
          <cell r="U402">
            <v>298500</v>
          </cell>
        </row>
        <row r="403">
          <cell r="F403">
            <v>0</v>
          </cell>
        </row>
        <row r="404">
          <cell r="F404">
            <v>4336371.62</v>
          </cell>
        </row>
        <row r="405">
          <cell r="F405">
            <v>0</v>
          </cell>
        </row>
        <row r="406">
          <cell r="Q406">
            <v>2445565.4300000002</v>
          </cell>
          <cell r="S406">
            <v>10306104.33</v>
          </cell>
          <cell r="U406">
            <v>17318973.57</v>
          </cell>
        </row>
        <row r="407">
          <cell r="F407" t="str">
            <v>-</v>
          </cell>
        </row>
        <row r="408">
          <cell r="F408">
            <v>81657161.140000015</v>
          </cell>
        </row>
        <row r="409">
          <cell r="F409" t="str">
            <v>-</v>
          </cell>
          <cell r="Q409" t="str">
            <v>-</v>
          </cell>
          <cell r="S409" t="str">
            <v>-</v>
          </cell>
          <cell r="U409" t="str">
            <v>-</v>
          </cell>
        </row>
        <row r="410">
          <cell r="F410">
            <v>81657161.140000001</v>
          </cell>
          <cell r="Q410">
            <v>67205281.720000014</v>
          </cell>
          <cell r="S410">
            <v>159386762.23000002</v>
          </cell>
          <cell r="U410">
            <v>323034178.50000006</v>
          </cell>
        </row>
        <row r="411">
          <cell r="F411" t="str">
            <v>-</v>
          </cell>
          <cell r="Q411" t="str">
            <v>-</v>
          </cell>
          <cell r="S411" t="str">
            <v>-</v>
          </cell>
          <cell r="U411" t="str">
            <v>-</v>
          </cell>
        </row>
        <row r="412">
          <cell r="F412">
            <v>0</v>
          </cell>
          <cell r="Q412">
            <v>67205281.719999999</v>
          </cell>
          <cell r="S412">
            <v>159386762.22999999</v>
          </cell>
          <cell r="U412">
            <v>323034178.5</v>
          </cell>
        </row>
        <row r="413">
          <cell r="F413" t="str">
            <v>-</v>
          </cell>
          <cell r="Q413" t="str">
            <v>-</v>
          </cell>
          <cell r="S413" t="str">
            <v>-</v>
          </cell>
          <cell r="U413" t="str">
            <v>-</v>
          </cell>
        </row>
        <row r="414">
          <cell r="F414">
            <v>40741635.400000006</v>
          </cell>
          <cell r="Q414">
            <v>0</v>
          </cell>
          <cell r="S414">
            <v>0</v>
          </cell>
          <cell r="U414">
            <v>0</v>
          </cell>
        </row>
        <row r="415">
          <cell r="F415" t="str">
            <v>-</v>
          </cell>
          <cell r="Q415" t="str">
            <v>-</v>
          </cell>
          <cell r="S415" t="str">
            <v>-</v>
          </cell>
          <cell r="U415" t="str">
            <v>-</v>
          </cell>
        </row>
        <row r="416">
          <cell r="Q416">
            <v>9056804.9900000002</v>
          </cell>
          <cell r="S416">
            <v>45656112.729999997</v>
          </cell>
          <cell r="U416">
            <v>91365156.289999992</v>
          </cell>
        </row>
        <row r="417">
          <cell r="Q417" t="str">
            <v>-</v>
          </cell>
          <cell r="S417" t="str">
            <v>-</v>
          </cell>
          <cell r="U417" t="str">
            <v>-</v>
          </cell>
        </row>
        <row r="421">
          <cell r="B421" t="str">
            <v xml:space="preserve">STATEMENT OF AFFAIRS  AS ON 31ST DECEMBER, 1998 </v>
          </cell>
        </row>
        <row r="422">
          <cell r="A422" t="str">
            <v>||\027\033\068</v>
          </cell>
          <cell r="P422" t="e">
            <v>#REF!</v>
          </cell>
        </row>
        <row r="423">
          <cell r="B423" t="str">
            <v>-</v>
          </cell>
          <cell r="D423" t="str">
            <v>-</v>
          </cell>
          <cell r="E423" t="str">
            <v>-</v>
          </cell>
          <cell r="F423" t="str">
            <v>-</v>
          </cell>
          <cell r="G423" t="str">
            <v>-</v>
          </cell>
          <cell r="H423" t="str">
            <v>-</v>
          </cell>
          <cell r="I423" t="str">
            <v>-</v>
          </cell>
          <cell r="P423" t="str">
            <v xml:space="preserve">STATEMENT OF AFFAIRS  AS ON 31ST DECEMBER, 1998 </v>
          </cell>
        </row>
        <row r="424">
          <cell r="D424" t="str">
            <v>MAIN BR NYK</v>
          </cell>
          <cell r="E424" t="str">
            <v>MAIN BR NYK</v>
          </cell>
          <cell r="F424" t="str">
            <v>E.P.Z.KARACHI</v>
          </cell>
          <cell r="G424" t="str">
            <v>E.P.Z.KARACHI</v>
          </cell>
          <cell r="H424" t="str">
            <v>DOHA</v>
          </cell>
          <cell r="I424" t="str">
            <v>DOHA</v>
          </cell>
        </row>
        <row r="425">
          <cell r="D425" t="str">
            <v>US DLRS</v>
          </cell>
          <cell r="E425" t="str">
            <v>PAK.RS.</v>
          </cell>
          <cell r="F425" t="str">
            <v>US DLRS</v>
          </cell>
          <cell r="G425" t="str">
            <v>PAK.RS.</v>
          </cell>
          <cell r="H425" t="str">
            <v>Q.RLYS</v>
          </cell>
          <cell r="I425" t="str">
            <v>PAK.RS.</v>
          </cell>
          <cell r="P425" t="str">
            <v>-</v>
          </cell>
          <cell r="Q425" t="str">
            <v>-</v>
          </cell>
        </row>
        <row r="426">
          <cell r="B426" t="str">
            <v>HEAD OF ACCOUNTS</v>
          </cell>
          <cell r="E426">
            <v>50.54</v>
          </cell>
          <cell r="G426">
            <v>50.54</v>
          </cell>
          <cell r="I426">
            <v>13.89</v>
          </cell>
          <cell r="Q426" t="str">
            <v>TOTAL ALL OVERSEAS</v>
          </cell>
        </row>
        <row r="427">
          <cell r="B427" t="str">
            <v>-</v>
          </cell>
          <cell r="D427" t="str">
            <v>-</v>
          </cell>
          <cell r="E427" t="str">
            <v>-</v>
          </cell>
          <cell r="F427" t="str">
            <v>-</v>
          </cell>
          <cell r="G427" t="str">
            <v>-</v>
          </cell>
          <cell r="H427" t="str">
            <v>-</v>
          </cell>
          <cell r="I427" t="str">
            <v>-</v>
          </cell>
          <cell r="Q427" t="str">
            <v>PAK.RS.</v>
          </cell>
        </row>
        <row r="428">
          <cell r="B428" t="str">
            <v>LIABILITIES</v>
          </cell>
          <cell r="P428" t="str">
            <v>HEAD OF ACCOUNTS</v>
          </cell>
          <cell r="Q428" t="str">
            <v>DECEMBER,1998</v>
          </cell>
        </row>
        <row r="429">
          <cell r="B429" t="str">
            <v>-----------</v>
          </cell>
          <cell r="P429" t="str">
            <v>-</v>
          </cell>
          <cell r="Q429" t="str">
            <v>-</v>
          </cell>
        </row>
        <row r="430">
          <cell r="B430" t="str">
            <v>CAPITAL</v>
          </cell>
          <cell r="E430">
            <v>0</v>
          </cell>
          <cell r="G430">
            <v>0</v>
          </cell>
          <cell r="H430">
            <v>10000000</v>
          </cell>
          <cell r="I430">
            <v>138900000</v>
          </cell>
          <cell r="P430" t="str">
            <v>A S S E T S</v>
          </cell>
        </row>
        <row r="431">
          <cell r="B431" t="str">
            <v>PROFIT (UNREMITTED)</v>
          </cell>
          <cell r="E431">
            <v>0</v>
          </cell>
          <cell r="G431">
            <v>0</v>
          </cell>
          <cell r="I431">
            <v>0</v>
          </cell>
          <cell r="P431" t="str">
            <v>-----------</v>
          </cell>
        </row>
        <row r="432">
          <cell r="B432" t="str">
            <v>RESERVE FOR CAPITAL REQUIREMENT</v>
          </cell>
          <cell r="E432">
            <v>0</v>
          </cell>
          <cell r="G432">
            <v>0</v>
          </cell>
          <cell r="H432">
            <v>8000000</v>
          </cell>
          <cell r="I432">
            <v>111120000</v>
          </cell>
          <cell r="P432" t="str">
            <v>FOREIGN CURRENCY ON HAND</v>
          </cell>
          <cell r="Q432" t="e">
            <v>#REF!</v>
          </cell>
        </row>
        <row r="433">
          <cell r="B433" t="str">
            <v>LEGAL RESERVE</v>
          </cell>
          <cell r="E433">
            <v>0</v>
          </cell>
          <cell r="G433">
            <v>0</v>
          </cell>
          <cell r="H433">
            <v>6196500</v>
          </cell>
          <cell r="I433">
            <v>86069385</v>
          </cell>
          <cell r="P433" t="str">
            <v>CASH ON HAND</v>
          </cell>
          <cell r="Q433" t="e">
            <v>#REF!</v>
          </cell>
        </row>
        <row r="434">
          <cell r="B434" t="str">
            <v>EXCHANGE FLUCTUATION RESERVE</v>
          </cell>
          <cell r="E434">
            <v>0</v>
          </cell>
          <cell r="F434">
            <v>-150056</v>
          </cell>
          <cell r="G434">
            <v>-7583830.2400000002</v>
          </cell>
          <cell r="I434">
            <v>0</v>
          </cell>
          <cell r="P434" t="e">
            <v>#REF!</v>
          </cell>
          <cell r="Q434" t="e">
            <v>#REF!</v>
          </cell>
        </row>
        <row r="435">
          <cell r="B435" t="str">
            <v>PROVISION FOR BAD DEBTS</v>
          </cell>
          <cell r="D435">
            <v>6095584.0599999996</v>
          </cell>
          <cell r="E435">
            <v>308070818.39239997</v>
          </cell>
          <cell r="F435">
            <v>6786000</v>
          </cell>
          <cell r="G435">
            <v>342964440</v>
          </cell>
          <cell r="H435">
            <v>14989292.26</v>
          </cell>
          <cell r="I435">
            <v>208201269.4914</v>
          </cell>
          <cell r="P435" t="e">
            <v>#REF!</v>
          </cell>
          <cell r="Q435" t="e">
            <v>#REF!</v>
          </cell>
        </row>
        <row r="436">
          <cell r="B436" t="str">
            <v>PROVISION L.G. CLAIM LOSSES</v>
          </cell>
          <cell r="E436">
            <v>0</v>
          </cell>
          <cell r="G436">
            <v>0</v>
          </cell>
          <cell r="I436">
            <v>0</v>
          </cell>
          <cell r="Q436" t="e">
            <v>#REF!</v>
          </cell>
        </row>
        <row r="437">
          <cell r="B437" t="str">
            <v>CAPITAL AND OTHER FUNDS - UK</v>
          </cell>
          <cell r="E437">
            <v>0</v>
          </cell>
          <cell r="G437">
            <v>0</v>
          </cell>
          <cell r="I437">
            <v>0</v>
          </cell>
          <cell r="P437" t="str">
            <v>BALANCE WITH CENTRAL BANK</v>
          </cell>
          <cell r="Q437" t="e">
            <v>#REF!</v>
          </cell>
        </row>
        <row r="438">
          <cell r="B438" t="str">
            <v>GENERAL PROVISION - UK</v>
          </cell>
          <cell r="E438">
            <v>0</v>
          </cell>
          <cell r="G438">
            <v>0</v>
          </cell>
          <cell r="I438">
            <v>0</v>
          </cell>
          <cell r="P438" t="str">
            <v>BALANCE WITH LOCAL/OTHER BANKS</v>
          </cell>
          <cell r="Q438" t="e">
            <v>#REF!</v>
          </cell>
        </row>
        <row r="439">
          <cell r="E439">
            <v>0</v>
          </cell>
          <cell r="G439">
            <v>0</v>
          </cell>
          <cell r="I439">
            <v>0</v>
          </cell>
          <cell r="P439" t="str">
            <v>BALANCE WITH FOREIGN BANKS</v>
          </cell>
          <cell r="Q439" t="e">
            <v>#REF!</v>
          </cell>
        </row>
        <row r="440">
          <cell r="E440">
            <v>0</v>
          </cell>
          <cell r="G440">
            <v>0</v>
          </cell>
          <cell r="I440">
            <v>0</v>
          </cell>
          <cell r="Q440" t="e">
            <v>#REF!</v>
          </cell>
        </row>
        <row r="441">
          <cell r="E441">
            <v>0</v>
          </cell>
          <cell r="G441">
            <v>0</v>
          </cell>
          <cell r="I441">
            <v>0</v>
          </cell>
          <cell r="P441" t="e">
            <v>#REF!</v>
          </cell>
          <cell r="Q441" t="e">
            <v>#REF!</v>
          </cell>
        </row>
        <row r="442">
          <cell r="B442" t="str">
            <v>D E P O S I T S</v>
          </cell>
          <cell r="E442">
            <v>0</v>
          </cell>
          <cell r="G442">
            <v>0</v>
          </cell>
          <cell r="I442">
            <v>0</v>
          </cell>
          <cell r="P442" t="e">
            <v>#REF!</v>
          </cell>
          <cell r="Q442" t="e">
            <v>#REF!</v>
          </cell>
        </row>
        <row r="443">
          <cell r="B443" t="str">
            <v>---------------</v>
          </cell>
          <cell r="E443">
            <v>0</v>
          </cell>
          <cell r="G443">
            <v>0</v>
          </cell>
          <cell r="I443">
            <v>0</v>
          </cell>
          <cell r="P443" t="e">
            <v>#REF!</v>
          </cell>
          <cell r="Q443" t="e">
            <v>#REF!</v>
          </cell>
        </row>
        <row r="444">
          <cell r="B444" t="str">
            <v>CURRENT DEPOSITS</v>
          </cell>
          <cell r="D444">
            <v>589061.12</v>
          </cell>
          <cell r="E444">
            <v>29771149.004799999</v>
          </cell>
          <cell r="F444">
            <v>258507.12</v>
          </cell>
          <cell r="G444">
            <v>13064949.844799999</v>
          </cell>
          <cell r="H444">
            <v>27426723.82</v>
          </cell>
          <cell r="I444">
            <v>380957193.85980004</v>
          </cell>
          <cell r="Q444" t="e">
            <v>#REF!</v>
          </cell>
        </row>
        <row r="445">
          <cell r="B445" t="str">
            <v>CALL DEPOSITS</v>
          </cell>
          <cell r="E445">
            <v>0</v>
          </cell>
          <cell r="G445">
            <v>0</v>
          </cell>
          <cell r="H445">
            <v>64844.52</v>
          </cell>
          <cell r="I445">
            <v>900690.38280000002</v>
          </cell>
          <cell r="P445" t="e">
            <v>#REF!</v>
          </cell>
          <cell r="Q445" t="e">
            <v>#REF!</v>
          </cell>
        </row>
        <row r="446">
          <cell r="B446" t="str">
            <v>FOREIGN CURRENCY CURRENT DEPOSITS</v>
          </cell>
          <cell r="E446">
            <v>0</v>
          </cell>
          <cell r="F446">
            <v>12324.88</v>
          </cell>
          <cell r="G446">
            <v>622899.43519999995</v>
          </cell>
          <cell r="H446">
            <v>892474.36</v>
          </cell>
          <cell r="I446">
            <v>12396468.860400001</v>
          </cell>
          <cell r="P446" t="str">
            <v>CALL LOAN TO BANKERS</v>
          </cell>
          <cell r="Q446" t="e">
            <v>#REF!</v>
          </cell>
        </row>
        <row r="447">
          <cell r="B447">
            <v>0</v>
          </cell>
          <cell r="E447">
            <v>0</v>
          </cell>
          <cell r="G447">
            <v>0</v>
          </cell>
          <cell r="I447">
            <v>0</v>
          </cell>
          <cell r="Q447" t="e">
            <v>#REF!</v>
          </cell>
        </row>
        <row r="448">
          <cell r="B448" t="str">
            <v>MARGIN ON L.G.</v>
          </cell>
          <cell r="E448">
            <v>0</v>
          </cell>
          <cell r="F448">
            <v>10062</v>
          </cell>
          <cell r="G448">
            <v>508533.48</v>
          </cell>
          <cell r="H448">
            <v>414196</v>
          </cell>
          <cell r="I448">
            <v>5753182.4400000004</v>
          </cell>
          <cell r="P448" t="str">
            <v>INVESTMENT-GOVT. SECURITIES</v>
          </cell>
          <cell r="Q448" t="e">
            <v>#REF!</v>
          </cell>
        </row>
        <row r="449">
          <cell r="B449" t="str">
            <v>MARGIN ON L.C.</v>
          </cell>
          <cell r="E449">
            <v>0</v>
          </cell>
          <cell r="F449">
            <v>15523</v>
          </cell>
          <cell r="G449">
            <v>784532.42</v>
          </cell>
          <cell r="H449">
            <v>682700</v>
          </cell>
          <cell r="I449">
            <v>9482703</v>
          </cell>
          <cell r="Q449" t="e">
            <v>#REF!</v>
          </cell>
        </row>
        <row r="450">
          <cell r="B450" t="str">
            <v>SUNDRY CREDITOR</v>
          </cell>
          <cell r="D450">
            <v>2721048.53</v>
          </cell>
          <cell r="E450">
            <v>137521792.70619997</v>
          </cell>
          <cell r="F450">
            <v>553.75</v>
          </cell>
          <cell r="G450">
            <v>27986.524999999998</v>
          </cell>
          <cell r="H450">
            <v>1403162</v>
          </cell>
          <cell r="I450">
            <v>19489920.18</v>
          </cell>
          <cell r="P450" t="str">
            <v>A D V A N C E S</v>
          </cell>
          <cell r="Q450" t="e">
            <v>#REF!</v>
          </cell>
        </row>
        <row r="451">
          <cell r="B451" t="str">
            <v>OTHERS</v>
          </cell>
          <cell r="E451">
            <v>0</v>
          </cell>
          <cell r="F451">
            <v>6782.83</v>
          </cell>
          <cell r="G451">
            <v>342804.22820000001</v>
          </cell>
          <cell r="I451">
            <v>0</v>
          </cell>
          <cell r="P451" t="str">
            <v>---------------</v>
          </cell>
          <cell r="Q451" t="e">
            <v>#REF!</v>
          </cell>
        </row>
        <row r="452">
          <cell r="E452">
            <v>0</v>
          </cell>
          <cell r="G452">
            <v>0</v>
          </cell>
          <cell r="I452">
            <v>0</v>
          </cell>
          <cell r="P452" t="str">
            <v>STAFF LOANS</v>
          </cell>
          <cell r="Q452" t="e">
            <v>#REF!</v>
          </cell>
        </row>
        <row r="453">
          <cell r="B453" t="str">
            <v>DEPOSITS FROM BANKS-CURRENT</v>
          </cell>
          <cell r="D453">
            <v>596261.56999999995</v>
          </cell>
          <cell r="E453">
            <v>30135059.747799996</v>
          </cell>
          <cell r="G453">
            <v>0</v>
          </cell>
          <cell r="H453">
            <v>212969.5</v>
          </cell>
          <cell r="I453">
            <v>2958146.355</v>
          </cell>
          <cell r="P453" t="str">
            <v>LOANS</v>
          </cell>
          <cell r="Q453" t="e">
            <v>#REF!</v>
          </cell>
        </row>
        <row r="454">
          <cell r="B454" t="str">
            <v>DEPOSITS FROM BANKS-CALL</v>
          </cell>
          <cell r="E454">
            <v>0</v>
          </cell>
          <cell r="G454">
            <v>0</v>
          </cell>
          <cell r="I454">
            <v>0</v>
          </cell>
          <cell r="P454" t="str">
            <v>LOANS AGST.IMP.MERCH.</v>
          </cell>
          <cell r="Q454" t="e">
            <v>#REF!</v>
          </cell>
        </row>
        <row r="455">
          <cell r="B455" t="str">
            <v>DEPOSITS FROM BANKS-TIME</v>
          </cell>
          <cell r="E455">
            <v>0</v>
          </cell>
          <cell r="F455">
            <v>16500000</v>
          </cell>
          <cell r="G455">
            <v>833910000</v>
          </cell>
          <cell r="I455">
            <v>0</v>
          </cell>
          <cell r="P455" t="str">
            <v>LOANS AGST.FOREIGN BILLS</v>
          </cell>
          <cell r="Q455" t="e">
            <v>#REF!</v>
          </cell>
        </row>
        <row r="456">
          <cell r="E456">
            <v>0</v>
          </cell>
          <cell r="G456">
            <v>0</v>
          </cell>
          <cell r="I456">
            <v>0</v>
          </cell>
          <cell r="P456" t="str">
            <v>LOAN AGAINST PACKING CREDIT</v>
          </cell>
          <cell r="Q456" t="e">
            <v>#REF!</v>
          </cell>
        </row>
        <row r="457">
          <cell r="B457" t="str">
            <v>DEPOSITS FROM BRANCHES-CURRENT</v>
          </cell>
          <cell r="D457">
            <v>15293531.859999999</v>
          </cell>
          <cell r="E457">
            <v>772935100.20439994</v>
          </cell>
          <cell r="G457">
            <v>0</v>
          </cell>
          <cell r="H457">
            <v>321132.86</v>
          </cell>
          <cell r="I457">
            <v>4460535.4254000001</v>
          </cell>
          <cell r="P457" t="str">
            <v>LOANS AGST.TRUST RECEIPTS</v>
          </cell>
          <cell r="Q457" t="e">
            <v>#REF!</v>
          </cell>
        </row>
        <row r="458">
          <cell r="B458" t="str">
            <v>DEPOSITS FROM BRANCHES-CALL</v>
          </cell>
          <cell r="E458">
            <v>0</v>
          </cell>
          <cell r="G458">
            <v>0</v>
          </cell>
          <cell r="I458">
            <v>0</v>
          </cell>
          <cell r="Q458" t="e">
            <v>#REF!</v>
          </cell>
        </row>
        <row r="459">
          <cell r="B459" t="str">
            <v>DEPOSITS FROM BRANCHES-FIXED</v>
          </cell>
          <cell r="E459">
            <v>0</v>
          </cell>
          <cell r="F459">
            <v>95366438.319999993</v>
          </cell>
          <cell r="G459">
            <v>4819819792.6927996</v>
          </cell>
          <cell r="I459">
            <v>0</v>
          </cell>
          <cell r="P459" t="e">
            <v>#REF!</v>
          </cell>
          <cell r="Q459" t="e">
            <v>#REF!</v>
          </cell>
        </row>
        <row r="460">
          <cell r="B460" t="str">
            <v>HEAD OFFICE DEPOSITS</v>
          </cell>
          <cell r="E460">
            <v>0</v>
          </cell>
          <cell r="F460">
            <v>5630447.4800000004</v>
          </cell>
          <cell r="G460">
            <v>284562815.63920003</v>
          </cell>
          <cell r="H460">
            <v>169396.52</v>
          </cell>
          <cell r="I460">
            <v>2352917.6628</v>
          </cell>
          <cell r="P460" t="e">
            <v>#REF!</v>
          </cell>
          <cell r="Q460" t="e">
            <v>#REF!</v>
          </cell>
        </row>
        <row r="461">
          <cell r="I461">
            <v>0</v>
          </cell>
          <cell r="Q461" t="e">
            <v>#REF!</v>
          </cell>
        </row>
        <row r="462">
          <cell r="B462" t="str">
            <v>SAVING BANK DEPOSITS</v>
          </cell>
          <cell r="D462">
            <v>95633.94</v>
          </cell>
          <cell r="E462">
            <v>4833339.3276000004</v>
          </cell>
          <cell r="G462">
            <v>0</v>
          </cell>
          <cell r="H462">
            <v>28751359.390000001</v>
          </cell>
          <cell r="I462">
            <v>399356381.9271</v>
          </cell>
          <cell r="Q462" t="e">
            <v>#REF!</v>
          </cell>
        </row>
        <row r="463">
          <cell r="B463" t="str">
            <v>FOREIGN CURRENCY S.B.DEPOSITS</v>
          </cell>
          <cell r="E463">
            <v>0</v>
          </cell>
          <cell r="G463">
            <v>0</v>
          </cell>
          <cell r="I463">
            <v>0</v>
          </cell>
        </row>
        <row r="464">
          <cell r="E464">
            <v>0</v>
          </cell>
          <cell r="G464">
            <v>0</v>
          </cell>
          <cell r="I464">
            <v>0</v>
          </cell>
          <cell r="P464" t="str">
            <v>TEMPORARY OVERDRAFT</v>
          </cell>
          <cell r="Q464" t="e">
            <v>#REF!</v>
          </cell>
        </row>
        <row r="465">
          <cell r="B465" t="str">
            <v>FIXED DEPOSITS</v>
          </cell>
          <cell r="D465">
            <v>2344254.56</v>
          </cell>
          <cell r="E465">
            <v>118478625.4624</v>
          </cell>
          <cell r="F465">
            <v>12346621.640000001</v>
          </cell>
          <cell r="G465">
            <v>623998257.68560004</v>
          </cell>
          <cell r="H465">
            <v>67223061.109999999</v>
          </cell>
          <cell r="I465">
            <v>933728318.81790006</v>
          </cell>
          <cell r="P465" t="str">
            <v>CLEAN OVERDRAFT</v>
          </cell>
          <cell r="Q465" t="e">
            <v>#REF!</v>
          </cell>
        </row>
        <row r="466">
          <cell r="B466" t="str">
            <v>SHORT TERM DEPOSITS</v>
          </cell>
          <cell r="E466">
            <v>0</v>
          </cell>
          <cell r="G466">
            <v>0</v>
          </cell>
          <cell r="H466">
            <v>12526860.02</v>
          </cell>
          <cell r="I466">
            <v>173998085.6778</v>
          </cell>
          <cell r="P466" t="str">
            <v>SANCTIONED OVERDRAFT</v>
          </cell>
          <cell r="Q466" t="e">
            <v>#REF!</v>
          </cell>
        </row>
        <row r="467">
          <cell r="B467" t="str">
            <v>FOREIGN CURRENCY FIXED DEPOSITS</v>
          </cell>
          <cell r="E467">
            <v>0</v>
          </cell>
          <cell r="G467">
            <v>0</v>
          </cell>
          <cell r="H467">
            <v>68045916.120000005</v>
          </cell>
          <cell r="I467">
            <v>945157774.90680015</v>
          </cell>
          <cell r="Q467" t="e">
            <v>#REF!</v>
          </cell>
        </row>
        <row r="468">
          <cell r="B468" t="str">
            <v>F.CURRENCY SHORT TERM DEP.</v>
          </cell>
          <cell r="E468">
            <v>0</v>
          </cell>
          <cell r="G468">
            <v>0</v>
          </cell>
          <cell r="H468">
            <v>64697.73</v>
          </cell>
          <cell r="I468">
            <v>898651.46970000013</v>
          </cell>
          <cell r="P468" t="str">
            <v>PAD (OVERDUE IFDBC)</v>
          </cell>
          <cell r="Q468" t="e">
            <v>#REF!</v>
          </cell>
        </row>
        <row r="469">
          <cell r="E469">
            <v>0</v>
          </cell>
          <cell r="G469">
            <v>0</v>
          </cell>
          <cell r="I469">
            <v>0</v>
          </cell>
          <cell r="P469" t="str">
            <v>INLAND BILLS PURCHASED</v>
          </cell>
          <cell r="Q469" t="e">
            <v>#REF!</v>
          </cell>
        </row>
        <row r="470">
          <cell r="B470" t="str">
            <v>PAY ORDERS ISSUED</v>
          </cell>
          <cell r="E470">
            <v>0</v>
          </cell>
          <cell r="G470">
            <v>0</v>
          </cell>
          <cell r="H470">
            <v>218779</v>
          </cell>
          <cell r="I470">
            <v>3038840.31</v>
          </cell>
          <cell r="P470" t="str">
            <v>PAYMENT AGST. DOCUMENTS</v>
          </cell>
          <cell r="Q470" t="e">
            <v>#REF!</v>
          </cell>
        </row>
        <row r="471">
          <cell r="B471" t="str">
            <v>PAY SLIPS ISSUED</v>
          </cell>
          <cell r="E471">
            <v>0</v>
          </cell>
          <cell r="G471">
            <v>0</v>
          </cell>
          <cell r="I471">
            <v>0</v>
          </cell>
          <cell r="P471" t="str">
            <v>FOREIGN BILLS PUR/DISCOUNTED</v>
          </cell>
          <cell r="Q471" t="e">
            <v>#REF!</v>
          </cell>
        </row>
        <row r="472">
          <cell r="B472" t="str">
            <v>DEMAND DRAFTS PAYABLE</v>
          </cell>
          <cell r="E472">
            <v>0</v>
          </cell>
          <cell r="G472">
            <v>0</v>
          </cell>
          <cell r="I472">
            <v>0</v>
          </cell>
          <cell r="P472" t="str">
            <v>LOCAL BILLS DISCOUNTED</v>
          </cell>
          <cell r="Q472" t="e">
            <v>#REF!</v>
          </cell>
        </row>
        <row r="473">
          <cell r="B473" t="str">
            <v>TELEGRAPHIC TRANSFERS</v>
          </cell>
          <cell r="E473">
            <v>0</v>
          </cell>
          <cell r="G473">
            <v>0</v>
          </cell>
          <cell r="H473">
            <v>14975</v>
          </cell>
          <cell r="I473">
            <v>208002.75</v>
          </cell>
          <cell r="Q473" t="e">
            <v>#REF!</v>
          </cell>
        </row>
        <row r="474">
          <cell r="B474" t="str">
            <v>MAIL TRANSFER</v>
          </cell>
          <cell r="E474">
            <v>0</v>
          </cell>
          <cell r="G474">
            <v>0</v>
          </cell>
          <cell r="I474">
            <v>0</v>
          </cell>
          <cell r="P474" t="str">
            <v>OTHER ASSETS</v>
          </cell>
          <cell r="Q474" t="e">
            <v>#REF!</v>
          </cell>
        </row>
        <row r="475">
          <cell r="B475" t="str">
            <v>FOREIGN MAIL TRANSFERS</v>
          </cell>
          <cell r="E475">
            <v>0</v>
          </cell>
          <cell r="G475">
            <v>0</v>
          </cell>
          <cell r="I475">
            <v>0</v>
          </cell>
          <cell r="P475" t="str">
            <v>------------</v>
          </cell>
          <cell r="Q475" t="e">
            <v>#REF!</v>
          </cell>
        </row>
        <row r="476">
          <cell r="B476" t="str">
            <v>B/P - HEAD OFFICE</v>
          </cell>
          <cell r="E476">
            <v>0</v>
          </cell>
          <cell r="G476">
            <v>0</v>
          </cell>
          <cell r="I476">
            <v>0</v>
          </cell>
          <cell r="P476" t="str">
            <v>IMMOVABLE PROPERTY</v>
          </cell>
          <cell r="Q476" t="e">
            <v>#REF!</v>
          </cell>
        </row>
        <row r="477">
          <cell r="B477" t="str">
            <v>ADJUSTING ACCOUNT CREDIT</v>
          </cell>
          <cell r="D477">
            <v>106271.18</v>
          </cell>
          <cell r="E477">
            <v>5370945.4371999996</v>
          </cell>
          <cell r="F477">
            <v>316344</v>
          </cell>
          <cell r="G477">
            <v>15988025.76</v>
          </cell>
          <cell r="H477">
            <v>2015950</v>
          </cell>
          <cell r="I477">
            <v>28001545.5</v>
          </cell>
          <cell r="P477" t="str">
            <v>FURNITURE &amp; FIXTURE</v>
          </cell>
          <cell r="Q477" t="e">
            <v>#REF!</v>
          </cell>
        </row>
        <row r="478">
          <cell r="E478">
            <v>0</v>
          </cell>
          <cell r="G478">
            <v>0</v>
          </cell>
          <cell r="I478">
            <v>0</v>
          </cell>
          <cell r="P478" t="str">
            <v>STOCK OF STATIONERY</v>
          </cell>
          <cell r="Q478" t="e">
            <v>#REF!</v>
          </cell>
        </row>
        <row r="479">
          <cell r="B479" t="str">
            <v>BORROWINGS FROM BANKS</v>
          </cell>
          <cell r="D479">
            <v>14800000</v>
          </cell>
          <cell r="E479">
            <v>747992000</v>
          </cell>
          <cell r="G479">
            <v>0</v>
          </cell>
          <cell r="I479">
            <v>0</v>
          </cell>
          <cell r="P479" t="str">
            <v>STAMPS ON HAND</v>
          </cell>
          <cell r="Q479" t="e">
            <v>#REF!</v>
          </cell>
        </row>
        <row r="480">
          <cell r="B480" t="str">
            <v>BORROWINGS FROM BRANCHES</v>
          </cell>
          <cell r="D480">
            <v>1350000</v>
          </cell>
          <cell r="E480">
            <v>68229000</v>
          </cell>
          <cell r="G480">
            <v>0</v>
          </cell>
          <cell r="I480">
            <v>0</v>
          </cell>
          <cell r="P480" t="str">
            <v>ADVANCE DEPOSITS</v>
          </cell>
          <cell r="Q480" t="e">
            <v>#REF!</v>
          </cell>
        </row>
        <row r="481">
          <cell r="E481">
            <v>0</v>
          </cell>
          <cell r="G481">
            <v>0</v>
          </cell>
          <cell r="I481">
            <v>0</v>
          </cell>
          <cell r="P481" t="str">
            <v>LEASE HOLD IMPROVEMENT</v>
          </cell>
          <cell r="Q481" t="e">
            <v>#REF!</v>
          </cell>
        </row>
        <row r="482">
          <cell r="B482" t="str">
            <v>OTHER LIABILITIES</v>
          </cell>
          <cell r="E482">
            <v>0</v>
          </cell>
          <cell r="G482">
            <v>0</v>
          </cell>
          <cell r="I482">
            <v>0</v>
          </cell>
          <cell r="Q482" t="e">
            <v>#REF!</v>
          </cell>
        </row>
        <row r="483">
          <cell r="B483" t="str">
            <v>-----------------</v>
          </cell>
          <cell r="E483">
            <v>0</v>
          </cell>
          <cell r="G483">
            <v>0</v>
          </cell>
          <cell r="I483">
            <v>0</v>
          </cell>
          <cell r="Q483" t="e">
            <v>#REF!</v>
          </cell>
        </row>
        <row r="484">
          <cell r="B484" t="str">
            <v>INTEREST ON CLASSIFIED ADVANCES</v>
          </cell>
          <cell r="D484">
            <v>527659.87</v>
          </cell>
          <cell r="E484">
            <v>26667929.829799999</v>
          </cell>
          <cell r="F484">
            <v>13079232.449999999</v>
          </cell>
          <cell r="G484">
            <v>661024408.023</v>
          </cell>
          <cell r="H484">
            <v>10026787.970000001</v>
          </cell>
          <cell r="I484">
            <v>139272084.90330002</v>
          </cell>
          <cell r="P484" t="str">
            <v>SUSPENSE ACCOUNT</v>
          </cell>
          <cell r="Q484" t="e">
            <v>#REF!</v>
          </cell>
        </row>
        <row r="485">
          <cell r="B485" t="str">
            <v>PROVISION FOR TAX</v>
          </cell>
          <cell r="E485">
            <v>0</v>
          </cell>
          <cell r="G485">
            <v>0</v>
          </cell>
          <cell r="I485">
            <v>0</v>
          </cell>
          <cell r="P485" t="str">
            <v>----------------</v>
          </cell>
          <cell r="Q485" t="e">
            <v>#REF!</v>
          </cell>
        </row>
        <row r="486">
          <cell r="B486" t="str">
            <v>ACCMULATED DEPRECIATION ON F/F</v>
          </cell>
          <cell r="E486">
            <v>0</v>
          </cell>
          <cell r="G486">
            <v>0</v>
          </cell>
          <cell r="I486">
            <v>0</v>
          </cell>
          <cell r="P486" t="str">
            <v>SUNDRY DEBTORS</v>
          </cell>
          <cell r="Q486" t="e">
            <v>#REF!</v>
          </cell>
        </row>
        <row r="487">
          <cell r="B487" t="str">
            <v>OTHERS</v>
          </cell>
          <cell r="E487">
            <v>0</v>
          </cell>
          <cell r="G487">
            <v>0</v>
          </cell>
          <cell r="H487">
            <v>967000</v>
          </cell>
          <cell r="I487">
            <v>13431630</v>
          </cell>
          <cell r="P487" t="str">
            <v>D.D.PAID WITHOUT ADVICE</v>
          </cell>
          <cell r="Q487" t="e">
            <v>#REF!</v>
          </cell>
        </row>
        <row r="488">
          <cell r="B488" t="str">
            <v>CONTRA CASH ATM</v>
          </cell>
          <cell r="E488">
            <v>0</v>
          </cell>
          <cell r="G488">
            <v>0</v>
          </cell>
          <cell r="I488">
            <v>0</v>
          </cell>
          <cell r="P488" t="str">
            <v>D.DS. CANCELLED</v>
          </cell>
          <cell r="Q488" t="e">
            <v>#REF!</v>
          </cell>
        </row>
        <row r="489">
          <cell r="B489" t="str">
            <v>PROV.FOR DIMUNATION VAL.</v>
          </cell>
          <cell r="E489">
            <v>0</v>
          </cell>
          <cell r="F489">
            <v>206880</v>
          </cell>
          <cell r="G489">
            <v>10455715.199999999</v>
          </cell>
          <cell r="I489">
            <v>0</v>
          </cell>
          <cell r="P489" t="str">
            <v>ADVANCE AGST. T.A.BILLS/SALARY</v>
          </cell>
          <cell r="Q489" t="e">
            <v>#REF!</v>
          </cell>
        </row>
        <row r="490">
          <cell r="P490" t="str">
            <v>CLEARING/T.D.ADJUSTMENTS</v>
          </cell>
          <cell r="Q490" t="e">
            <v>#REF!</v>
          </cell>
        </row>
        <row r="491">
          <cell r="B491" t="str">
            <v>BALANCE OF LOCAL/OTHER BANKS</v>
          </cell>
          <cell r="E491">
            <v>0</v>
          </cell>
          <cell r="G491">
            <v>0</v>
          </cell>
          <cell r="I491">
            <v>0</v>
          </cell>
          <cell r="P491" t="str">
            <v>ADVANCE RENT PAID</v>
          </cell>
          <cell r="Q491" t="e">
            <v>#REF!</v>
          </cell>
        </row>
        <row r="492">
          <cell r="B492" t="str">
            <v>BALANCE OF FOREIGN BANKS</v>
          </cell>
          <cell r="E492">
            <v>0</v>
          </cell>
          <cell r="G492">
            <v>0</v>
          </cell>
          <cell r="I492">
            <v>0</v>
          </cell>
        </row>
        <row r="493">
          <cell r="E493">
            <v>0</v>
          </cell>
          <cell r="G493">
            <v>0</v>
          </cell>
          <cell r="I493">
            <v>0</v>
          </cell>
          <cell r="P493" t="str">
            <v>POSTAGE/TELEPHONE/PETTY CASH</v>
          </cell>
          <cell r="Q493" t="e">
            <v>#REF!</v>
          </cell>
        </row>
        <row r="494">
          <cell r="B494" t="str">
            <v>BALANCE OF LOCAL UBL BRS.</v>
          </cell>
          <cell r="E494">
            <v>0</v>
          </cell>
          <cell r="G494">
            <v>0</v>
          </cell>
          <cell r="I494">
            <v>0</v>
          </cell>
          <cell r="P494" t="str">
            <v>LEGAL EXPENSES</v>
          </cell>
          <cell r="Q494" t="e">
            <v>#REF!</v>
          </cell>
        </row>
        <row r="495">
          <cell r="B495" t="str">
            <v>BALANCE OF FOREIGN UBL BRS.</v>
          </cell>
          <cell r="E495">
            <v>0</v>
          </cell>
          <cell r="G495">
            <v>0</v>
          </cell>
          <cell r="I495">
            <v>0</v>
          </cell>
          <cell r="P495" t="str">
            <v>OTHERS</v>
          </cell>
          <cell r="Q495" t="e">
            <v>#REF!</v>
          </cell>
        </row>
        <row r="496">
          <cell r="E496">
            <v>0</v>
          </cell>
          <cell r="G496">
            <v>0</v>
          </cell>
          <cell r="I496">
            <v>0</v>
          </cell>
          <cell r="P496" t="e">
            <v>#REF!</v>
          </cell>
          <cell r="Q496" t="e">
            <v>#REF!</v>
          </cell>
        </row>
        <row r="497">
          <cell r="B497" t="str">
            <v xml:space="preserve">C O N T R A </v>
          </cell>
          <cell r="E497">
            <v>0</v>
          </cell>
          <cell r="G497">
            <v>0</v>
          </cell>
          <cell r="I497">
            <v>0</v>
          </cell>
          <cell r="Q497" t="e">
            <v>#REF!</v>
          </cell>
        </row>
        <row r="498">
          <cell r="B498" t="str">
            <v>-----------</v>
          </cell>
          <cell r="E498">
            <v>0</v>
          </cell>
          <cell r="G498">
            <v>0</v>
          </cell>
          <cell r="I498">
            <v>0</v>
          </cell>
          <cell r="Q498" t="e">
            <v>#REF!</v>
          </cell>
        </row>
        <row r="499">
          <cell r="B499" t="str">
            <v>BILLS FOR COLLECTION</v>
          </cell>
          <cell r="E499">
            <v>0</v>
          </cell>
          <cell r="G499">
            <v>0</v>
          </cell>
          <cell r="I499">
            <v>0</v>
          </cell>
          <cell r="P499" t="str">
            <v xml:space="preserve">C O N T R A </v>
          </cell>
          <cell r="Q499" t="e">
            <v>#REF!</v>
          </cell>
        </row>
        <row r="500">
          <cell r="B500" t="str">
            <v>FOREIGN BILLS FOR COLLECTION</v>
          </cell>
          <cell r="D500">
            <v>18620913</v>
          </cell>
          <cell r="E500">
            <v>941100943.01999998</v>
          </cell>
          <cell r="F500">
            <v>764286</v>
          </cell>
          <cell r="G500">
            <v>38627014.439999998</v>
          </cell>
          <cell r="H500">
            <v>9687850</v>
          </cell>
          <cell r="I500">
            <v>134564236.5</v>
          </cell>
          <cell r="P500" t="str">
            <v>-----------</v>
          </cell>
          <cell r="Q500" t="e">
            <v>#REF!</v>
          </cell>
        </row>
        <row r="501">
          <cell r="B501" t="str">
            <v>BANKER'S LIABILITY L.G.</v>
          </cell>
          <cell r="E501">
            <v>0</v>
          </cell>
          <cell r="F501">
            <v>10062</v>
          </cell>
          <cell r="G501">
            <v>508533.48</v>
          </cell>
          <cell r="H501">
            <v>17466800</v>
          </cell>
          <cell r="I501">
            <v>242613852</v>
          </cell>
          <cell r="P501" t="str">
            <v>BILLS LODGED</v>
          </cell>
          <cell r="Q501" t="e">
            <v>#REF!</v>
          </cell>
        </row>
        <row r="502">
          <cell r="B502" t="str">
            <v>BANKER'S LIABILITY L.C.</v>
          </cell>
          <cell r="D502">
            <v>658954</v>
          </cell>
          <cell r="E502">
            <v>33303535.16</v>
          </cell>
          <cell r="F502">
            <v>144537</v>
          </cell>
          <cell r="G502">
            <v>7304899.9799999995</v>
          </cell>
          <cell r="H502">
            <v>15131600</v>
          </cell>
          <cell r="I502">
            <v>210177924</v>
          </cell>
          <cell r="P502" t="str">
            <v>FOREIGN BILLS LODGED</v>
          </cell>
          <cell r="Q502" t="e">
            <v>#REF!</v>
          </cell>
        </row>
        <row r="503">
          <cell r="B503" t="str">
            <v>BANKER'S LIABILITY L.C.(GOVT.)</v>
          </cell>
          <cell r="E503">
            <v>0</v>
          </cell>
          <cell r="G503">
            <v>0</v>
          </cell>
          <cell r="I503">
            <v>0</v>
          </cell>
          <cell r="P503" t="str">
            <v>CURTOMER'S LIABILITY L.G.</v>
          </cell>
          <cell r="Q503" t="e">
            <v>#REF!</v>
          </cell>
        </row>
        <row r="504">
          <cell r="B504" t="str">
            <v>BANKER'S LIABILITY S.G.</v>
          </cell>
          <cell r="D504">
            <v>19672</v>
          </cell>
          <cell r="E504">
            <v>994222.88</v>
          </cell>
          <cell r="G504">
            <v>0</v>
          </cell>
          <cell r="H504">
            <v>298500</v>
          </cell>
          <cell r="I504">
            <v>4146165</v>
          </cell>
          <cell r="P504" t="str">
            <v>CUSTOMER'S LIABILITY L.C.</v>
          </cell>
          <cell r="Q504" t="e">
            <v>#REF!</v>
          </cell>
        </row>
        <row r="505">
          <cell r="E505">
            <v>0</v>
          </cell>
          <cell r="G505">
            <v>0</v>
          </cell>
          <cell r="I505">
            <v>0</v>
          </cell>
          <cell r="P505" t="str">
            <v>CUSTOMER'S LIABILITY L.C.(GOVT)</v>
          </cell>
          <cell r="Q505" t="e">
            <v>#REF!</v>
          </cell>
        </row>
        <row r="506">
          <cell r="B506" t="str">
            <v>MAIN OFFICE ACCOUNT</v>
          </cell>
          <cell r="E506">
            <v>0</v>
          </cell>
          <cell r="G506">
            <v>0</v>
          </cell>
          <cell r="I506">
            <v>0</v>
          </cell>
          <cell r="P506" t="str">
            <v>CUSTOMER'S LIABILITY S.G.</v>
          </cell>
          <cell r="Q506" t="e">
            <v>#REF!</v>
          </cell>
        </row>
        <row r="507">
          <cell r="E507">
            <v>0</v>
          </cell>
          <cell r="G507">
            <v>0</v>
          </cell>
          <cell r="I507">
            <v>0</v>
          </cell>
          <cell r="Q507" t="e">
            <v>#REF!</v>
          </cell>
        </row>
        <row r="508">
          <cell r="B508" t="str">
            <v>INCOME ACCOUNT</v>
          </cell>
          <cell r="D508">
            <v>3386436.03</v>
          </cell>
          <cell r="E508">
            <v>171150476.95619997</v>
          </cell>
          <cell r="F508">
            <v>8082215.7599999998</v>
          </cell>
          <cell r="G508">
            <v>408475184.5104</v>
          </cell>
          <cell r="H508">
            <v>19820650.32</v>
          </cell>
          <cell r="I508">
            <v>275308832.94480002</v>
          </cell>
          <cell r="P508" t="str">
            <v>MAIN OFFICE ACCOUNT</v>
          </cell>
          <cell r="Q508" t="e">
            <v>#REF!</v>
          </cell>
        </row>
        <row r="509">
          <cell r="B509" t="str">
            <v>EXPENDITURE A/C. (CREDIT)</v>
          </cell>
          <cell r="E509">
            <v>0</v>
          </cell>
          <cell r="G509">
            <v>0</v>
          </cell>
          <cell r="I509">
            <v>0</v>
          </cell>
          <cell r="Q509" t="e">
            <v>#REF!</v>
          </cell>
        </row>
        <row r="510">
          <cell r="I510">
            <v>0</v>
          </cell>
          <cell r="P510" t="str">
            <v>EXPENDITURE ACCOUNT</v>
          </cell>
          <cell r="Q510" t="e">
            <v>#REF!</v>
          </cell>
        </row>
        <row r="511">
          <cell r="B511" t="str">
            <v>-</v>
          </cell>
          <cell r="D511" t="str">
            <v>-</v>
          </cell>
          <cell r="E511" t="str">
            <v>-</v>
          </cell>
          <cell r="F511" t="str">
            <v>-</v>
          </cell>
          <cell r="G511" t="str">
            <v>-</v>
          </cell>
          <cell r="H511" t="str">
            <v>-</v>
          </cell>
          <cell r="I511" t="str">
            <v>-</v>
          </cell>
          <cell r="P511" t="str">
            <v>INCOME ACCOUNT (DEBIT)</v>
          </cell>
          <cell r="Q511" t="e">
            <v>#REF!</v>
          </cell>
        </row>
        <row r="512">
          <cell r="B512" t="str">
            <v>TOTAL LIABILITIES</v>
          </cell>
          <cell r="D512">
            <v>67205281.719999999</v>
          </cell>
          <cell r="E512">
            <v>3396554938.1287999</v>
          </cell>
          <cell r="F512">
            <v>159386762.22999996</v>
          </cell>
          <cell r="G512">
            <v>8055406963.1041985</v>
          </cell>
          <cell r="H512">
            <v>323034178.5</v>
          </cell>
          <cell r="I512">
            <v>4486944739.3650007</v>
          </cell>
        </row>
        <row r="513">
          <cell r="B513" t="str">
            <v>-</v>
          </cell>
          <cell r="D513" t="str">
            <v>-</v>
          </cell>
          <cell r="E513" t="str">
            <v>-</v>
          </cell>
          <cell r="F513" t="str">
            <v>-</v>
          </cell>
          <cell r="G513" t="str">
            <v>-</v>
          </cell>
          <cell r="H513" t="str">
            <v>-</v>
          </cell>
          <cell r="I513" t="str">
            <v>-</v>
          </cell>
          <cell r="P513" t="str">
            <v>-</v>
          </cell>
          <cell r="Q513" t="str">
            <v>-</v>
          </cell>
        </row>
        <row r="514">
          <cell r="B514" t="str">
            <v>LIABILITIES</v>
          </cell>
          <cell r="D514">
            <v>67205281.719999999</v>
          </cell>
          <cell r="E514">
            <v>3396554938.1287999</v>
          </cell>
          <cell r="F514">
            <v>159386762.22999999</v>
          </cell>
          <cell r="G514">
            <v>8055406963.1041994</v>
          </cell>
          <cell r="H514">
            <v>323034178.5</v>
          </cell>
          <cell r="I514">
            <v>4486944739.3649998</v>
          </cell>
          <cell r="P514" t="str">
            <v>TOTAL ASSETS</v>
          </cell>
          <cell r="Q514" t="e">
            <v>#REF!</v>
          </cell>
        </row>
        <row r="515">
          <cell r="B515" t="str">
            <v>-</v>
          </cell>
          <cell r="D515" t="str">
            <v>-</v>
          </cell>
          <cell r="E515" t="str">
            <v>-</v>
          </cell>
          <cell r="F515" t="str">
            <v>-</v>
          </cell>
          <cell r="G515" t="str">
            <v>-</v>
          </cell>
          <cell r="H515" t="str">
            <v>-</v>
          </cell>
          <cell r="I515" t="str">
            <v>-</v>
          </cell>
          <cell r="P515" t="str">
            <v>-</v>
          </cell>
          <cell r="Q515" t="str">
            <v>-</v>
          </cell>
        </row>
        <row r="516">
          <cell r="B516" t="str">
            <v>DIFFERENCE</v>
          </cell>
          <cell r="D516">
            <v>0</v>
          </cell>
          <cell r="E516">
            <v>0</v>
          </cell>
          <cell r="F516">
            <v>0</v>
          </cell>
          <cell r="G516">
            <v>0</v>
          </cell>
          <cell r="H516">
            <v>0</v>
          </cell>
          <cell r="I516">
            <v>0</v>
          </cell>
          <cell r="P516" t="str">
            <v>ASSETS</v>
          </cell>
          <cell r="Q516" t="e">
            <v>#REF!</v>
          </cell>
        </row>
        <row r="517">
          <cell r="B517" t="str">
            <v>-</v>
          </cell>
          <cell r="D517" t="str">
            <v>-</v>
          </cell>
          <cell r="E517" t="str">
            <v>-</v>
          </cell>
          <cell r="F517" t="str">
            <v>-</v>
          </cell>
          <cell r="G517" t="str">
            <v>-</v>
          </cell>
          <cell r="H517" t="str">
            <v>-</v>
          </cell>
          <cell r="I517" t="str">
            <v>-</v>
          </cell>
          <cell r="P517" t="str">
            <v>-</v>
          </cell>
          <cell r="Q517" t="str">
            <v>-</v>
          </cell>
        </row>
        <row r="518">
          <cell r="B518" t="str">
            <v>DEPOSITS</v>
          </cell>
          <cell r="D518">
            <v>21639791.579999998</v>
          </cell>
          <cell r="E518">
            <v>1093675066.4531999</v>
          </cell>
          <cell r="F518">
            <v>130147261.02</v>
          </cell>
          <cell r="G518">
            <v>6577642571.9507999</v>
          </cell>
          <cell r="H518">
            <v>208199493.94999999</v>
          </cell>
          <cell r="I518">
            <v>2891890970.9654999</v>
          </cell>
          <cell r="P518" t="str">
            <v>DIFFERENCE</v>
          </cell>
          <cell r="Q518" t="e">
            <v>#REF!</v>
          </cell>
        </row>
        <row r="519">
          <cell r="B519" t="str">
            <v>-</v>
          </cell>
          <cell r="D519" t="str">
            <v>-</v>
          </cell>
          <cell r="E519" t="str">
            <v>-</v>
          </cell>
          <cell r="F519" t="str">
            <v>-</v>
          </cell>
          <cell r="G519" t="str">
            <v>-</v>
          </cell>
          <cell r="H519" t="str">
            <v>-</v>
          </cell>
          <cell r="I519" t="str">
            <v>-</v>
          </cell>
          <cell r="P519" t="str">
            <v>-</v>
          </cell>
          <cell r="Q519" t="str">
            <v>-</v>
          </cell>
        </row>
        <row r="520">
          <cell r="B520" t="str">
            <v>INTER BRANCH DEPOSITS</v>
          </cell>
          <cell r="D520">
            <v>15293531.859999999</v>
          </cell>
          <cell r="E520">
            <v>772935100.20439994</v>
          </cell>
          <cell r="F520">
            <v>100996885.8</v>
          </cell>
          <cell r="G520">
            <v>5104382608.3319998</v>
          </cell>
          <cell r="H520">
            <v>490529.38</v>
          </cell>
          <cell r="I520">
            <v>6813453.0882000001</v>
          </cell>
          <cell r="P520" t="str">
            <v>ADVANCES</v>
          </cell>
          <cell r="Q520" t="e">
            <v>#REF!</v>
          </cell>
        </row>
        <row r="521">
          <cell r="B521" t="str">
            <v>NET DEPOSITS</v>
          </cell>
          <cell r="D521">
            <v>6346259.7199999988</v>
          </cell>
          <cell r="E521">
            <v>320739966.24879992</v>
          </cell>
          <cell r="F521">
            <v>29150375.219999999</v>
          </cell>
          <cell r="G521">
            <v>1473259963.6188002</v>
          </cell>
          <cell r="H521">
            <v>207708964.56999999</v>
          </cell>
          <cell r="I521">
            <v>2885077517.8772998</v>
          </cell>
          <cell r="P521" t="str">
            <v>-</v>
          </cell>
          <cell r="Q521" t="str">
            <v>-</v>
          </cell>
        </row>
        <row r="522">
          <cell r="A522" t="str">
            <v>|::</v>
          </cell>
          <cell r="P522" t="str">
            <v>INTER BRANCH ADVANCES</v>
          </cell>
          <cell r="Q522" t="e">
            <v>#REF!</v>
          </cell>
        </row>
        <row r="523">
          <cell r="P523" t="str">
            <v>NET ADVANCES</v>
          </cell>
          <cell r="Q523" t="e">
            <v>#REF!</v>
          </cell>
        </row>
        <row r="524">
          <cell r="B524" t="str">
            <v>UNITED BANK LIMITED  FINANCE DIVISION (OVERSEAS BRANCHES)</v>
          </cell>
        </row>
        <row r="525">
          <cell r="B525" t="str">
            <v xml:space="preserve">STATEMENT OF AFFAIRS  AS ON 31ST DECEMBER, 1998 </v>
          </cell>
        </row>
        <row r="527">
          <cell r="B527" t="str">
            <v>-</v>
          </cell>
          <cell r="D527" t="str">
            <v>-</v>
          </cell>
        </row>
        <row r="528">
          <cell r="D528" t="str">
            <v>TOTAL ALL OVERSEAS</v>
          </cell>
        </row>
        <row r="529">
          <cell r="D529" t="str">
            <v>PAK.RS.</v>
          </cell>
        </row>
        <row r="530">
          <cell r="B530" t="str">
            <v>HEAD OF ACCOUNTS</v>
          </cell>
          <cell r="D530" t="str">
            <v>DECEMBER,1998</v>
          </cell>
        </row>
        <row r="531">
          <cell r="B531" t="str">
            <v>-</v>
          </cell>
          <cell r="D531" t="str">
            <v>-</v>
          </cell>
        </row>
        <row r="532">
          <cell r="B532" t="str">
            <v>LIABILITIES</v>
          </cell>
        </row>
        <row r="533">
          <cell r="B533" t="str">
            <v>-----------</v>
          </cell>
        </row>
        <row r="534">
          <cell r="B534" t="str">
            <v>CAPITAL</v>
          </cell>
          <cell r="D534" t="e">
            <v>#REF!</v>
          </cell>
        </row>
        <row r="535">
          <cell r="B535" t="str">
            <v>PROFIT (UNREMITTED)</v>
          </cell>
          <cell r="D535" t="e">
            <v>#REF!</v>
          </cell>
        </row>
        <row r="536">
          <cell r="B536" t="str">
            <v>RESERVE FOR CAPITAL REQUIREMENT</v>
          </cell>
          <cell r="D536" t="e">
            <v>#REF!</v>
          </cell>
        </row>
        <row r="537">
          <cell r="B537" t="str">
            <v>LEGAL RESERVE</v>
          </cell>
          <cell r="D537" t="e">
            <v>#REF!</v>
          </cell>
        </row>
        <row r="538">
          <cell r="B538" t="str">
            <v>EXCHANGE FLUCTUATION RESERVE</v>
          </cell>
          <cell r="D538" t="e">
            <v>#REF!</v>
          </cell>
        </row>
        <row r="539">
          <cell r="B539" t="str">
            <v>PROVISION FOR BAD DEBTS</v>
          </cell>
          <cell r="D539" t="e">
            <v>#REF!</v>
          </cell>
        </row>
        <row r="540">
          <cell r="B540" t="str">
            <v>PROVISION L.G. CLAIM LOSSES</v>
          </cell>
          <cell r="D540" t="e">
            <v>#REF!</v>
          </cell>
        </row>
        <row r="541">
          <cell r="B541" t="str">
            <v>CAPITAL AND OTHER FUNDS - UK</v>
          </cell>
          <cell r="D541" t="e">
            <v>#REF!</v>
          </cell>
        </row>
        <row r="542">
          <cell r="B542" t="str">
            <v>GENERAL PROVISION - UK</v>
          </cell>
          <cell r="D542" t="e">
            <v>#REF!</v>
          </cell>
        </row>
        <row r="543">
          <cell r="D543" t="e">
            <v>#REF!</v>
          </cell>
        </row>
        <row r="544">
          <cell r="D544" t="e">
            <v>#REF!</v>
          </cell>
        </row>
        <row r="545">
          <cell r="D545" t="e">
            <v>#REF!</v>
          </cell>
        </row>
        <row r="546">
          <cell r="B546" t="str">
            <v>D E P O S I T S</v>
          </cell>
          <cell r="D546" t="e">
            <v>#REF!</v>
          </cell>
        </row>
        <row r="547">
          <cell r="B547" t="str">
            <v>---------------</v>
          </cell>
          <cell r="D547" t="e">
            <v>#REF!</v>
          </cell>
        </row>
        <row r="548">
          <cell r="B548" t="str">
            <v>CURRENT DEPOSITS</v>
          </cell>
          <cell r="D548" t="e">
            <v>#REF!</v>
          </cell>
        </row>
        <row r="549">
          <cell r="B549" t="str">
            <v>CALL DEPOSITS</v>
          </cell>
          <cell r="D549" t="e">
            <v>#REF!</v>
          </cell>
        </row>
        <row r="550">
          <cell r="B550" t="str">
            <v>FOREIGN CURRENCY CURRENT DEPOSITS</v>
          </cell>
          <cell r="D550" t="e">
            <v>#REF!</v>
          </cell>
        </row>
        <row r="551">
          <cell r="B551" t="str">
            <v xml:space="preserve"> </v>
          </cell>
          <cell r="D551" t="e">
            <v>#REF!</v>
          </cell>
        </row>
        <row r="552">
          <cell r="B552" t="str">
            <v>MARGIN ON L.G.</v>
          </cell>
          <cell r="D552" t="e">
            <v>#REF!</v>
          </cell>
        </row>
        <row r="553">
          <cell r="B553" t="str">
            <v>MARGIN ON L.C.</v>
          </cell>
          <cell r="D553" t="e">
            <v>#REF!</v>
          </cell>
        </row>
        <row r="554">
          <cell r="B554" t="str">
            <v>SUNDRY CREDITOR</v>
          </cell>
          <cell r="D554" t="e">
            <v>#REF!</v>
          </cell>
        </row>
        <row r="555">
          <cell r="B555" t="str">
            <v>OTHERS</v>
          </cell>
          <cell r="D555" t="e">
            <v>#REF!</v>
          </cell>
        </row>
        <row r="556">
          <cell r="D556" t="e">
            <v>#REF!</v>
          </cell>
        </row>
        <row r="557">
          <cell r="B557" t="str">
            <v>DEPOSITS FROM BANKS-CURRENT</v>
          </cell>
          <cell r="D557" t="e">
            <v>#REF!</v>
          </cell>
        </row>
        <row r="558">
          <cell r="B558" t="str">
            <v>DEPOSITS FROM BANKS-CALL</v>
          </cell>
          <cell r="D558" t="e">
            <v>#REF!</v>
          </cell>
        </row>
        <row r="559">
          <cell r="B559" t="str">
            <v>DEPOSITS FROM BANKS-TIME</v>
          </cell>
          <cell r="D559" t="e">
            <v>#REF!</v>
          </cell>
        </row>
        <row r="560">
          <cell r="D560" t="e">
            <v>#REF!</v>
          </cell>
        </row>
        <row r="561">
          <cell r="B561" t="str">
            <v>DEPOSITS FROM BRANCHES-CURRENT</v>
          </cell>
          <cell r="D561" t="e">
            <v>#REF!</v>
          </cell>
        </row>
        <row r="562">
          <cell r="B562" t="str">
            <v>DEPOSITS FROM BRANCHES-CALL</v>
          </cell>
          <cell r="D562" t="e">
            <v>#REF!</v>
          </cell>
        </row>
        <row r="563">
          <cell r="B563" t="str">
            <v>DEPOSITS FROM BRANCHES-FIXED</v>
          </cell>
          <cell r="D563" t="e">
            <v>#REF!</v>
          </cell>
        </row>
        <row r="564">
          <cell r="B564" t="str">
            <v>HEAD OFFICE DEPOSITS</v>
          </cell>
          <cell r="D564" t="e">
            <v>#REF!</v>
          </cell>
        </row>
        <row r="565">
          <cell r="D565">
            <v>0</v>
          </cell>
        </row>
        <row r="566">
          <cell r="B566" t="str">
            <v>SAVING BANK DEPOSITS</v>
          </cell>
          <cell r="D566" t="e">
            <v>#REF!</v>
          </cell>
        </row>
        <row r="567">
          <cell r="B567" t="str">
            <v>FOREIGN CURRENCY S.B.DEPOSITS</v>
          </cell>
          <cell r="D567" t="e">
            <v>#REF!</v>
          </cell>
        </row>
        <row r="568">
          <cell r="D568" t="e">
            <v>#REF!</v>
          </cell>
        </row>
        <row r="569">
          <cell r="B569" t="str">
            <v>FIXED DEPOSITS</v>
          </cell>
          <cell r="D569" t="e">
            <v>#REF!</v>
          </cell>
        </row>
        <row r="570">
          <cell r="B570" t="str">
            <v>SHORT TERM DEPOSITS</v>
          </cell>
          <cell r="D570" t="e">
            <v>#REF!</v>
          </cell>
        </row>
        <row r="571">
          <cell r="B571" t="str">
            <v>FOREIGN CURRENCY FIXED DEPOSITS</v>
          </cell>
          <cell r="D571" t="e">
            <v>#REF!</v>
          </cell>
        </row>
        <row r="572">
          <cell r="B572" t="str">
            <v>F.CURRENCY SHORT TERM DEP.</v>
          </cell>
          <cell r="D572" t="e">
            <v>#REF!</v>
          </cell>
        </row>
        <row r="573">
          <cell r="D573" t="e">
            <v>#REF!</v>
          </cell>
        </row>
        <row r="574">
          <cell r="B574" t="str">
            <v>PAY ORDERS ISSUED</v>
          </cell>
          <cell r="D574" t="e">
            <v>#REF!</v>
          </cell>
        </row>
        <row r="575">
          <cell r="B575" t="str">
            <v>PAY SLIPS ISSUED</v>
          </cell>
          <cell r="D575" t="e">
            <v>#REF!</v>
          </cell>
        </row>
        <row r="576">
          <cell r="B576" t="str">
            <v>DEMAND DRAFTS PAYABLE</v>
          </cell>
          <cell r="D576" t="e">
            <v>#REF!</v>
          </cell>
        </row>
        <row r="577">
          <cell r="B577" t="str">
            <v>TELEGRAPHIC TRANSFERS</v>
          </cell>
          <cell r="D577" t="e">
            <v>#REF!</v>
          </cell>
        </row>
        <row r="578">
          <cell r="B578" t="str">
            <v>MAIL TRANSFER</v>
          </cell>
          <cell r="D578" t="e">
            <v>#REF!</v>
          </cell>
        </row>
        <row r="579">
          <cell r="B579" t="str">
            <v>FOREIGN MAIL TRANSFERS</v>
          </cell>
          <cell r="D579" t="e">
            <v>#REF!</v>
          </cell>
        </row>
        <row r="580">
          <cell r="B580" t="str">
            <v>B/P - HEAD OFFICE</v>
          </cell>
          <cell r="D580" t="e">
            <v>#REF!</v>
          </cell>
        </row>
        <row r="581">
          <cell r="B581" t="str">
            <v>ADJUSTING ACCOUNT CREDIT</v>
          </cell>
          <cell r="D581" t="e">
            <v>#REF!</v>
          </cell>
        </row>
        <row r="582">
          <cell r="D582" t="e">
            <v>#REF!</v>
          </cell>
        </row>
        <row r="583">
          <cell r="B583" t="str">
            <v>BORROWINGS FROM BANKS</v>
          </cell>
          <cell r="D583" t="e">
            <v>#REF!</v>
          </cell>
        </row>
        <row r="584">
          <cell r="B584" t="str">
            <v>BORROWINGS FROM BRANCHES</v>
          </cell>
          <cell r="D584" t="e">
            <v>#REF!</v>
          </cell>
        </row>
        <row r="585">
          <cell r="D585" t="e">
            <v>#REF!</v>
          </cell>
        </row>
        <row r="586">
          <cell r="B586" t="str">
            <v>OTHER LIABILITIES</v>
          </cell>
          <cell r="D586" t="e">
            <v>#REF!</v>
          </cell>
        </row>
        <row r="587">
          <cell r="B587" t="str">
            <v>-----------------</v>
          </cell>
          <cell r="D587" t="e">
            <v>#REF!</v>
          </cell>
        </row>
        <row r="588">
          <cell r="B588" t="str">
            <v>INTEREST ON CLASSIFIED ADVANCES</v>
          </cell>
          <cell r="D588" t="e">
            <v>#REF!</v>
          </cell>
        </row>
        <row r="589">
          <cell r="B589" t="str">
            <v>PROVISION FOR TAX</v>
          </cell>
          <cell r="D589" t="e">
            <v>#REF!</v>
          </cell>
        </row>
        <row r="590">
          <cell r="B590" t="str">
            <v>ACCMULATED DEPRECIATION ON F/F</v>
          </cell>
          <cell r="D590" t="e">
            <v>#REF!</v>
          </cell>
        </row>
        <row r="591">
          <cell r="B591" t="str">
            <v>OTHERS</v>
          </cell>
          <cell r="D591" t="e">
            <v>#REF!</v>
          </cell>
        </row>
        <row r="592">
          <cell r="B592" t="str">
            <v>CONTRA CASH ATM</v>
          </cell>
          <cell r="D592" t="e">
            <v>#REF!</v>
          </cell>
        </row>
        <row r="593">
          <cell r="B593" t="str">
            <v>PROV.FOR DIMUNATION VAL.</v>
          </cell>
          <cell r="D593" t="e">
            <v>#REF!</v>
          </cell>
        </row>
        <row r="594">
          <cell r="D594">
            <v>0</v>
          </cell>
        </row>
        <row r="595">
          <cell r="B595" t="str">
            <v>BALANCE OF LOCAL/OTHER BANKS</v>
          </cell>
          <cell r="D595" t="e">
            <v>#REF!</v>
          </cell>
        </row>
        <row r="596">
          <cell r="B596" t="str">
            <v>BALANCE OF FOREIGN BANKS</v>
          </cell>
          <cell r="D596" t="e">
            <v>#REF!</v>
          </cell>
        </row>
        <row r="597">
          <cell r="D597" t="e">
            <v>#REF!</v>
          </cell>
        </row>
        <row r="598">
          <cell r="B598" t="str">
            <v>BALANCE OF LOCAL UBL BRS.</v>
          </cell>
          <cell r="D598" t="e">
            <v>#REF!</v>
          </cell>
        </row>
        <row r="599">
          <cell r="B599" t="str">
            <v>BALANCE OF FOREIGN UBL BRS.</v>
          </cell>
          <cell r="D599" t="e">
            <v>#REF!</v>
          </cell>
        </row>
        <row r="600">
          <cell r="D600" t="e">
            <v>#REF!</v>
          </cell>
        </row>
        <row r="601">
          <cell r="B601" t="str">
            <v xml:space="preserve">C O N T R A </v>
          </cell>
          <cell r="D601" t="e">
            <v>#REF!</v>
          </cell>
        </row>
        <row r="602">
          <cell r="B602" t="str">
            <v>-----------</v>
          </cell>
          <cell r="D602" t="e">
            <v>#REF!</v>
          </cell>
        </row>
        <row r="603">
          <cell r="B603" t="str">
            <v>BILLS FOR COLLECTION</v>
          </cell>
          <cell r="D603" t="e">
            <v>#REF!</v>
          </cell>
        </row>
        <row r="604">
          <cell r="B604" t="str">
            <v>FOREIGN BILLS FOR COLLECTION</v>
          </cell>
          <cell r="D604" t="e">
            <v>#REF!</v>
          </cell>
        </row>
        <row r="605">
          <cell r="B605" t="str">
            <v>BANKER'S LIABILITY L.G.</v>
          </cell>
          <cell r="D605" t="e">
            <v>#REF!</v>
          </cell>
        </row>
        <row r="606">
          <cell r="B606" t="str">
            <v>BANKER'S LIABILITY L.C.</v>
          </cell>
          <cell r="D606" t="e">
            <v>#REF!</v>
          </cell>
        </row>
        <row r="607">
          <cell r="B607" t="str">
            <v>BANKER'S LIABILITY L.C.(GOVT.)</v>
          </cell>
          <cell r="D607" t="e">
            <v>#REF!</v>
          </cell>
        </row>
        <row r="608">
          <cell r="B608" t="str">
            <v>BANKER'S LIABILITY S.G.</v>
          </cell>
          <cell r="D608" t="e">
            <v>#REF!</v>
          </cell>
        </row>
        <row r="609">
          <cell r="D609" t="e">
            <v>#REF!</v>
          </cell>
        </row>
        <row r="610">
          <cell r="B610" t="str">
            <v>MAIN OFFICE ACCOUNT</v>
          </cell>
          <cell r="D610" t="e">
            <v>#REF!</v>
          </cell>
        </row>
        <row r="611">
          <cell r="D611" t="e">
            <v>#REF!</v>
          </cell>
        </row>
        <row r="612">
          <cell r="B612" t="str">
            <v>INCOME ACCOUNT</v>
          </cell>
          <cell r="D612" t="e">
            <v>#REF!</v>
          </cell>
        </row>
        <row r="613">
          <cell r="B613" t="str">
            <v>EXPENDITURE A/C. (CREDIT)</v>
          </cell>
          <cell r="D613" t="e">
            <v>#REF!</v>
          </cell>
        </row>
        <row r="614">
          <cell r="D614">
            <v>0</v>
          </cell>
        </row>
        <row r="615">
          <cell r="B615" t="str">
            <v>-</v>
          </cell>
          <cell r="D615" t="str">
            <v>-</v>
          </cell>
        </row>
        <row r="616">
          <cell r="B616" t="str">
            <v>TOTAL LIABILITIES</v>
          </cell>
          <cell r="D616" t="e">
            <v>#REF!</v>
          </cell>
        </row>
        <row r="617">
          <cell r="B617" t="str">
            <v>-</v>
          </cell>
          <cell r="D617" t="str">
            <v>-</v>
          </cell>
        </row>
        <row r="618">
          <cell r="B618" t="str">
            <v>LIABILITIES</v>
          </cell>
          <cell r="D618" t="e">
            <v>#REF!</v>
          </cell>
        </row>
        <row r="619">
          <cell r="B619" t="str">
            <v>-</v>
          </cell>
          <cell r="D619" t="str">
            <v>-</v>
          </cell>
        </row>
        <row r="620">
          <cell r="B620" t="str">
            <v>DIFFERENCE</v>
          </cell>
          <cell r="D620" t="e">
            <v>#REF!</v>
          </cell>
        </row>
        <row r="621">
          <cell r="B621" t="str">
            <v>-</v>
          </cell>
          <cell r="D621" t="str">
            <v>-</v>
          </cell>
        </row>
        <row r="622">
          <cell r="B622" t="str">
            <v>GROSS DEPOSITS</v>
          </cell>
          <cell r="D622" t="e">
            <v>#REF!</v>
          </cell>
        </row>
        <row r="623">
          <cell r="B623" t="str">
            <v>-</v>
          </cell>
          <cell r="D623" t="str">
            <v>-</v>
          </cell>
        </row>
        <row r="624">
          <cell r="B624" t="str">
            <v>INTER BRANCH DEPOSITS</v>
          </cell>
          <cell r="D624" t="e">
            <v>#REF!</v>
          </cell>
        </row>
        <row r="625">
          <cell r="B625" t="str">
            <v>NET DEPOSITS</v>
          </cell>
          <cell r="D625" t="e">
            <v>#REF!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T-BILL"/>
      <sheetName val="PIB"/>
      <sheetName val="Movement"/>
      <sheetName val="SalePurchase"/>
      <sheetName val="Capital Gain"/>
      <sheetName val="FIB"/>
      <sheetName val="UMMF UNITS"/>
      <sheetName val="CALL MONEY"/>
      <sheetName val="price"/>
      <sheetName val="Sheet1"/>
      <sheetName val="Microshots"/>
    </sheetNames>
    <sheetDataSet>
      <sheetData sheetId="0" refreshError="1"/>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amp; Prop. TR"/>
      <sheetName val="Secondees"/>
      <sheetName val="Salary Scales"/>
      <sheetName val="Insurance Cover"/>
      <sheetName val="Individual Tax Sheet"/>
      <sheetName val="B"/>
      <sheetName val="Vehicle Tax 2002-2003"/>
      <sheetName val="Module1"/>
    </sheetNames>
    <sheetDataSet>
      <sheetData sheetId="0"/>
      <sheetData sheetId="1" refreshError="1"/>
      <sheetData sheetId="2" refreshError="1"/>
      <sheetData sheetId="3" refreshError="1"/>
      <sheetData sheetId="4" refreshError="1"/>
      <sheetData sheetId="5">
        <row r="27">
          <cell r="A27">
            <v>0</v>
          </cell>
          <cell r="B27">
            <v>80000</v>
          </cell>
          <cell r="C27">
            <v>0</v>
          </cell>
          <cell r="D27">
            <v>0</v>
          </cell>
          <cell r="E27">
            <v>0</v>
          </cell>
        </row>
        <row r="28">
          <cell r="A28">
            <v>80001</v>
          </cell>
          <cell r="B28">
            <v>150000</v>
          </cell>
          <cell r="C28">
            <v>7.4999999999999997E-2</v>
          </cell>
          <cell r="D28">
            <v>5250</v>
          </cell>
          <cell r="E28">
            <v>0</v>
          </cell>
        </row>
        <row r="29">
          <cell r="A29">
            <v>150001</v>
          </cell>
          <cell r="B29">
            <v>300000</v>
          </cell>
          <cell r="C29">
            <v>0.125</v>
          </cell>
          <cell r="D29">
            <v>24000</v>
          </cell>
          <cell r="E29">
            <v>0</v>
          </cell>
        </row>
        <row r="30">
          <cell r="A30">
            <v>300001</v>
          </cell>
          <cell r="B30">
            <v>400000</v>
          </cell>
          <cell r="C30">
            <v>0.2</v>
          </cell>
          <cell r="D30">
            <v>44000</v>
          </cell>
          <cell r="E30">
            <v>0</v>
          </cell>
        </row>
        <row r="31">
          <cell r="A31">
            <v>400001</v>
          </cell>
          <cell r="B31">
            <v>700000</v>
          </cell>
          <cell r="C31">
            <v>0.25</v>
          </cell>
          <cell r="D31">
            <v>119000</v>
          </cell>
          <cell r="E31">
            <v>0</v>
          </cell>
        </row>
        <row r="32">
          <cell r="A32">
            <v>700001</v>
          </cell>
          <cell r="B32">
            <v>20000000</v>
          </cell>
          <cell r="C32">
            <v>0.35</v>
          </cell>
          <cell r="D32">
            <v>0</v>
          </cell>
          <cell r="E32">
            <v>0</v>
          </cell>
        </row>
      </sheetData>
      <sheetData sheetId="6" refreshError="1"/>
      <sheetData sheetId="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heetName val="valuation PIBs"/>
      <sheetName val="interpolation"/>
      <sheetName val="Amortised Cost 22-08-07"/>
      <sheetName val="Amortised Cost 30-08-08"/>
      <sheetName val="valuation T-Bills"/>
      <sheetName val="AC T-Bill 5 million"/>
      <sheetName val="AC T-Bill 4 Million"/>
      <sheetName val="AC T-Bill 1.5 Million "/>
      <sheetName val="AC T-Bill 13 million"/>
      <sheetName val="AC T-Bill 1.6 Million "/>
      <sheetName val="TFCs"/>
      <sheetName val="PEL Sukkuk"/>
      <sheetName val="PEL-28-09-07"/>
      <sheetName val="Bank AF"/>
      <sheetName val="BAFL-02-12-09-Floating"/>
      <sheetName val="Engro"/>
      <sheetName val="Engro-18-03-08"/>
      <sheetName val="HBFC"/>
      <sheetName val="HBFC-08-05-08"/>
      <sheetName val="Askari "/>
      <sheetName val="AKBL-04-02-05"/>
      <sheetName val="Bank AH"/>
      <sheetName val="BAHL-15-06-09"/>
      <sheetName val="Tickmarks"/>
      <sheetName val="#REF"/>
    </sheetNames>
    <sheetDataSet>
      <sheetData sheetId="0">
        <row r="30">
          <cell r="E30">
            <v>-2781193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IS"/>
      <sheetName val="CF"/>
      <sheetName val="DS"/>
      <sheetName val="UHF"/>
      <sheetName val="Notes 1-6"/>
      <sheetName val="6.1 - Equity HFT"/>
      <sheetName val="6.2 Tbills"/>
      <sheetName val="6.3 - Equity AFS"/>
      <sheetName val="Notes 6.3 - 24"/>
      <sheetName val="Lead"/>
      <sheetName val="CF Working"/>
      <sheetName val="form 7"/>
      <sheetName val="Links"/>
      <sheetName val="Tickmarks"/>
      <sheetName val="Sheet1"/>
      <sheetName val="Sheet2"/>
    </sheetNames>
    <sheetDataSet>
      <sheetData sheetId="0"/>
      <sheetData sheetId="1">
        <row r="26">
          <cell r="F26">
            <v>6947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of sale"/>
      <sheetName val="Sample Sheet"/>
      <sheetName val="Verification"/>
      <sheetName val="Sampling Table"/>
      <sheetName val="Tickmarks"/>
      <sheetName val="CMA_SampleDesign"/>
    </sheetNames>
    <sheetDataSet>
      <sheetData sheetId="0"/>
      <sheetData sheetId="1"/>
      <sheetData sheetId="2"/>
      <sheetData sheetId="3" refreshError="1"/>
      <sheetData sheetId="4" refreshError="1"/>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ills valuation (3)"/>
      <sheetName val="Tbills Movement"/>
      <sheetName val="Tbills valuation"/>
      <sheetName val="Tbills valuation.."/>
      <sheetName val="Tbills valuation."/>
      <sheetName val="Interpolation"/>
      <sheetName val="Interpolation IRR"/>
      <sheetName val="Tickmarks"/>
    </sheetNames>
    <sheetDataSet>
      <sheetData sheetId="0" refreshError="1"/>
      <sheetData sheetId="1">
        <row r="21">
          <cell r="C21">
            <v>24355.528313253013</v>
          </cell>
        </row>
      </sheetData>
      <sheetData sheetId="2"/>
      <sheetData sheetId="3"/>
      <sheetData sheetId="4">
        <row r="21">
          <cell r="P21">
            <v>-61790000</v>
          </cell>
        </row>
      </sheetData>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heetName val="valuation PIBs"/>
      <sheetName val="interpolation"/>
      <sheetName val="Amortised Cost 26-09-08"/>
      <sheetName val="Amortised Cost 22-08-07 (2)"/>
      <sheetName val="Amortised Cost 30-08-08"/>
      <sheetName val="valuation T-Bills"/>
      <sheetName val="PKRV Rate Slab"/>
      <sheetName val="Tickmarks"/>
      <sheetName val="#REF"/>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DONE"/>
      <sheetName val="PIBs Movement"/>
      <sheetName val="PIBs valuation"/>
      <sheetName val="Sensitivity Valuation for + 1%"/>
      <sheetName val="Sensitivity Valuation for - 1%"/>
      <sheetName val="Sensitivity Accrued income"/>
      <sheetName val="Interpolation IRR"/>
      <sheetName val="Movement&amp;Gain Jun30"/>
      <sheetName val="Movement&amp;Gain Mar26"/>
      <sheetName val="DR"/>
      <sheetName val="Tickmarks"/>
      <sheetName val="Sheet1"/>
      <sheetName val="#REF"/>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ummary"/>
      <sheetName val="2. Recalculations"/>
      <sheetName val="3.Amortisation"/>
      <sheetName val="4. Interpolation IRR at Jun-17"/>
    </sheetNames>
    <sheetDataSet>
      <sheetData sheetId="0" refreshError="1"/>
      <sheetData sheetId="1" refreshError="1"/>
      <sheetData sheetId="2" refreshError="1"/>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DONE"/>
      <sheetName val="Movement"/>
      <sheetName val="Outstanding"/>
      <sheetName val=" Sold "/>
      <sheetName val="Matured"/>
      <sheetName val="Matured (2)"/>
      <sheetName val="Purchases"/>
      <sheetName val="opening "/>
      <sheetName val="Sheet1"/>
      <sheetName val="Tickmarks"/>
    </sheetNames>
    <sheetDataSet>
      <sheetData sheetId="0" refreshError="1"/>
      <sheetData sheetId="1"/>
      <sheetData sheetId="2" refreshError="1"/>
      <sheetData sheetId="3" refreshError="1"/>
      <sheetData sheetId="4" refreshError="1"/>
      <sheetData sheetId="5" refreshError="1"/>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0997"/>
      <sheetName val="region wise recovery"/>
      <sheetName val="region wise stuckup"/>
      <sheetName val="RC_0997"/>
      <sheetName val="Sheet2"/>
      <sheetName val="Sheet4"/>
      <sheetName val="BSDOMOVS"/>
      <sheetName val="region_wise_recovery"/>
      <sheetName val="region_wise_stuckup"/>
      <sheetName val="region_wise_recovery1"/>
      <sheetName val="region_wise_stuckup1"/>
      <sheetName val="region_wise_recovery3"/>
      <sheetName val="region_wise_stuckup3"/>
      <sheetName val="region_wise_recovery2"/>
      <sheetName val="region_wise_stuckup2"/>
      <sheetName val="PIB-IPS"/>
      <sheetName val="QTY"/>
      <sheetName val="APP-SOR"/>
      <sheetName val="ANA1"/>
      <sheetName val="CALL-L"/>
      <sheetName val="REV-SH "/>
      <sheetName val="region_wise_recovery4"/>
      <sheetName val="region_wise_stuckup4"/>
      <sheetName val="Actualization_Details"/>
      <sheetName val="LS-UAE"/>
      <sheetName val="EMOF Portfolio"/>
      <sheetName val="region_wise_recovery5"/>
      <sheetName val="region_wise_stuckup5"/>
      <sheetName val="REV-SH_"/>
      <sheetName val="balance sheet"/>
      <sheetName val="balance_sheet"/>
      <sheetName val="DATA"/>
      <sheetName val="GROUPING"/>
      <sheetName val="SCHEDULES"/>
      <sheetName val="TGL"/>
      <sheetName val="lp"/>
      <sheetName val="Currency"/>
      <sheetName val="settings"/>
      <sheetName val="last qrt2001"/>
      <sheetName val="REV-SH_1"/>
    </sheetNames>
    <sheetDataSet>
      <sheetData sheetId="0" refreshError="1">
        <row r="132">
          <cell r="C132" t="str">
            <v>TOTAL RECOVERY OF STUCK-UP ADVANCES REPORT</v>
          </cell>
          <cell r="D132">
            <v>0</v>
          </cell>
          <cell r="E132">
            <v>0</v>
          </cell>
          <cell r="F132">
            <v>0</v>
          </cell>
          <cell r="G132">
            <v>0</v>
          </cell>
          <cell r="H132">
            <v>0</v>
          </cell>
          <cell r="I132">
            <v>0</v>
          </cell>
          <cell r="J132">
            <v>0</v>
          </cell>
          <cell r="K132">
            <v>0</v>
          </cell>
          <cell r="L132">
            <v>0</v>
          </cell>
          <cell r="M132">
            <v>0</v>
          </cell>
          <cell r="N132">
            <v>0</v>
          </cell>
          <cell r="O132" t="str">
            <v>TOTAL</v>
          </cell>
        </row>
        <row r="133">
          <cell r="C133" t="str">
            <v>ON ACHIEVEMENT OF CASH RECOVERY TARGET FOR WEEK ENDED  31.12.98</v>
          </cell>
        </row>
        <row r="135">
          <cell r="B135">
            <v>0</v>
          </cell>
          <cell r="C135">
            <v>0</v>
          </cell>
          <cell r="D135">
            <v>0</v>
          </cell>
          <cell r="E135">
            <v>0</v>
          </cell>
          <cell r="F135">
            <v>0</v>
          </cell>
          <cell r="G135">
            <v>0</v>
          </cell>
          <cell r="H135">
            <v>0</v>
          </cell>
          <cell r="I135">
            <v>0</v>
          </cell>
          <cell r="J135" t="str">
            <v>ACHIEVEMENT OF TARGET ON WEEKLY BASIS</v>
          </cell>
        </row>
        <row r="136">
          <cell r="C136" t="str">
            <v>TOTAL</v>
          </cell>
          <cell r="D136" t="str">
            <v xml:space="preserve">  Total Stuck-up</v>
          </cell>
          <cell r="E136" t="str">
            <v>%   OF</v>
          </cell>
          <cell r="F136" t="str">
            <v xml:space="preserve">Cumulative </v>
          </cell>
          <cell r="G136" t="str">
            <v>CASH</v>
          </cell>
          <cell r="H136" t="str">
            <v>CASH</v>
          </cell>
          <cell r="I136" t="str">
            <v>CASH</v>
          </cell>
          <cell r="J136" t="str">
            <v>(SATURDAY POSITION) AS ON</v>
          </cell>
          <cell r="K136">
            <v>0</v>
          </cell>
          <cell r="L136">
            <v>0</v>
          </cell>
          <cell r="M136">
            <v>0</v>
          </cell>
          <cell r="N136">
            <v>0</v>
          </cell>
          <cell r="O136" t="str">
            <v>CASH</v>
          </cell>
          <cell r="P136" t="str">
            <v>CASH</v>
          </cell>
          <cell r="Q136" t="str">
            <v>CASH</v>
          </cell>
        </row>
        <row r="137">
          <cell r="B137" t="str">
            <v>NAME OF REGION</v>
          </cell>
          <cell r="C137" t="str">
            <v>ADVANCES</v>
          </cell>
          <cell r="D137" t="str">
            <v xml:space="preserve"> Advances </v>
          </cell>
          <cell r="E137" t="str">
            <v xml:space="preserve">Stuck-up To </v>
          </cell>
          <cell r="F137" t="str">
            <v xml:space="preserve">Position Of </v>
          </cell>
          <cell r="G137" t="str">
            <v xml:space="preserve"> Recovery</v>
          </cell>
          <cell r="H137" t="str">
            <v xml:space="preserve"> Recovery</v>
          </cell>
          <cell r="I137" t="str">
            <v xml:space="preserve"> Recovery</v>
          </cell>
          <cell r="J137">
            <v>0</v>
          </cell>
          <cell r="K137">
            <v>0</v>
          </cell>
          <cell r="L137">
            <v>0</v>
          </cell>
          <cell r="M137">
            <v>0</v>
          </cell>
          <cell r="N137">
            <v>0</v>
          </cell>
          <cell r="O137" t="str">
            <v>RECOVERY</v>
          </cell>
          <cell r="P137" t="str">
            <v>RECOVERY</v>
          </cell>
          <cell r="Q137" t="str">
            <v>RECOVERY</v>
          </cell>
        </row>
        <row r="138">
          <cell r="C138" t="str">
            <v>AS ON</v>
          </cell>
          <cell r="D138" t="str">
            <v>AS ON</v>
          </cell>
          <cell r="E138" t="str">
            <v xml:space="preserve"> Advances</v>
          </cell>
          <cell r="F138" t="str">
            <v>Declassification</v>
          </cell>
          <cell r="G138" t="str">
            <v>Target for</v>
          </cell>
          <cell r="H138" t="str">
            <v>JANUARY</v>
          </cell>
          <cell r="I138" t="str">
            <v>OCT.-98</v>
          </cell>
          <cell r="J138" t="str">
            <v>01.12.98</v>
          </cell>
          <cell r="K138" t="str">
            <v>06.12.98</v>
          </cell>
          <cell r="L138" t="str">
            <v>13.12.98</v>
          </cell>
          <cell r="M138" t="str">
            <v>20.12.98</v>
          </cell>
          <cell r="N138" t="str">
            <v>27.12.98</v>
          </cell>
          <cell r="O138" t="str">
            <v>01.12.98</v>
          </cell>
          <cell r="P138" t="str">
            <v>01.OCT.98</v>
          </cell>
          <cell r="Q138" t="str">
            <v>01.JAN.98</v>
          </cell>
        </row>
        <row r="139">
          <cell r="C139" t="str">
            <v xml:space="preserve"> REPORTING </v>
          </cell>
          <cell r="D139" t="str">
            <v xml:space="preserve"> REPORTING </v>
          </cell>
          <cell r="E139">
            <v>0</v>
          </cell>
          <cell r="F139" t="str">
            <v>01.01.98    TO</v>
          </cell>
          <cell r="G139" t="str">
            <v xml:space="preserve">Oct.-98  To    </v>
          </cell>
          <cell r="H139" t="str">
            <v>TO</v>
          </cell>
          <cell r="I139" t="str">
            <v>TO</v>
          </cell>
          <cell r="J139" t="str">
            <v>T o</v>
          </cell>
          <cell r="K139" t="str">
            <v>To</v>
          </cell>
          <cell r="L139" t="str">
            <v>To</v>
          </cell>
          <cell r="M139" t="str">
            <v>To</v>
          </cell>
          <cell r="N139" t="str">
            <v>To</v>
          </cell>
          <cell r="O139" t="str">
            <v>T o</v>
          </cell>
          <cell r="P139" t="str">
            <v>T o</v>
          </cell>
          <cell r="Q139" t="str">
            <v>T o</v>
          </cell>
        </row>
        <row r="140">
          <cell r="C140" t="str">
            <v>DATE</v>
          </cell>
          <cell r="D140" t="str">
            <v>DATE</v>
          </cell>
          <cell r="E140">
            <v>0</v>
          </cell>
          <cell r="F140" t="str">
            <v>31.12.98</v>
          </cell>
          <cell r="G140" t="str">
            <v>Dec.-98</v>
          </cell>
          <cell r="H140" t="str">
            <v>SEPT.98</v>
          </cell>
          <cell r="I140" t="str">
            <v>NOV.-98</v>
          </cell>
          <cell r="J140" t="str">
            <v>05.12.98</v>
          </cell>
          <cell r="K140" t="str">
            <v>12.12.98</v>
          </cell>
          <cell r="L140" t="str">
            <v>19.12.98</v>
          </cell>
          <cell r="M140" t="str">
            <v>26.12.98</v>
          </cell>
          <cell r="N140" t="str">
            <v>31.12.98</v>
          </cell>
          <cell r="O140" t="str">
            <v>31.12.98</v>
          </cell>
          <cell r="P140" t="str">
            <v>31.12.98</v>
          </cell>
          <cell r="Q140" t="str">
            <v>31.12.98</v>
          </cell>
        </row>
        <row r="142">
          <cell r="B142" t="str">
            <v xml:space="preserve"> Karachi</v>
          </cell>
          <cell r="C142">
            <v>19030.330999999998</v>
          </cell>
          <cell r="D142">
            <v>10018.798000000001</v>
          </cell>
          <cell r="E142">
            <v>0.52646472623098362</v>
          </cell>
          <cell r="F142">
            <v>385.839</v>
          </cell>
          <cell r="G142">
            <v>569.85320000000002</v>
          </cell>
          <cell r="H142">
            <v>539.92100000000005</v>
          </cell>
          <cell r="I142">
            <v>129.30300000000003</v>
          </cell>
          <cell r="J142">
            <v>6.6639999999999997</v>
          </cell>
          <cell r="K142">
            <v>24.8</v>
          </cell>
          <cell r="L142">
            <v>11.884</v>
          </cell>
          <cell r="M142">
            <v>20.273000000000003</v>
          </cell>
          <cell r="N142">
            <v>29.86</v>
          </cell>
          <cell r="O142">
            <v>93.480999999999995</v>
          </cell>
          <cell r="P142">
            <v>222.78400000000002</v>
          </cell>
          <cell r="Q142">
            <v>762.70500000000004</v>
          </cell>
        </row>
        <row r="144">
          <cell r="B144" t="str">
            <v xml:space="preserve"> Hyderabad</v>
          </cell>
          <cell r="C144">
            <v>2677.5169999999998</v>
          </cell>
          <cell r="D144">
            <v>1619.21</v>
          </cell>
          <cell r="E144">
            <v>0.60474312581395384</v>
          </cell>
          <cell r="F144">
            <v>236.73500000000001</v>
          </cell>
          <cell r="G144">
            <v>116.99520000000001</v>
          </cell>
          <cell r="H144">
            <v>177.74199999999999</v>
          </cell>
          <cell r="I144">
            <v>19.052</v>
          </cell>
          <cell r="J144">
            <v>2.004</v>
          </cell>
          <cell r="K144">
            <v>0.51300000000000001</v>
          </cell>
          <cell r="L144">
            <v>1.4930000000000001</v>
          </cell>
          <cell r="M144">
            <v>1.516</v>
          </cell>
          <cell r="N144">
            <v>7.0620000000000003</v>
          </cell>
          <cell r="O144">
            <v>12.588000000000001</v>
          </cell>
          <cell r="P144">
            <v>31.64</v>
          </cell>
          <cell r="Q144">
            <v>209.38200000000001</v>
          </cell>
        </row>
        <row r="146">
          <cell r="B146" t="str">
            <v xml:space="preserve"> Lahore</v>
          </cell>
          <cell r="C146">
            <v>10704.288999999999</v>
          </cell>
          <cell r="D146">
            <v>5760.77</v>
          </cell>
          <cell r="E146">
            <v>0.53817399735750793</v>
          </cell>
          <cell r="F146">
            <v>632.63800000000003</v>
          </cell>
          <cell r="G146">
            <v>458.03014999999994</v>
          </cell>
          <cell r="H146">
            <v>525.65499999999997</v>
          </cell>
          <cell r="I146">
            <v>112.08399999999999</v>
          </cell>
          <cell r="J146">
            <v>13.411000000000001</v>
          </cell>
          <cell r="K146">
            <v>6.9849999999999994</v>
          </cell>
          <cell r="L146">
            <v>10.581</v>
          </cell>
          <cell r="M146">
            <v>14.123000000000001</v>
          </cell>
          <cell r="N146">
            <v>24.815999999999999</v>
          </cell>
          <cell r="O146">
            <v>69.915999999999997</v>
          </cell>
          <cell r="P146">
            <v>182</v>
          </cell>
          <cell r="Q146">
            <v>707.65499999999997</v>
          </cell>
        </row>
        <row r="148">
          <cell r="B148" t="str">
            <v xml:space="preserve"> Multan</v>
          </cell>
          <cell r="C148">
            <v>2590.3609999999999</v>
          </cell>
          <cell r="D148">
            <v>1324.5950000000003</v>
          </cell>
          <cell r="E148">
            <v>0.51135536707045859</v>
          </cell>
          <cell r="F148">
            <v>177.19399999999999</v>
          </cell>
          <cell r="G148">
            <v>79.707549999999998</v>
          </cell>
          <cell r="H148">
            <v>151.52799999999999</v>
          </cell>
          <cell r="I148">
            <v>11.145</v>
          </cell>
          <cell r="J148">
            <v>0.51600000000000001</v>
          </cell>
          <cell r="K148">
            <v>0.66700000000000004</v>
          </cell>
          <cell r="L148">
            <v>1.1880000000000002</v>
          </cell>
          <cell r="M148">
            <v>1.8420000000000001</v>
          </cell>
          <cell r="N148">
            <v>3.3860000000000001</v>
          </cell>
          <cell r="O148">
            <v>7.5990000000000011</v>
          </cell>
          <cell r="P148">
            <v>18.744</v>
          </cell>
          <cell r="Q148">
            <v>170.27199999999999</v>
          </cell>
        </row>
        <row r="150">
          <cell r="B150" t="str">
            <v xml:space="preserve"> Faisalabad</v>
          </cell>
          <cell r="C150">
            <v>4085.4570000000003</v>
          </cell>
          <cell r="D150">
            <v>1335.7510000000002</v>
          </cell>
          <cell r="E150">
            <v>0.32695265180859817</v>
          </cell>
          <cell r="F150">
            <v>99.587000000000003</v>
          </cell>
          <cell r="G150">
            <v>54.026899999999998</v>
          </cell>
          <cell r="H150">
            <v>98.626000000000005</v>
          </cell>
          <cell r="I150">
            <v>6.8479999999999999</v>
          </cell>
          <cell r="J150">
            <v>9.8000000000000004E-2</v>
          </cell>
          <cell r="K150">
            <v>0.33899999999999997</v>
          </cell>
          <cell r="L150">
            <v>0.60299999999999998</v>
          </cell>
          <cell r="M150">
            <v>5.2530000000000001</v>
          </cell>
          <cell r="N150">
            <v>4.2119999999999997</v>
          </cell>
          <cell r="O150">
            <v>10.504999999999999</v>
          </cell>
          <cell r="P150">
            <v>17.352999999999998</v>
          </cell>
          <cell r="Q150">
            <v>115.979</v>
          </cell>
        </row>
        <row r="152">
          <cell r="B152" t="str">
            <v xml:space="preserve"> Islamabad</v>
          </cell>
          <cell r="C152">
            <v>2790.8959999999997</v>
          </cell>
          <cell r="D152">
            <v>305.00099999999998</v>
          </cell>
          <cell r="E152">
            <v>0.10928425853202699</v>
          </cell>
          <cell r="F152">
            <v>440.57600000000002</v>
          </cell>
          <cell r="G152">
            <v>32.041800000000002</v>
          </cell>
          <cell r="H152">
            <v>32.709000000000003</v>
          </cell>
          <cell r="I152">
            <v>304.93000000000006</v>
          </cell>
          <cell r="J152">
            <v>1.7000000000000001E-2</v>
          </cell>
          <cell r="K152">
            <v>0.41700000000000004</v>
          </cell>
          <cell r="L152">
            <v>3.7999999999999999E-2</v>
          </cell>
          <cell r="M152">
            <v>0.77500000000000002</v>
          </cell>
          <cell r="N152">
            <v>0.13200000000000001</v>
          </cell>
          <cell r="O152">
            <v>1.379</v>
          </cell>
          <cell r="P152">
            <v>306.30900000000008</v>
          </cell>
          <cell r="Q152">
            <v>339.01800000000009</v>
          </cell>
        </row>
        <row r="154">
          <cell r="B154" t="str">
            <v xml:space="preserve"> Peshawar</v>
          </cell>
          <cell r="C154">
            <v>1755.5030000000002</v>
          </cell>
          <cell r="D154">
            <v>976.72699999999998</v>
          </cell>
          <cell r="E154">
            <v>0.55638013720284152</v>
          </cell>
          <cell r="F154">
            <v>215.054</v>
          </cell>
          <cell r="G154">
            <v>58.060949999999998</v>
          </cell>
          <cell r="H154">
            <v>108.11200000000001</v>
          </cell>
          <cell r="I154">
            <v>15.343999999999999</v>
          </cell>
          <cell r="J154">
            <v>3.8489999999999998</v>
          </cell>
          <cell r="K154">
            <v>2.9080000000000004</v>
          </cell>
          <cell r="L154">
            <v>0.45</v>
          </cell>
          <cell r="M154">
            <v>4.5999999999999988</v>
          </cell>
          <cell r="N154">
            <v>3.718</v>
          </cell>
          <cell r="O154">
            <v>15.524999999999999</v>
          </cell>
          <cell r="P154">
            <v>30.869</v>
          </cell>
          <cell r="Q154">
            <v>138.98099999999999</v>
          </cell>
        </row>
        <row r="156">
          <cell r="B156" t="str">
            <v xml:space="preserve"> Quetta</v>
          </cell>
          <cell r="C156">
            <v>797.76599999999996</v>
          </cell>
          <cell r="D156">
            <v>662.81599999999992</v>
          </cell>
          <cell r="E156">
            <v>0.83084012103799854</v>
          </cell>
          <cell r="F156">
            <v>34.139000000000003</v>
          </cell>
          <cell r="G156">
            <v>35.650749999999995</v>
          </cell>
          <cell r="H156">
            <v>32.642000000000003</v>
          </cell>
          <cell r="I156">
            <v>2.3149999999999999</v>
          </cell>
          <cell r="J156">
            <v>2.4E-2</v>
          </cell>
          <cell r="K156">
            <v>5.8999999999999997E-2</v>
          </cell>
          <cell r="L156">
            <v>0.72799999999999998</v>
          </cell>
          <cell r="M156">
            <v>0.22000000000000003</v>
          </cell>
          <cell r="N156">
            <v>0.85199999999999998</v>
          </cell>
          <cell r="O156">
            <v>1.883</v>
          </cell>
          <cell r="P156">
            <v>4.1980000000000004</v>
          </cell>
          <cell r="Q156">
            <v>36.840000000000003</v>
          </cell>
        </row>
        <row r="158">
          <cell r="B158" t="str">
            <v xml:space="preserve"> A. Kashmir</v>
          </cell>
          <cell r="C158">
            <v>113.18900000000001</v>
          </cell>
          <cell r="D158">
            <v>2.8079999999999998</v>
          </cell>
          <cell r="E158">
            <v>2.480806438788221E-2</v>
          </cell>
          <cell r="F158">
            <v>0.74500000000000011</v>
          </cell>
          <cell r="G158">
            <v>0.18285000000000001</v>
          </cell>
          <cell r="H158">
            <v>0.69900000000000007</v>
          </cell>
          <cell r="I158">
            <v>1.3000000000000001E-2</v>
          </cell>
          <cell r="J158">
            <v>7.0000000000000001E-3</v>
          </cell>
          <cell r="K158">
            <v>4.1000000000000002E-2</v>
          </cell>
          <cell r="L158">
            <v>0</v>
          </cell>
          <cell r="M158">
            <v>0</v>
          </cell>
          <cell r="N158">
            <v>2.4E-2</v>
          </cell>
          <cell r="O158">
            <v>7.2000000000000008E-2</v>
          </cell>
          <cell r="P158">
            <v>8.5000000000000006E-2</v>
          </cell>
          <cell r="Q158">
            <v>0.78400000000000003</v>
          </cell>
        </row>
        <row r="160">
          <cell r="B160" t="str">
            <v>Investment, H.O</v>
          </cell>
          <cell r="C160">
            <v>5758.8</v>
          </cell>
          <cell r="D160">
            <v>2060.6410000000001</v>
          </cell>
          <cell r="E160">
            <v>0.35782472042786689</v>
          </cell>
          <cell r="F160">
            <v>39.043000000000006</v>
          </cell>
          <cell r="G160">
            <v>104.56895000000002</v>
          </cell>
          <cell r="H160">
            <v>29.77</v>
          </cell>
          <cell r="I160">
            <v>7.04</v>
          </cell>
          <cell r="J160">
            <v>0</v>
          </cell>
          <cell r="K160">
            <v>0</v>
          </cell>
          <cell r="L160">
            <v>0.57999999999999996</v>
          </cell>
          <cell r="M160">
            <v>0</v>
          </cell>
          <cell r="N160">
            <v>0.317</v>
          </cell>
          <cell r="O160">
            <v>0.89700000000000002</v>
          </cell>
          <cell r="P160">
            <v>7.9370000000000003</v>
          </cell>
          <cell r="Q160">
            <v>37.707000000000001</v>
          </cell>
        </row>
        <row r="162">
          <cell r="B162" t="str">
            <v>T O T A L</v>
          </cell>
          <cell r="C162">
            <v>50304.108999999997</v>
          </cell>
          <cell r="D162">
            <v>24067.117000000002</v>
          </cell>
          <cell r="E162">
            <v>0.4784324278559432</v>
          </cell>
          <cell r="F162">
            <v>2261.5500000000002</v>
          </cell>
          <cell r="G162">
            <v>1509.1183000000001</v>
          </cell>
          <cell r="H162">
            <v>1697.4040000000002</v>
          </cell>
          <cell r="I162">
            <v>608.07400000000018</v>
          </cell>
          <cell r="J162">
            <v>26.59</v>
          </cell>
          <cell r="K162">
            <v>36.728999999999999</v>
          </cell>
          <cell r="L162">
            <v>27.544999999999998</v>
          </cell>
          <cell r="M162">
            <v>48.602000000000004</v>
          </cell>
          <cell r="N162">
            <v>74.379000000000005</v>
          </cell>
          <cell r="O162">
            <v>213.84499999999997</v>
          </cell>
          <cell r="P162">
            <v>821.91900000000021</v>
          </cell>
          <cell r="Q162">
            <v>2519.3230000000003</v>
          </cell>
        </row>
        <row r="164">
          <cell r="B164" t="str">
            <v>REMARKS:</v>
          </cell>
        </row>
        <row r="165">
          <cell r="N165" t="str">
            <v>ASSISTANT VICE PRESIDENT</v>
          </cell>
        </row>
        <row r="166">
          <cell r="C166" t="str">
            <v xml:space="preserve">Over All Better Recovery performance </v>
          </cell>
        </row>
        <row r="168">
          <cell r="C168" t="str">
            <v>1) ISLAMABAD</v>
          </cell>
          <cell r="D168">
            <v>0</v>
          </cell>
          <cell r="E168">
            <v>306.30900000000008</v>
          </cell>
          <cell r="F168">
            <v>9.5596689324569795</v>
          </cell>
          <cell r="G168">
            <v>0</v>
          </cell>
          <cell r="H168" t="str">
            <v xml:space="preserve">OCT-DEC 98 TARGET    </v>
          </cell>
        </row>
      </sheetData>
      <sheetData sheetId="1">
        <row r="132">
          <cell r="C132" t="str">
            <v>TOTAL RECOVERY OF STUCK-UP ADVANCES REPORT</v>
          </cell>
        </row>
      </sheetData>
      <sheetData sheetId="2">
        <row r="132">
          <cell r="C132" t="str">
            <v>TOTAL RECOVERY OF STUCK-UP ADVANCES REPORT</v>
          </cell>
        </row>
      </sheetData>
      <sheetData sheetId="3">
        <row r="132">
          <cell r="C132" t="str">
            <v>TOTAL RECOVERY OF STUCK-UP ADVANCES REPORT</v>
          </cell>
        </row>
      </sheetData>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ow r="132">
          <cell r="C132" t="str">
            <v>TOTAL RECOVERY OF STUCK-UP ADVANCES REPORT</v>
          </cell>
        </row>
      </sheetData>
      <sheetData sheetId="22">
        <row r="132">
          <cell r="C132" t="str">
            <v>TOTAL RECOVERY OF STUCK-UP ADVANCES REPORT</v>
          </cell>
        </row>
      </sheetData>
      <sheetData sheetId="23" refreshError="1"/>
      <sheetData sheetId="24" refreshError="1"/>
      <sheetData sheetId="25" refreshError="1"/>
      <sheetData sheetId="26">
        <row r="132">
          <cell r="C132" t="str">
            <v>TOTAL RECOVERY OF STUCK-UP ADVANCES REPORT</v>
          </cell>
        </row>
      </sheetData>
      <sheetData sheetId="27">
        <row r="132">
          <cell r="C132" t="str">
            <v>TOTAL RECOVERY OF STUCK-UP ADVANCES REPORT</v>
          </cell>
        </row>
      </sheetData>
      <sheetData sheetId="28">
        <row r="132">
          <cell r="C132" t="str">
            <v>TOTAL RECOVERY OF STUCK-UP ADVANCES REPORT</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ement"/>
      <sheetName val="Working"/>
      <sheetName val="{f} Reuter(extract)"/>
      <sheetName val="Entries"/>
      <sheetName val="XREF"/>
      <sheetName val="Tickmarks"/>
    </sheetNames>
    <sheetDataSet>
      <sheetData sheetId="0"/>
      <sheetData sheetId="1"/>
      <sheetData sheetId="2"/>
      <sheetData sheetId="3"/>
      <sheetData sheetId="4" refreshError="1"/>
      <sheetData sheetId="5"/>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7">
          <cell r="C7" t="str">
            <v>Pak Suzuki Motors Company Limited</v>
          </cell>
          <cell r="D7" t="str">
            <v>Automobile Assembler</v>
          </cell>
          <cell r="E7" t="str">
            <v>PSMC</v>
          </cell>
          <cell r="F7" t="str">
            <v>HFT</v>
          </cell>
          <cell r="G7">
            <v>0</v>
          </cell>
          <cell r="H7">
            <v>87000</v>
          </cell>
          <cell r="I7">
            <v>0</v>
          </cell>
          <cell r="J7">
            <v>0</v>
          </cell>
          <cell r="K7">
            <v>73500</v>
          </cell>
          <cell r="L7">
            <v>13500</v>
          </cell>
          <cell r="M7">
            <v>3335321</v>
          </cell>
          <cell r="N7">
            <v>3245755</v>
          </cell>
          <cell r="P7">
            <v>-525910</v>
          </cell>
          <cell r="Q7">
            <v>0.12</v>
          </cell>
          <cell r="R7">
            <v>0.02</v>
          </cell>
        </row>
        <row r="8">
          <cell r="C8" t="str">
            <v>General Tyre &amp; Rubber Company Limited</v>
          </cell>
          <cell r="D8" t="str">
            <v>Automobile Parts &amp; Accessories</v>
          </cell>
          <cell r="E8" t="str">
            <v>GTYR</v>
          </cell>
          <cell r="F8" t="str">
            <v>HFT</v>
          </cell>
          <cell r="G8">
            <v>0</v>
          </cell>
          <cell r="H8">
            <v>38500</v>
          </cell>
          <cell r="I8">
            <v>0</v>
          </cell>
          <cell r="J8">
            <v>0</v>
          </cell>
          <cell r="K8">
            <v>14000</v>
          </cell>
          <cell r="L8">
            <v>24500</v>
          </cell>
          <cell r="M8">
            <v>1975523</v>
          </cell>
          <cell r="N8">
            <v>1850144</v>
          </cell>
          <cell r="O8">
            <v>1641255</v>
          </cell>
          <cell r="P8">
            <v>-208889</v>
          </cell>
          <cell r="Q8">
            <v>7.0000000000000007E-2</v>
          </cell>
          <cell r="R8">
            <v>0.02</v>
          </cell>
        </row>
        <row r="9">
          <cell r="C9" t="str">
            <v>Loads Limited</v>
          </cell>
          <cell r="D9" t="str">
            <v>Automobile Parts &amp; Accessories</v>
          </cell>
          <cell r="E9" t="str">
            <v>LOADS</v>
          </cell>
          <cell r="F9" t="str">
            <v>HFT</v>
          </cell>
          <cell r="G9">
            <v>0</v>
          </cell>
          <cell r="H9">
            <v>0</v>
          </cell>
          <cell r="I9">
            <v>0</v>
          </cell>
          <cell r="J9">
            <v>0</v>
          </cell>
          <cell r="K9">
            <v>0</v>
          </cell>
          <cell r="L9">
            <v>0</v>
          </cell>
          <cell r="M9">
            <v>0</v>
          </cell>
          <cell r="N9">
            <v>0</v>
          </cell>
          <cell r="O9">
            <v>0</v>
          </cell>
          <cell r="P9">
            <v>0</v>
          </cell>
          <cell r="Q9">
            <v>0</v>
          </cell>
          <cell r="R9">
            <v>0</v>
          </cell>
        </row>
        <row r="10">
          <cell r="C10" t="str">
            <v>Pak Elektron Limited</v>
          </cell>
          <cell r="D10" t="str">
            <v>Cable &amp; Electrical Goods</v>
          </cell>
          <cell r="E10" t="str">
            <v>PAEL</v>
          </cell>
          <cell r="F10" t="str">
            <v>HFT</v>
          </cell>
          <cell r="G10">
            <v>0</v>
          </cell>
          <cell r="H10">
            <v>2192000</v>
          </cell>
          <cell r="I10">
            <v>0</v>
          </cell>
          <cell r="J10">
            <v>0</v>
          </cell>
          <cell r="K10">
            <v>1467500</v>
          </cell>
          <cell r="L10">
            <v>724500</v>
          </cell>
          <cell r="M10">
            <v>79519671</v>
          </cell>
          <cell r="N10">
            <v>27244967</v>
          </cell>
          <cell r="O10">
            <v>23951970</v>
          </cell>
          <cell r="P10">
            <v>-3292997</v>
          </cell>
          <cell r="Q10">
            <v>1.0900000000000001</v>
          </cell>
          <cell r="R10">
            <v>0.15</v>
          </cell>
        </row>
        <row r="11">
          <cell r="C11" t="str">
            <v>Tpl Corp Limited</v>
          </cell>
          <cell r="D11" t="str">
            <v>Cable &amp; Electrical Goods</v>
          </cell>
          <cell r="E11" t="str">
            <v>TPL</v>
          </cell>
          <cell r="F11" t="str">
            <v>HFT</v>
          </cell>
          <cell r="G11">
            <v>0</v>
          </cell>
          <cell r="H11">
            <v>0</v>
          </cell>
          <cell r="I11">
            <v>0</v>
          </cell>
          <cell r="J11">
            <v>0</v>
          </cell>
          <cell r="K11">
            <v>0</v>
          </cell>
          <cell r="L11">
            <v>0</v>
          </cell>
          <cell r="M11">
            <v>0</v>
          </cell>
          <cell r="N11">
            <v>0</v>
          </cell>
          <cell r="O11">
            <v>0</v>
          </cell>
          <cell r="P11">
            <v>0</v>
          </cell>
          <cell r="Q11">
            <v>0</v>
          </cell>
          <cell r="R11">
            <v>0</v>
          </cell>
        </row>
        <row r="12">
          <cell r="C12" t="str">
            <v>Cherat Cement Company Limited</v>
          </cell>
          <cell r="D12" t="str">
            <v>Cement</v>
          </cell>
          <cell r="E12" t="str">
            <v>CHCC</v>
          </cell>
          <cell r="F12" t="str">
            <v>HFT</v>
          </cell>
          <cell r="G12">
            <v>0</v>
          </cell>
          <cell r="H12">
            <v>25500</v>
          </cell>
          <cell r="I12">
            <v>0</v>
          </cell>
          <cell r="J12">
            <v>0</v>
          </cell>
          <cell r="K12">
            <v>25500</v>
          </cell>
          <cell r="L12">
            <v>0</v>
          </cell>
          <cell r="M12">
            <v>0</v>
          </cell>
          <cell r="N12">
            <v>0</v>
          </cell>
          <cell r="O12">
            <v>0</v>
          </cell>
          <cell r="P12">
            <v>0</v>
          </cell>
          <cell r="Q12">
            <v>0</v>
          </cell>
          <cell r="R12">
            <v>0</v>
          </cell>
        </row>
        <row r="13">
          <cell r="C13" t="str">
            <v>D.G. Khan Cement Company Limited</v>
          </cell>
          <cell r="D13" t="str">
            <v>Cement</v>
          </cell>
          <cell r="E13" t="str">
            <v>DGKC</v>
          </cell>
          <cell r="F13" t="str">
            <v>HFT</v>
          </cell>
          <cell r="G13">
            <v>0</v>
          </cell>
          <cell r="H13">
            <v>1164500</v>
          </cell>
          <cell r="I13">
            <v>0</v>
          </cell>
          <cell r="J13">
            <v>0</v>
          </cell>
          <cell r="K13">
            <v>1019000</v>
          </cell>
          <cell r="L13">
            <v>145500</v>
          </cell>
          <cell r="M13">
            <v>35007300</v>
          </cell>
          <cell r="N13">
            <v>16028702</v>
          </cell>
          <cell r="O13">
            <v>15002505</v>
          </cell>
          <cell r="P13">
            <v>-1026197</v>
          </cell>
          <cell r="Q13">
            <v>0.68</v>
          </cell>
          <cell r="R13">
            <v>0.03</v>
          </cell>
        </row>
        <row r="14">
          <cell r="C14" t="str">
            <v>Fauji Cement Company Limited</v>
          </cell>
          <cell r="D14" t="str">
            <v>Cement</v>
          </cell>
          <cell r="E14" t="str">
            <v>FCCL</v>
          </cell>
          <cell r="F14" t="str">
            <v>HFT</v>
          </cell>
          <cell r="G14">
            <v>0</v>
          </cell>
          <cell r="H14">
            <v>1255500</v>
          </cell>
          <cell r="I14">
            <v>0</v>
          </cell>
          <cell r="J14">
            <v>0</v>
          </cell>
          <cell r="K14">
            <v>1097000</v>
          </cell>
          <cell r="L14">
            <v>158500</v>
          </cell>
          <cell r="M14">
            <v>7418624</v>
          </cell>
          <cell r="N14">
            <v>3378174</v>
          </cell>
          <cell r="O14">
            <v>3150980</v>
          </cell>
          <cell r="P14">
            <v>-227194</v>
          </cell>
          <cell r="Q14">
            <v>0.14000000000000001</v>
          </cell>
          <cell r="R14">
            <v>0.01</v>
          </cell>
        </row>
        <row r="15">
          <cell r="C15" t="str">
            <v>Kohat Cement Limited</v>
          </cell>
          <cell r="D15" t="str">
            <v>Cement</v>
          </cell>
          <cell r="E15" t="str">
            <v>KOHC</v>
          </cell>
          <cell r="F15" t="str">
            <v>HFT</v>
          </cell>
          <cell r="G15">
            <v>0</v>
          </cell>
          <cell r="H15">
            <v>500</v>
          </cell>
          <cell r="I15">
            <v>0</v>
          </cell>
          <cell r="J15">
            <v>0</v>
          </cell>
          <cell r="K15">
            <v>500</v>
          </cell>
          <cell r="L15">
            <v>0</v>
          </cell>
          <cell r="M15">
            <v>0</v>
          </cell>
          <cell r="N15">
            <v>0</v>
          </cell>
          <cell r="O15">
            <v>0</v>
          </cell>
          <cell r="P15">
            <v>0</v>
          </cell>
          <cell r="Q15">
            <v>0</v>
          </cell>
          <cell r="R15">
            <v>0</v>
          </cell>
        </row>
        <row r="16">
          <cell r="C16" t="str">
            <v>Lucky Cement Limited</v>
          </cell>
          <cell r="D16" t="str">
            <v>Cement</v>
          </cell>
          <cell r="E16" t="str">
            <v>LUCK</v>
          </cell>
          <cell r="F16" t="str">
            <v>HFT</v>
          </cell>
          <cell r="G16">
            <v>0</v>
          </cell>
          <cell r="H16">
            <v>183500</v>
          </cell>
          <cell r="I16">
            <v>0</v>
          </cell>
          <cell r="J16">
            <v>0</v>
          </cell>
          <cell r="K16">
            <v>164000</v>
          </cell>
          <cell r="L16">
            <v>19500</v>
          </cell>
          <cell r="M16">
            <v>12158940</v>
          </cell>
          <cell r="N16">
            <v>12158940</v>
          </cell>
          <cell r="O16">
            <v>12617865</v>
          </cell>
          <cell r="P16">
            <v>458925</v>
          </cell>
          <cell r="Q16">
            <v>0.56999999999999995</v>
          </cell>
          <cell r="R16">
            <v>0.01</v>
          </cell>
        </row>
        <row r="17">
          <cell r="C17" t="str">
            <v>Maple Leaf Cement Factory Limited</v>
          </cell>
          <cell r="D17" t="str">
            <v>Cement</v>
          </cell>
          <cell r="E17" t="str">
            <v>MLCF</v>
          </cell>
          <cell r="F17" t="str">
            <v>HFT</v>
          </cell>
          <cell r="G17">
            <v>0</v>
          </cell>
          <cell r="H17">
            <v>1556000</v>
          </cell>
          <cell r="I17">
            <v>0</v>
          </cell>
          <cell r="J17">
            <v>0</v>
          </cell>
          <cell r="K17">
            <v>1093000</v>
          </cell>
          <cell r="L17">
            <v>463000</v>
          </cell>
          <cell r="M17">
            <v>60878713</v>
          </cell>
          <cell r="N17">
            <v>17549135</v>
          </cell>
          <cell r="O17">
            <v>16617070</v>
          </cell>
          <cell r="P17">
            <v>-932065</v>
          </cell>
          <cell r="Q17">
            <v>0.76</v>
          </cell>
          <cell r="R17">
            <v>0.04</v>
          </cell>
        </row>
        <row r="18">
          <cell r="C18" t="str">
            <v>Pioneer Cement Limited</v>
          </cell>
          <cell r="D18" t="str">
            <v>Cement</v>
          </cell>
          <cell r="E18" t="str">
            <v>PIOC</v>
          </cell>
          <cell r="F18" t="str">
            <v>HFT</v>
          </cell>
          <cell r="G18">
            <v>0</v>
          </cell>
          <cell r="H18">
            <v>61500</v>
          </cell>
          <cell r="I18">
            <v>0</v>
          </cell>
          <cell r="J18">
            <v>0</v>
          </cell>
          <cell r="K18">
            <v>53000</v>
          </cell>
          <cell r="L18">
            <v>8500</v>
          </cell>
          <cell r="M18">
            <v>1224326</v>
          </cell>
          <cell r="N18">
            <v>797557</v>
          </cell>
          <cell r="O18">
            <v>770950</v>
          </cell>
          <cell r="P18">
            <v>-26607</v>
          </cell>
          <cell r="Q18">
            <v>0.04</v>
          </cell>
          <cell r="R18">
            <v>0</v>
          </cell>
        </row>
        <row r="19">
          <cell r="C19" t="str">
            <v>Power Cement Limited</v>
          </cell>
          <cell r="D19" t="str">
            <v>Cement</v>
          </cell>
          <cell r="E19" t="str">
            <v>POWER</v>
          </cell>
          <cell r="F19" t="str">
            <v>HFT</v>
          </cell>
          <cell r="G19">
            <v>0</v>
          </cell>
          <cell r="H19">
            <v>0</v>
          </cell>
          <cell r="I19">
            <v>0</v>
          </cell>
          <cell r="J19">
            <v>0</v>
          </cell>
          <cell r="K19">
            <v>0</v>
          </cell>
          <cell r="L19">
            <v>0</v>
          </cell>
          <cell r="M19">
            <v>0</v>
          </cell>
          <cell r="N19">
            <v>0</v>
          </cell>
          <cell r="O19">
            <v>0</v>
          </cell>
          <cell r="P19">
            <v>0</v>
          </cell>
          <cell r="Q19">
            <v>0</v>
          </cell>
          <cell r="R19">
            <v>0</v>
          </cell>
        </row>
        <row r="20">
          <cell r="C20" t="str">
            <v>Descon Oxychem Limited</v>
          </cell>
          <cell r="D20" t="str">
            <v>Chemicals</v>
          </cell>
          <cell r="E20" t="str">
            <v>DOL</v>
          </cell>
          <cell r="F20" t="str">
            <v>HFT</v>
          </cell>
          <cell r="G20">
            <v>0</v>
          </cell>
          <cell r="H20">
            <v>1000</v>
          </cell>
          <cell r="I20">
            <v>0</v>
          </cell>
          <cell r="J20">
            <v>0</v>
          </cell>
          <cell r="K20">
            <v>1000</v>
          </cell>
          <cell r="L20">
            <v>0</v>
          </cell>
          <cell r="M20">
            <v>0</v>
          </cell>
          <cell r="N20">
            <v>0</v>
          </cell>
          <cell r="O20">
            <v>0</v>
          </cell>
          <cell r="P20">
            <v>0</v>
          </cell>
          <cell r="Q20">
            <v>0</v>
          </cell>
          <cell r="R20">
            <v>0</v>
          </cell>
        </row>
        <row r="21">
          <cell r="C21" t="str">
            <v>Engro Polymer and Chemicals Limited</v>
          </cell>
          <cell r="D21" t="str">
            <v>Chemicals</v>
          </cell>
          <cell r="E21" t="str">
            <v>EPCL</v>
          </cell>
          <cell r="F21" t="str">
            <v>HFT</v>
          </cell>
          <cell r="G21">
            <v>0</v>
          </cell>
          <cell r="H21">
            <v>492000</v>
          </cell>
          <cell r="I21">
            <v>0</v>
          </cell>
          <cell r="J21">
            <v>0</v>
          </cell>
          <cell r="K21">
            <v>384500</v>
          </cell>
          <cell r="L21">
            <v>107500</v>
          </cell>
          <cell r="M21">
            <v>4342946</v>
          </cell>
          <cell r="N21">
            <v>4342946</v>
          </cell>
          <cell r="O21">
            <v>4327950</v>
          </cell>
          <cell r="P21">
            <v>-14996</v>
          </cell>
          <cell r="Q21">
            <v>0.2</v>
          </cell>
          <cell r="R21">
            <v>0.01</v>
          </cell>
        </row>
        <row r="22">
          <cell r="C22" t="str">
            <v>Lotte Chemical Pakistan Limited</v>
          </cell>
          <cell r="D22" t="str">
            <v>Chemicals</v>
          </cell>
          <cell r="E22" t="str">
            <v>LOTCHEM</v>
          </cell>
          <cell r="F22" t="str">
            <v>HFT</v>
          </cell>
          <cell r="G22">
            <v>0</v>
          </cell>
          <cell r="H22">
            <v>725000</v>
          </cell>
          <cell r="I22">
            <v>0</v>
          </cell>
          <cell r="J22">
            <v>0</v>
          </cell>
          <cell r="K22">
            <v>723000</v>
          </cell>
          <cell r="L22">
            <v>2000</v>
          </cell>
          <cell r="M22">
            <v>27606</v>
          </cell>
          <cell r="N22">
            <v>27406</v>
          </cell>
          <cell r="O22">
            <v>24000</v>
          </cell>
          <cell r="P22">
            <v>-3406</v>
          </cell>
          <cell r="Q22">
            <v>0</v>
          </cell>
          <cell r="R22">
            <v>0</v>
          </cell>
        </row>
        <row r="23">
          <cell r="C23" t="str">
            <v>Askari Bank Limited</v>
          </cell>
          <cell r="D23" t="str">
            <v>Commercial Banks</v>
          </cell>
          <cell r="E23" t="str">
            <v>AKBL</v>
          </cell>
          <cell r="F23" t="str">
            <v>HFT</v>
          </cell>
          <cell r="G23">
            <v>0</v>
          </cell>
          <cell r="H23">
            <v>0</v>
          </cell>
          <cell r="I23">
            <v>0</v>
          </cell>
          <cell r="J23">
            <v>0</v>
          </cell>
          <cell r="K23">
            <v>0</v>
          </cell>
          <cell r="L23">
            <v>0</v>
          </cell>
          <cell r="M23">
            <v>0</v>
          </cell>
          <cell r="N23">
            <v>0</v>
          </cell>
          <cell r="O23">
            <v>0</v>
          </cell>
          <cell r="P23">
            <v>0</v>
          </cell>
          <cell r="Q23">
            <v>0</v>
          </cell>
          <cell r="R23">
            <v>0</v>
          </cell>
        </row>
        <row r="24">
          <cell r="C24" t="str">
            <v>Bank Al Falah Limited</v>
          </cell>
          <cell r="D24" t="str">
            <v>Commercial Banks</v>
          </cell>
          <cell r="E24" t="str">
            <v>BAFL</v>
          </cell>
          <cell r="F24" t="str">
            <v>HFT</v>
          </cell>
          <cell r="G24">
            <v>0</v>
          </cell>
          <cell r="H24">
            <v>0</v>
          </cell>
          <cell r="I24">
            <v>0</v>
          </cell>
          <cell r="J24">
            <v>0</v>
          </cell>
          <cell r="K24">
            <v>0</v>
          </cell>
          <cell r="L24">
            <v>0</v>
          </cell>
          <cell r="M24">
            <v>0</v>
          </cell>
          <cell r="N24">
            <v>0</v>
          </cell>
          <cell r="O24">
            <v>0</v>
          </cell>
          <cell r="P24">
            <v>0</v>
          </cell>
          <cell r="Q24">
            <v>0</v>
          </cell>
          <cell r="R24">
            <v>0</v>
          </cell>
        </row>
        <row r="25">
          <cell r="C25" t="str">
            <v>Bank Of Punjab</v>
          </cell>
          <cell r="D25" t="str">
            <v>Commercial Banks</v>
          </cell>
          <cell r="E25" t="str">
            <v>BOP</v>
          </cell>
          <cell r="F25" t="str">
            <v>HFT</v>
          </cell>
          <cell r="G25">
            <v>0</v>
          </cell>
          <cell r="H25">
            <v>0</v>
          </cell>
          <cell r="I25">
            <v>0</v>
          </cell>
          <cell r="J25">
            <v>0</v>
          </cell>
          <cell r="K25">
            <v>0</v>
          </cell>
          <cell r="L25">
            <v>0</v>
          </cell>
          <cell r="M25">
            <v>0</v>
          </cell>
          <cell r="N25">
            <v>0</v>
          </cell>
          <cell r="O25">
            <v>0</v>
          </cell>
          <cell r="P25">
            <v>0</v>
          </cell>
          <cell r="Q25">
            <v>0</v>
          </cell>
          <cell r="R25">
            <v>0</v>
          </cell>
        </row>
        <row r="26">
          <cell r="C26" t="str">
            <v>Habib Bank Limited</v>
          </cell>
          <cell r="D26" t="str">
            <v>Commercial Banks</v>
          </cell>
          <cell r="E26" t="str">
            <v>HBL</v>
          </cell>
          <cell r="F26" t="str">
            <v>HFT</v>
          </cell>
          <cell r="G26">
            <v>0</v>
          </cell>
          <cell r="H26">
            <v>0</v>
          </cell>
          <cell r="I26">
            <v>0</v>
          </cell>
          <cell r="J26">
            <v>0</v>
          </cell>
          <cell r="K26">
            <v>0</v>
          </cell>
          <cell r="L26">
            <v>0</v>
          </cell>
          <cell r="M26">
            <v>0</v>
          </cell>
          <cell r="N26">
            <v>0</v>
          </cell>
          <cell r="O26">
            <v>0</v>
          </cell>
          <cell r="P26">
            <v>0</v>
          </cell>
          <cell r="Q26">
            <v>0</v>
          </cell>
          <cell r="R26">
            <v>0</v>
          </cell>
        </row>
        <row r="27">
          <cell r="C27" t="str">
            <v>National Bank Of Pakistan</v>
          </cell>
          <cell r="D27" t="str">
            <v>Commercial Banks</v>
          </cell>
          <cell r="E27" t="str">
            <v>NBP</v>
          </cell>
          <cell r="F27" t="str">
            <v>HFT</v>
          </cell>
          <cell r="G27">
            <v>0</v>
          </cell>
          <cell r="H27">
            <v>0</v>
          </cell>
          <cell r="I27">
            <v>0</v>
          </cell>
          <cell r="J27">
            <v>0</v>
          </cell>
          <cell r="K27">
            <v>0</v>
          </cell>
          <cell r="L27">
            <v>0</v>
          </cell>
          <cell r="M27">
            <v>0</v>
          </cell>
          <cell r="N27">
            <v>0</v>
          </cell>
          <cell r="O27">
            <v>0</v>
          </cell>
          <cell r="P27">
            <v>0</v>
          </cell>
          <cell r="Q27">
            <v>0</v>
          </cell>
          <cell r="R27">
            <v>0</v>
          </cell>
        </row>
        <row r="28">
          <cell r="C28" t="str">
            <v>United Bank Limited</v>
          </cell>
          <cell r="D28" t="str">
            <v>Commercial Banks</v>
          </cell>
          <cell r="E28" t="str">
            <v>UBL</v>
          </cell>
          <cell r="F28" t="str">
            <v>HFT</v>
          </cell>
          <cell r="G28">
            <v>0</v>
          </cell>
          <cell r="H28">
            <v>0</v>
          </cell>
          <cell r="I28">
            <v>0</v>
          </cell>
          <cell r="J28">
            <v>0</v>
          </cell>
          <cell r="K28">
            <v>0</v>
          </cell>
          <cell r="L28">
            <v>0</v>
          </cell>
          <cell r="M28">
            <v>0</v>
          </cell>
          <cell r="N28">
            <v>0</v>
          </cell>
          <cell r="O28">
            <v>0</v>
          </cell>
          <cell r="P28">
            <v>0</v>
          </cell>
          <cell r="Q28">
            <v>0</v>
          </cell>
          <cell r="R28">
            <v>0</v>
          </cell>
        </row>
        <row r="29">
          <cell r="C29" t="str">
            <v>Aisha Steel Limited</v>
          </cell>
          <cell r="D29" t="str">
            <v>Engineering</v>
          </cell>
          <cell r="E29" t="str">
            <v>ASL</v>
          </cell>
          <cell r="F29" t="str">
            <v>HFT</v>
          </cell>
          <cell r="G29">
            <v>0</v>
          </cell>
          <cell r="H29">
            <v>0</v>
          </cell>
          <cell r="I29">
            <v>0</v>
          </cell>
          <cell r="J29">
            <v>0</v>
          </cell>
          <cell r="K29">
            <v>0</v>
          </cell>
          <cell r="L29">
            <v>0</v>
          </cell>
          <cell r="M29">
            <v>0</v>
          </cell>
          <cell r="N29">
            <v>0</v>
          </cell>
          <cell r="O29">
            <v>0</v>
          </cell>
          <cell r="P29">
            <v>0</v>
          </cell>
          <cell r="Q29">
            <v>0</v>
          </cell>
          <cell r="R29">
            <v>0</v>
          </cell>
        </row>
        <row r="30">
          <cell r="C30" t="str">
            <v>Amreli Steels Limited</v>
          </cell>
          <cell r="D30" t="str">
            <v>Engineering</v>
          </cell>
          <cell r="E30" t="str">
            <v>ASTL</v>
          </cell>
          <cell r="F30" t="str">
            <v>HFT</v>
          </cell>
          <cell r="G30">
            <v>0</v>
          </cell>
          <cell r="H30">
            <v>519500</v>
          </cell>
          <cell r="I30">
            <v>0</v>
          </cell>
          <cell r="J30">
            <v>0</v>
          </cell>
          <cell r="K30">
            <v>366500</v>
          </cell>
          <cell r="L30">
            <v>153000</v>
          </cell>
          <cell r="M30">
            <v>14439375</v>
          </cell>
          <cell r="N30">
            <v>7629376</v>
          </cell>
          <cell r="P30">
            <v>-932566</v>
          </cell>
          <cell r="Q30">
            <v>0.3</v>
          </cell>
          <cell r="R30">
            <v>0.05</v>
          </cell>
        </row>
        <row r="31">
          <cell r="C31" t="str">
            <v>Crescent Steel And Allied Products</v>
          </cell>
          <cell r="D31" t="str">
            <v>Engineering</v>
          </cell>
          <cell r="E31" t="str">
            <v>CSAP</v>
          </cell>
          <cell r="F31" t="str">
            <v>HFT</v>
          </cell>
          <cell r="G31">
            <v>0</v>
          </cell>
          <cell r="H31">
            <v>0</v>
          </cell>
          <cell r="I31">
            <v>0</v>
          </cell>
          <cell r="J31">
            <v>0</v>
          </cell>
          <cell r="K31">
            <v>0</v>
          </cell>
          <cell r="L31">
            <v>0</v>
          </cell>
          <cell r="M31">
            <v>0</v>
          </cell>
          <cell r="N31">
            <v>0</v>
          </cell>
          <cell r="O31">
            <v>0</v>
          </cell>
          <cell r="P31">
            <v>0</v>
          </cell>
          <cell r="Q31">
            <v>0</v>
          </cell>
          <cell r="R31">
            <v>0</v>
          </cell>
        </row>
        <row r="32">
          <cell r="C32" t="str">
            <v>International Industries Limited</v>
          </cell>
          <cell r="D32" t="str">
            <v>Engineering</v>
          </cell>
          <cell r="E32" t="str">
            <v>INIL</v>
          </cell>
          <cell r="F32" t="str">
            <v>HFT</v>
          </cell>
          <cell r="G32">
            <v>0</v>
          </cell>
          <cell r="H32">
            <v>160500</v>
          </cell>
          <cell r="I32">
            <v>0</v>
          </cell>
          <cell r="J32">
            <v>0</v>
          </cell>
          <cell r="K32">
            <v>146000</v>
          </cell>
          <cell r="L32">
            <v>14500</v>
          </cell>
          <cell r="M32">
            <v>4317836</v>
          </cell>
          <cell r="N32">
            <v>2243530</v>
          </cell>
          <cell r="O32">
            <v>2101630</v>
          </cell>
          <cell r="P32">
            <v>-141900</v>
          </cell>
          <cell r="Q32">
            <v>0.1</v>
          </cell>
          <cell r="R32">
            <v>0.01</v>
          </cell>
        </row>
        <row r="33">
          <cell r="C33" t="str">
            <v>International Steels Limited</v>
          </cell>
          <cell r="D33" t="str">
            <v>Engineering</v>
          </cell>
          <cell r="E33" t="str">
            <v>ISL</v>
          </cell>
          <cell r="F33" t="str">
            <v>HFT</v>
          </cell>
          <cell r="G33">
            <v>0</v>
          </cell>
          <cell r="H33">
            <v>258000</v>
          </cell>
          <cell r="I33">
            <v>0</v>
          </cell>
          <cell r="J33">
            <v>0</v>
          </cell>
          <cell r="K33">
            <v>215000</v>
          </cell>
          <cell r="L33">
            <v>43000</v>
          </cell>
          <cell r="M33">
            <v>6872380</v>
          </cell>
          <cell r="N33">
            <v>3396050</v>
          </cell>
          <cell r="O33">
            <v>3312720</v>
          </cell>
          <cell r="P33">
            <v>-83330</v>
          </cell>
          <cell r="Q33">
            <v>0.15</v>
          </cell>
          <cell r="R33">
            <v>0.01</v>
          </cell>
        </row>
        <row r="34">
          <cell r="C34" t="str">
            <v>Mughal Iron &amp; Steel Industries Limited</v>
          </cell>
          <cell r="D34" t="str">
            <v>Engineering</v>
          </cell>
          <cell r="E34" t="str">
            <v>MUGHAL</v>
          </cell>
          <cell r="F34" t="str">
            <v>HFT</v>
          </cell>
          <cell r="G34">
            <v>0</v>
          </cell>
          <cell r="H34">
            <v>129000</v>
          </cell>
          <cell r="I34">
            <v>0</v>
          </cell>
          <cell r="J34">
            <v>0</v>
          </cell>
          <cell r="K34">
            <v>119000</v>
          </cell>
          <cell r="L34">
            <v>10000</v>
          </cell>
          <cell r="M34">
            <v>700841</v>
          </cell>
          <cell r="N34">
            <v>693505</v>
          </cell>
          <cell r="O34">
            <v>642800</v>
          </cell>
          <cell r="P34">
            <v>-50705</v>
          </cell>
          <cell r="Q34">
            <v>0.03</v>
          </cell>
          <cell r="R34">
            <v>0</v>
          </cell>
        </row>
        <row r="35">
          <cell r="C35" t="str">
            <v>Engro Fertilizer Limited</v>
          </cell>
          <cell r="D35" t="str">
            <v>Fertilizer</v>
          </cell>
          <cell r="E35" t="str">
            <v>EFERT</v>
          </cell>
          <cell r="F35" t="str">
            <v>HFT</v>
          </cell>
          <cell r="G35">
            <v>0</v>
          </cell>
          <cell r="H35">
            <v>135500</v>
          </cell>
          <cell r="I35">
            <v>0</v>
          </cell>
          <cell r="J35">
            <v>0</v>
          </cell>
          <cell r="K35">
            <v>135500</v>
          </cell>
          <cell r="L35">
            <v>0</v>
          </cell>
          <cell r="M35">
            <v>0</v>
          </cell>
          <cell r="N35">
            <v>0</v>
          </cell>
          <cell r="O35">
            <v>0</v>
          </cell>
          <cell r="P35">
            <v>0</v>
          </cell>
          <cell r="Q35">
            <v>0</v>
          </cell>
          <cell r="R35">
            <v>0</v>
          </cell>
        </row>
        <row r="36">
          <cell r="C36" t="str">
            <v>Engro Corporation Limited</v>
          </cell>
          <cell r="D36" t="str">
            <v>Fertilizer</v>
          </cell>
          <cell r="E36" t="str">
            <v>ENGRO</v>
          </cell>
          <cell r="F36" t="str">
            <v>HFT</v>
          </cell>
          <cell r="G36">
            <v>0</v>
          </cell>
          <cell r="H36">
            <v>78500</v>
          </cell>
          <cell r="I36">
            <v>0</v>
          </cell>
          <cell r="J36">
            <v>0</v>
          </cell>
          <cell r="K36">
            <v>77500</v>
          </cell>
          <cell r="L36">
            <v>1000</v>
          </cell>
          <cell r="M36">
            <v>378666</v>
          </cell>
          <cell r="N36">
            <v>300350</v>
          </cell>
          <cell r="O36">
            <v>301030</v>
          </cell>
          <cell r="P36">
            <v>680</v>
          </cell>
          <cell r="Q36">
            <v>0.01</v>
          </cell>
          <cell r="R36">
            <v>0</v>
          </cell>
        </row>
        <row r="37">
          <cell r="C37" t="str">
            <v>Fatima Fertilizer Company Limited</v>
          </cell>
          <cell r="D37" t="str">
            <v>Fertilizer</v>
          </cell>
          <cell r="E37" t="str">
            <v>FATIMA</v>
          </cell>
          <cell r="F37" t="str">
            <v>HFT</v>
          </cell>
          <cell r="G37">
            <v>0</v>
          </cell>
          <cell r="H37">
            <v>0</v>
          </cell>
          <cell r="I37">
            <v>0</v>
          </cell>
          <cell r="J37">
            <v>0</v>
          </cell>
          <cell r="K37">
            <v>0</v>
          </cell>
          <cell r="L37">
            <v>0</v>
          </cell>
          <cell r="M37">
            <v>0</v>
          </cell>
          <cell r="N37">
            <v>0</v>
          </cell>
          <cell r="O37">
            <v>0</v>
          </cell>
          <cell r="P37">
            <v>0</v>
          </cell>
          <cell r="Q37">
            <v>0</v>
          </cell>
          <cell r="R37">
            <v>0</v>
          </cell>
        </row>
        <row r="38">
          <cell r="C38" t="str">
            <v>Fauji Fertilizer Bin Qasim Limited</v>
          </cell>
          <cell r="D38" t="str">
            <v>Fertilizer</v>
          </cell>
          <cell r="E38" t="str">
            <v>FFBL</v>
          </cell>
          <cell r="F38" t="str">
            <v>HFT</v>
          </cell>
          <cell r="G38">
            <v>0</v>
          </cell>
          <cell r="H38">
            <v>494000</v>
          </cell>
          <cell r="I38">
            <v>0</v>
          </cell>
          <cell r="J38">
            <v>0</v>
          </cell>
          <cell r="K38">
            <v>270500</v>
          </cell>
          <cell r="L38">
            <v>223500</v>
          </cell>
          <cell r="M38">
            <v>12507395</v>
          </cell>
          <cell r="N38">
            <v>4871585</v>
          </cell>
          <cell r="O38">
            <v>4503525</v>
          </cell>
          <cell r="P38">
            <v>-368060</v>
          </cell>
          <cell r="Q38">
            <v>0.21</v>
          </cell>
          <cell r="R38">
            <v>0.02</v>
          </cell>
        </row>
        <row r="39">
          <cell r="C39" t="str">
            <v>Fauji Fertilizer Company Limited</v>
          </cell>
          <cell r="D39" t="str">
            <v>Fertilizer</v>
          </cell>
          <cell r="E39" t="str">
            <v>FFC</v>
          </cell>
          <cell r="F39" t="str">
            <v>HFT</v>
          </cell>
          <cell r="G39">
            <v>0</v>
          </cell>
          <cell r="H39">
            <v>108000</v>
          </cell>
          <cell r="I39">
            <v>0</v>
          </cell>
          <cell r="J39">
            <v>0</v>
          </cell>
          <cell r="K39">
            <v>108000</v>
          </cell>
          <cell r="L39">
            <v>0</v>
          </cell>
          <cell r="M39">
            <v>0</v>
          </cell>
          <cell r="N39">
            <v>0</v>
          </cell>
          <cell r="O39">
            <v>0</v>
          </cell>
          <cell r="P39">
            <v>0</v>
          </cell>
          <cell r="Q39">
            <v>0</v>
          </cell>
          <cell r="R39">
            <v>0</v>
          </cell>
        </row>
        <row r="40">
          <cell r="C40" t="str">
            <v>Frieslandcampina Engro Pakistan Limited</v>
          </cell>
          <cell r="D40" t="str">
            <v>Food &amp; Personal Care Products</v>
          </cell>
          <cell r="E40" t="str">
            <v>FCEPL</v>
          </cell>
          <cell r="F40" t="str">
            <v>HFT</v>
          </cell>
          <cell r="G40">
            <v>0</v>
          </cell>
          <cell r="H40">
            <v>0</v>
          </cell>
          <cell r="I40">
            <v>0</v>
          </cell>
          <cell r="J40">
            <v>0</v>
          </cell>
          <cell r="K40">
            <v>0</v>
          </cell>
          <cell r="L40">
            <v>0</v>
          </cell>
          <cell r="M40">
            <v>0</v>
          </cell>
          <cell r="N40">
            <v>0</v>
          </cell>
          <cell r="O40">
            <v>0</v>
          </cell>
          <cell r="P40">
            <v>0</v>
          </cell>
          <cell r="Q40">
            <v>0</v>
          </cell>
          <cell r="R40">
            <v>0</v>
          </cell>
        </row>
        <row r="41">
          <cell r="C41" t="str">
            <v>Treet Corporation Limited</v>
          </cell>
          <cell r="D41" t="str">
            <v>Food &amp; Personal Care Products</v>
          </cell>
          <cell r="E41" t="str">
            <v>TREET</v>
          </cell>
          <cell r="F41" t="str">
            <v>HFT</v>
          </cell>
          <cell r="G41">
            <v>0</v>
          </cell>
          <cell r="H41">
            <v>0</v>
          </cell>
          <cell r="I41">
            <v>0</v>
          </cell>
          <cell r="J41">
            <v>0</v>
          </cell>
          <cell r="K41">
            <v>0</v>
          </cell>
          <cell r="L41">
            <v>0</v>
          </cell>
          <cell r="M41">
            <v>0</v>
          </cell>
          <cell r="N41">
            <v>0</v>
          </cell>
          <cell r="O41">
            <v>0</v>
          </cell>
          <cell r="P41">
            <v>0</v>
          </cell>
          <cell r="Q41">
            <v>0</v>
          </cell>
          <cell r="R41">
            <v>0</v>
          </cell>
        </row>
        <row r="42">
          <cell r="C42" t="str">
            <v>Adamjee Insurance Co. Limited</v>
          </cell>
          <cell r="D42" t="str">
            <v>Insurance</v>
          </cell>
          <cell r="E42" t="str">
            <v>AICL</v>
          </cell>
          <cell r="F42" t="str">
            <v>HFT</v>
          </cell>
          <cell r="G42">
            <v>0</v>
          </cell>
          <cell r="H42">
            <v>0</v>
          </cell>
          <cell r="I42">
            <v>0</v>
          </cell>
          <cell r="J42">
            <v>0</v>
          </cell>
          <cell r="K42">
            <v>0</v>
          </cell>
          <cell r="L42">
            <v>0</v>
          </cell>
          <cell r="M42">
            <v>0</v>
          </cell>
          <cell r="N42">
            <v>0</v>
          </cell>
          <cell r="O42">
            <v>0</v>
          </cell>
          <cell r="P42">
            <v>0</v>
          </cell>
          <cell r="Q42">
            <v>0</v>
          </cell>
          <cell r="R42">
            <v>0</v>
          </cell>
        </row>
        <row r="43">
          <cell r="C43" t="str">
            <v>Oil &amp; Gas Development Company Limited</v>
          </cell>
          <cell r="D43" t="str">
            <v>OIL &amp; GAS EXPLORATION COMPANIES</v>
          </cell>
          <cell r="E43" t="str">
            <v>OGDC</v>
          </cell>
          <cell r="F43" t="str">
            <v>HFT</v>
          </cell>
          <cell r="G43">
            <v>0</v>
          </cell>
          <cell r="H43">
            <v>42000</v>
          </cell>
          <cell r="I43">
            <v>0</v>
          </cell>
          <cell r="J43">
            <v>0</v>
          </cell>
          <cell r="K43">
            <v>37500</v>
          </cell>
          <cell r="L43">
            <v>4500</v>
          </cell>
          <cell r="M43">
            <v>745746</v>
          </cell>
          <cell r="N43">
            <v>473548</v>
          </cell>
          <cell r="O43">
            <v>466200</v>
          </cell>
          <cell r="P43">
            <v>-7348</v>
          </cell>
          <cell r="Q43">
            <v>0.02</v>
          </cell>
          <cell r="R43">
            <v>0</v>
          </cell>
        </row>
        <row r="44">
          <cell r="C44" t="str">
            <v>Pakistan Oilfields Limited</v>
          </cell>
          <cell r="D44" t="str">
            <v>OIL &amp; GAS EXPLORATION COMPANIES</v>
          </cell>
          <cell r="E44" t="str">
            <v>POL</v>
          </cell>
          <cell r="F44" t="str">
            <v>HFT</v>
          </cell>
          <cell r="G44">
            <v>0</v>
          </cell>
          <cell r="H44">
            <v>34000</v>
          </cell>
          <cell r="I44">
            <v>0</v>
          </cell>
          <cell r="J44">
            <v>0</v>
          </cell>
          <cell r="K44">
            <v>14000</v>
          </cell>
          <cell r="L44">
            <v>20000</v>
          </cell>
          <cell r="M44">
            <v>11277066</v>
          </cell>
          <cell r="N44">
            <v>8573092</v>
          </cell>
          <cell r="O44">
            <v>8426600</v>
          </cell>
          <cell r="P44">
            <v>-146492</v>
          </cell>
          <cell r="Q44">
            <v>0.38</v>
          </cell>
          <cell r="R44">
            <v>0.01</v>
          </cell>
        </row>
        <row r="45">
          <cell r="C45" t="str">
            <v>Pakistan Petroleum Limited</v>
          </cell>
          <cell r="D45" t="str">
            <v>OIL &amp; GAS EXPLORATION COMPANIES</v>
          </cell>
          <cell r="E45" t="str">
            <v>PPL</v>
          </cell>
          <cell r="F45" t="str">
            <v>HFT</v>
          </cell>
          <cell r="G45">
            <v>0</v>
          </cell>
          <cell r="H45">
            <v>1340500</v>
          </cell>
          <cell r="I45">
            <v>0</v>
          </cell>
          <cell r="J45">
            <v>0</v>
          </cell>
          <cell r="K45">
            <v>439500</v>
          </cell>
          <cell r="L45">
            <v>901000</v>
          </cell>
          <cell r="M45">
            <v>184306758</v>
          </cell>
          <cell r="N45">
            <v>86358237</v>
          </cell>
          <cell r="O45">
            <v>82946060</v>
          </cell>
          <cell r="P45">
            <v>-3412177</v>
          </cell>
          <cell r="Q45">
            <v>3.78</v>
          </cell>
          <cell r="R45">
            <v>0.03</v>
          </cell>
        </row>
        <row r="46">
          <cell r="C46" t="str">
            <v>Hascol Petroleum Limited</v>
          </cell>
          <cell r="D46" t="str">
            <v>Oil And Gas Marketing Companies</v>
          </cell>
          <cell r="E46" t="str">
            <v>HASCOL</v>
          </cell>
          <cell r="F46" t="str">
            <v>HFT</v>
          </cell>
          <cell r="G46">
            <v>0</v>
          </cell>
          <cell r="H46">
            <v>0</v>
          </cell>
          <cell r="I46">
            <v>0</v>
          </cell>
          <cell r="J46">
            <v>0</v>
          </cell>
          <cell r="K46">
            <v>0</v>
          </cell>
          <cell r="L46">
            <v>0</v>
          </cell>
          <cell r="M46">
            <v>0</v>
          </cell>
          <cell r="N46">
            <v>0</v>
          </cell>
          <cell r="O46">
            <v>0</v>
          </cell>
          <cell r="P46">
            <v>0</v>
          </cell>
          <cell r="Q46">
            <v>0</v>
          </cell>
          <cell r="R46">
            <v>0</v>
          </cell>
        </row>
        <row r="47">
          <cell r="C47" t="str">
            <v>Pakistan State Oil Companylimited.</v>
          </cell>
          <cell r="D47" t="str">
            <v>Oil And Gas Marketing Companies</v>
          </cell>
          <cell r="E47" t="str">
            <v>PSO</v>
          </cell>
          <cell r="F47" t="str">
            <v>HFT</v>
          </cell>
          <cell r="G47">
            <v>0</v>
          </cell>
          <cell r="H47">
            <v>312000</v>
          </cell>
          <cell r="I47">
            <v>0</v>
          </cell>
          <cell r="J47">
            <v>0</v>
          </cell>
          <cell r="K47">
            <v>277500</v>
          </cell>
          <cell r="L47">
            <v>34500</v>
          </cell>
          <cell r="M47">
            <v>15834776</v>
          </cell>
          <cell r="N47">
            <v>6822844</v>
          </cell>
          <cell r="O47">
            <v>6906900</v>
          </cell>
          <cell r="P47">
            <v>84056</v>
          </cell>
          <cell r="Q47">
            <v>0.31</v>
          </cell>
          <cell r="R47">
            <v>0.01</v>
          </cell>
        </row>
        <row r="48">
          <cell r="C48" t="str">
            <v>Sui Northern Gas Pipelines Limited</v>
          </cell>
          <cell r="D48" t="str">
            <v>Oil And Gas Marketing Companies</v>
          </cell>
          <cell r="E48" t="str">
            <v>SNGP</v>
          </cell>
          <cell r="F48" t="str">
            <v>HFT</v>
          </cell>
          <cell r="G48">
            <v>0</v>
          </cell>
          <cell r="H48">
            <v>0</v>
          </cell>
          <cell r="I48">
            <v>0</v>
          </cell>
          <cell r="J48">
            <v>0</v>
          </cell>
          <cell r="K48">
            <v>0</v>
          </cell>
          <cell r="L48">
            <v>0</v>
          </cell>
          <cell r="M48">
            <v>0</v>
          </cell>
          <cell r="N48">
            <v>0</v>
          </cell>
          <cell r="O48">
            <v>0</v>
          </cell>
          <cell r="P48">
            <v>0</v>
          </cell>
          <cell r="Q48">
            <v>0</v>
          </cell>
          <cell r="R48">
            <v>0</v>
          </cell>
        </row>
        <row r="49">
          <cell r="C49" t="str">
            <v>Sui Southern Gas Company Limited</v>
          </cell>
          <cell r="D49" t="str">
            <v>Oil And Gas Marketing Companies</v>
          </cell>
          <cell r="E49" t="str">
            <v>SSGC</v>
          </cell>
          <cell r="F49" t="str">
            <v>HFT</v>
          </cell>
          <cell r="G49">
            <v>0</v>
          </cell>
          <cell r="H49">
            <v>443000</v>
          </cell>
          <cell r="I49">
            <v>0</v>
          </cell>
          <cell r="J49">
            <v>0</v>
          </cell>
          <cell r="K49">
            <v>430000</v>
          </cell>
          <cell r="L49">
            <v>13000</v>
          </cell>
          <cell r="M49">
            <v>458591</v>
          </cell>
          <cell r="N49">
            <v>238271</v>
          </cell>
          <cell r="O49">
            <v>219700</v>
          </cell>
          <cell r="P49">
            <v>-18571</v>
          </cell>
          <cell r="Q49">
            <v>0.01</v>
          </cell>
          <cell r="R49">
            <v>0</v>
          </cell>
        </row>
        <row r="50">
          <cell r="C50" t="str">
            <v>The Searle Company Limited</v>
          </cell>
          <cell r="D50" t="str">
            <v>Pharmaceuticals</v>
          </cell>
          <cell r="E50" t="str">
            <v>SEARL</v>
          </cell>
          <cell r="F50" t="str">
            <v>HFT</v>
          </cell>
          <cell r="G50">
            <v>0</v>
          </cell>
          <cell r="H50">
            <v>262000</v>
          </cell>
          <cell r="I50">
            <v>0</v>
          </cell>
          <cell r="J50">
            <v>0</v>
          </cell>
          <cell r="K50">
            <v>231000</v>
          </cell>
          <cell r="L50">
            <v>31000</v>
          </cell>
          <cell r="M50">
            <v>11507014</v>
          </cell>
          <cell r="N50">
            <v>8258453</v>
          </cell>
          <cell r="O50">
            <v>7945610</v>
          </cell>
          <cell r="P50">
            <v>-312843</v>
          </cell>
          <cell r="Q50">
            <v>0.36</v>
          </cell>
          <cell r="R50">
            <v>0.01</v>
          </cell>
        </row>
        <row r="52">
          <cell r="C52" t="str">
            <v>Pinting Date&amp;Time:</v>
          </cell>
          <cell r="D52" t="str">
            <v>OCT-14-20 08:10 PM</v>
          </cell>
          <cell r="R52" t="str">
            <v>Page 2</v>
          </cell>
        </row>
        <row r="53">
          <cell r="C53" t="str">
            <v>Equity Valuation</v>
          </cell>
        </row>
        <row r="55">
          <cell r="F55" t="str">
            <v>PAKISTAN INCOME FUND</v>
          </cell>
          <cell r="G55" t="str">
            <v>From:</v>
          </cell>
          <cell r="H55" t="str">
            <v>01-JUL-20</v>
          </cell>
          <cell r="I55" t="str">
            <v>TO</v>
          </cell>
          <cell r="J55" t="str">
            <v>30-SEP-20</v>
          </cell>
        </row>
        <row r="57">
          <cell r="D57" t="str">
            <v>Sector</v>
          </cell>
          <cell r="E57" t="str">
            <v>Symbol</v>
          </cell>
          <cell r="F57" t="str">
            <v>Classific ation</v>
          </cell>
          <cell r="G57" t="str">
            <v>Opening</v>
          </cell>
          <cell r="H57" t="str">
            <v>Buy</v>
          </cell>
          <cell r="I57" t="str">
            <v>Bonus</v>
          </cell>
          <cell r="J57" t="str">
            <v>Right</v>
          </cell>
          <cell r="K57" t="str">
            <v>Sale</v>
          </cell>
          <cell r="L57" t="str">
            <v>Closing</v>
          </cell>
          <cell r="M57" t="str">
            <v>Historical Cost</v>
          </cell>
          <cell r="N57" t="str">
            <v>Carrying Cost</v>
          </cell>
          <cell r="O57" t="str">
            <v>Market Value</v>
          </cell>
          <cell r="P57" t="str">
            <v>Unrealized Gain/Loss</v>
          </cell>
          <cell r="Q57" t="str">
            <v>%</v>
          </cell>
          <cell r="R57" t="str">
            <v>%</v>
          </cell>
        </row>
        <row r="58">
          <cell r="C58" t="str">
            <v>Company Name</v>
          </cell>
          <cell r="Q58" t="str">
            <v>Of Net Asset</v>
          </cell>
          <cell r="R58" t="str">
            <v>Of  Paid up Capital</v>
          </cell>
        </row>
        <row r="59">
          <cell r="C59" t="str">
            <v>Hub Power Company Limited</v>
          </cell>
          <cell r="D59" t="str">
            <v>Power Generation &amp; Distribution</v>
          </cell>
          <cell r="E59" t="str">
            <v>HUBC</v>
          </cell>
          <cell r="F59" t="str">
            <v>HFT</v>
          </cell>
          <cell r="G59">
            <v>0</v>
          </cell>
          <cell r="H59">
            <v>617000</v>
          </cell>
          <cell r="I59">
            <v>0</v>
          </cell>
          <cell r="J59">
            <v>0</v>
          </cell>
          <cell r="K59">
            <v>606500</v>
          </cell>
          <cell r="L59">
            <v>10500</v>
          </cell>
          <cell r="M59">
            <v>1345234</v>
          </cell>
          <cell r="N59">
            <v>874365</v>
          </cell>
          <cell r="P59">
            <v>-50535</v>
          </cell>
          <cell r="Q59">
            <v>0.04</v>
          </cell>
          <cell r="R59">
            <v>0</v>
          </cell>
        </row>
        <row r="60">
          <cell r="O60">
            <v>823830</v>
          </cell>
        </row>
        <row r="61">
          <cell r="C61" t="str">
            <v>Kot Addu Power Co. Limited</v>
          </cell>
          <cell r="D61" t="str">
            <v>Power Generation &amp; Distribution</v>
          </cell>
          <cell r="E61" t="str">
            <v>KAPCO</v>
          </cell>
          <cell r="F61" t="str">
            <v>HFT</v>
          </cell>
          <cell r="G61">
            <v>0</v>
          </cell>
          <cell r="H61">
            <v>2393000</v>
          </cell>
          <cell r="I61">
            <v>0</v>
          </cell>
          <cell r="J61">
            <v>0</v>
          </cell>
          <cell r="K61">
            <v>1887500</v>
          </cell>
          <cell r="L61">
            <v>505500</v>
          </cell>
          <cell r="M61">
            <v>42099051</v>
          </cell>
          <cell r="N61">
            <v>14778495</v>
          </cell>
          <cell r="O61">
            <v>13324980</v>
          </cell>
          <cell r="P61">
            <v>-1453515</v>
          </cell>
          <cell r="Q61">
            <v>0.61</v>
          </cell>
          <cell r="R61">
            <v>0.06</v>
          </cell>
        </row>
        <row r="62">
          <cell r="C62" t="str">
            <v>K-Electric Limited</v>
          </cell>
          <cell r="D62" t="str">
            <v>Power Generation &amp; Distribution</v>
          </cell>
          <cell r="E62" t="str">
            <v>KEL</v>
          </cell>
          <cell r="F62" t="str">
            <v>HFT</v>
          </cell>
          <cell r="G62">
            <v>0</v>
          </cell>
          <cell r="H62">
            <v>2891000</v>
          </cell>
          <cell r="I62">
            <v>0</v>
          </cell>
          <cell r="J62">
            <v>0</v>
          </cell>
          <cell r="K62">
            <v>2757500</v>
          </cell>
          <cell r="L62">
            <v>133500</v>
          </cell>
          <cell r="M62">
            <v>1372086</v>
          </cell>
          <cell r="N62">
            <v>566748</v>
          </cell>
          <cell r="O62">
            <v>562035</v>
          </cell>
          <cell r="P62">
            <v>-4713</v>
          </cell>
          <cell r="Q62">
            <v>0.03</v>
          </cell>
          <cell r="R62">
            <v>0</v>
          </cell>
        </row>
        <row r="63">
          <cell r="C63" t="str">
            <v>Attock Refinery Limited</v>
          </cell>
          <cell r="D63" t="str">
            <v>Refinery</v>
          </cell>
          <cell r="E63" t="str">
            <v>ATRL</v>
          </cell>
          <cell r="F63" t="str">
            <v>HFT</v>
          </cell>
          <cell r="G63">
            <v>0</v>
          </cell>
          <cell r="H63">
            <v>305000</v>
          </cell>
          <cell r="I63">
            <v>0</v>
          </cell>
          <cell r="J63">
            <v>0</v>
          </cell>
          <cell r="K63">
            <v>177500</v>
          </cell>
          <cell r="L63">
            <v>127500</v>
          </cell>
          <cell r="M63">
            <v>61471728</v>
          </cell>
          <cell r="N63">
            <v>20476245</v>
          </cell>
          <cell r="O63">
            <v>17783700</v>
          </cell>
          <cell r="P63">
            <v>-2692545</v>
          </cell>
          <cell r="Q63">
            <v>0.81</v>
          </cell>
          <cell r="R63">
            <v>0.12</v>
          </cell>
        </row>
        <row r="64">
          <cell r="C64" t="str">
            <v>Byco Petroleum Pakistan Limited</v>
          </cell>
          <cell r="D64" t="str">
            <v>Refinery</v>
          </cell>
          <cell r="E64" t="str">
            <v>BYCO</v>
          </cell>
          <cell r="F64" t="str">
            <v>HFT</v>
          </cell>
          <cell r="G64">
            <v>0</v>
          </cell>
          <cell r="H64">
            <v>0</v>
          </cell>
          <cell r="I64">
            <v>0</v>
          </cell>
          <cell r="J64">
            <v>0</v>
          </cell>
          <cell r="K64">
            <v>0</v>
          </cell>
          <cell r="L64">
            <v>0</v>
          </cell>
          <cell r="M64">
            <v>0</v>
          </cell>
          <cell r="N64">
            <v>0</v>
          </cell>
          <cell r="O64">
            <v>0</v>
          </cell>
          <cell r="P64">
            <v>0</v>
          </cell>
          <cell r="Q64">
            <v>0</v>
          </cell>
          <cell r="R64">
            <v>0</v>
          </cell>
        </row>
        <row r="65">
          <cell r="C65" t="str">
            <v>National Refinery Limited</v>
          </cell>
          <cell r="D65" t="str">
            <v>Refinery</v>
          </cell>
          <cell r="E65" t="str">
            <v>NRL</v>
          </cell>
          <cell r="F65" t="str">
            <v>HFT</v>
          </cell>
          <cell r="G65">
            <v>0</v>
          </cell>
          <cell r="H65">
            <v>225000</v>
          </cell>
          <cell r="I65">
            <v>0</v>
          </cell>
          <cell r="J65">
            <v>0</v>
          </cell>
          <cell r="K65">
            <v>162000</v>
          </cell>
          <cell r="L65">
            <v>63000</v>
          </cell>
          <cell r="M65">
            <v>27984776</v>
          </cell>
          <cell r="N65">
            <v>12379185</v>
          </cell>
          <cell r="O65">
            <v>10960110</v>
          </cell>
          <cell r="P65">
            <v>-1419075</v>
          </cell>
          <cell r="Q65">
            <v>0.5</v>
          </cell>
          <cell r="R65">
            <v>0.08</v>
          </cell>
        </row>
        <row r="66">
          <cell r="C66" t="str">
            <v>Avanceon Limited</v>
          </cell>
          <cell r="D66" t="str">
            <v>Technology &amp; Communications</v>
          </cell>
          <cell r="E66" t="str">
            <v>AVN</v>
          </cell>
          <cell r="F66" t="str">
            <v>HFT</v>
          </cell>
          <cell r="G66">
            <v>0</v>
          </cell>
          <cell r="H66">
            <v>703000</v>
          </cell>
          <cell r="I66">
            <v>0</v>
          </cell>
          <cell r="J66">
            <v>0</v>
          </cell>
          <cell r="K66">
            <v>635500</v>
          </cell>
          <cell r="L66">
            <v>67500</v>
          </cell>
          <cell r="M66">
            <v>4367540</v>
          </cell>
          <cell r="N66">
            <v>4367540</v>
          </cell>
          <cell r="O66">
            <v>4537350</v>
          </cell>
          <cell r="P66">
            <v>169810</v>
          </cell>
          <cell r="Q66">
            <v>0.21</v>
          </cell>
          <cell r="R66">
            <v>0.03</v>
          </cell>
        </row>
        <row r="67">
          <cell r="C67" t="str">
            <v>Hum Network</v>
          </cell>
          <cell r="D67" t="str">
            <v>Technology &amp; Communications</v>
          </cell>
          <cell r="E67" t="str">
            <v>HUMNL</v>
          </cell>
          <cell r="F67" t="str">
            <v>HFT</v>
          </cell>
          <cell r="G67">
            <v>0</v>
          </cell>
          <cell r="H67">
            <v>0</v>
          </cell>
          <cell r="I67">
            <v>0</v>
          </cell>
          <cell r="J67">
            <v>0</v>
          </cell>
          <cell r="K67">
            <v>0</v>
          </cell>
          <cell r="L67">
            <v>0</v>
          </cell>
          <cell r="M67">
            <v>0</v>
          </cell>
          <cell r="N67">
            <v>0</v>
          </cell>
          <cell r="O67">
            <v>0</v>
          </cell>
          <cell r="P67">
            <v>0</v>
          </cell>
          <cell r="Q67">
            <v>0</v>
          </cell>
          <cell r="R67">
            <v>0</v>
          </cell>
        </row>
        <row r="68">
          <cell r="C68" t="str">
            <v>Netsol Technologies</v>
          </cell>
          <cell r="D68" t="str">
            <v>Technology &amp; Communications</v>
          </cell>
          <cell r="E68" t="str">
            <v>NETSOL</v>
          </cell>
          <cell r="F68" t="str">
            <v>HFT</v>
          </cell>
          <cell r="G68">
            <v>0</v>
          </cell>
          <cell r="H68">
            <v>334000</v>
          </cell>
          <cell r="I68">
            <v>0</v>
          </cell>
          <cell r="J68">
            <v>0</v>
          </cell>
          <cell r="K68">
            <v>253500</v>
          </cell>
          <cell r="L68">
            <v>80500</v>
          </cell>
          <cell r="M68">
            <v>5534753</v>
          </cell>
          <cell r="N68">
            <v>5365132</v>
          </cell>
          <cell r="O68">
            <v>4838855</v>
          </cell>
          <cell r="P68">
            <v>-526277</v>
          </cell>
          <cell r="Q68">
            <v>0.22</v>
          </cell>
          <cell r="R68">
            <v>0.09</v>
          </cell>
        </row>
        <row r="69">
          <cell r="C69" t="str">
            <v>Pakistan Telecommunication Company Limited</v>
          </cell>
          <cell r="D69" t="str">
            <v>Technology &amp; Communications</v>
          </cell>
          <cell r="E69" t="str">
            <v>PTC</v>
          </cell>
          <cell r="F69" t="str">
            <v>HFT</v>
          </cell>
          <cell r="G69">
            <v>0</v>
          </cell>
          <cell r="H69">
            <v>0</v>
          </cell>
          <cell r="I69">
            <v>0</v>
          </cell>
          <cell r="J69">
            <v>0</v>
          </cell>
          <cell r="K69">
            <v>0</v>
          </cell>
          <cell r="L69">
            <v>0</v>
          </cell>
          <cell r="M69">
            <v>0</v>
          </cell>
          <cell r="N69">
            <v>0</v>
          </cell>
          <cell r="O69">
            <v>0</v>
          </cell>
          <cell r="P69">
            <v>0</v>
          </cell>
          <cell r="Q69">
            <v>0</v>
          </cell>
          <cell r="R69">
            <v>0</v>
          </cell>
        </row>
        <row r="70">
          <cell r="C70" t="str">
            <v>Trg Pakistan</v>
          </cell>
          <cell r="D70" t="str">
            <v>Technology &amp; Communications</v>
          </cell>
          <cell r="E70" t="str">
            <v>TRG</v>
          </cell>
          <cell r="F70" t="str">
            <v>HFT</v>
          </cell>
          <cell r="G70">
            <v>0</v>
          </cell>
          <cell r="H70">
            <v>0</v>
          </cell>
          <cell r="I70">
            <v>0</v>
          </cell>
          <cell r="J70">
            <v>0</v>
          </cell>
          <cell r="K70">
            <v>0</v>
          </cell>
          <cell r="L70">
            <v>0</v>
          </cell>
          <cell r="M70">
            <v>0</v>
          </cell>
          <cell r="N70">
            <v>0</v>
          </cell>
          <cell r="O70">
            <v>0</v>
          </cell>
          <cell r="P70">
            <v>0</v>
          </cell>
          <cell r="Q70">
            <v>0</v>
          </cell>
          <cell r="R70">
            <v>0</v>
          </cell>
        </row>
        <row r="71">
          <cell r="C71" t="str">
            <v>Worldcall Telecom Limited</v>
          </cell>
          <cell r="D71" t="str">
            <v>Technology &amp; Communications</v>
          </cell>
          <cell r="E71" t="str">
            <v>WTL</v>
          </cell>
          <cell r="F71" t="str">
            <v>HFT</v>
          </cell>
          <cell r="G71">
            <v>0</v>
          </cell>
          <cell r="H71">
            <v>0</v>
          </cell>
          <cell r="I71">
            <v>0</v>
          </cell>
          <cell r="J71">
            <v>0</v>
          </cell>
          <cell r="K71">
            <v>0</v>
          </cell>
          <cell r="L71">
            <v>0</v>
          </cell>
          <cell r="M71">
            <v>0</v>
          </cell>
          <cell r="N71">
            <v>0</v>
          </cell>
          <cell r="O71">
            <v>0</v>
          </cell>
          <cell r="P71">
            <v>0</v>
          </cell>
          <cell r="Q71">
            <v>0</v>
          </cell>
          <cell r="R71">
            <v>0</v>
          </cell>
        </row>
        <row r="72">
          <cell r="C72" t="str">
            <v>Gul Ahmed Textile Mills Limited</v>
          </cell>
          <cell r="D72" t="str">
            <v>Textile Composite</v>
          </cell>
          <cell r="E72" t="str">
            <v>GATM</v>
          </cell>
          <cell r="F72" t="str">
            <v>HFT</v>
          </cell>
          <cell r="G72">
            <v>0</v>
          </cell>
          <cell r="H72">
            <v>40000</v>
          </cell>
          <cell r="I72">
            <v>0</v>
          </cell>
          <cell r="J72">
            <v>0</v>
          </cell>
          <cell r="K72">
            <v>37500</v>
          </cell>
          <cell r="L72">
            <v>2500</v>
          </cell>
          <cell r="M72">
            <v>106296</v>
          </cell>
          <cell r="N72">
            <v>104885</v>
          </cell>
          <cell r="O72">
            <v>93300</v>
          </cell>
          <cell r="P72">
            <v>-11585</v>
          </cell>
          <cell r="Q72">
            <v>0</v>
          </cell>
          <cell r="R72">
            <v>0</v>
          </cell>
        </row>
        <row r="73">
          <cell r="C73" t="str">
            <v>Nishat (Chunian) Limited</v>
          </cell>
          <cell r="D73" t="str">
            <v>Textile Composite</v>
          </cell>
          <cell r="E73" t="str">
            <v>NCL</v>
          </cell>
          <cell r="F73" t="str">
            <v>HFT</v>
          </cell>
          <cell r="G73">
            <v>0</v>
          </cell>
          <cell r="H73">
            <v>0</v>
          </cell>
          <cell r="I73">
            <v>0</v>
          </cell>
          <cell r="J73">
            <v>0</v>
          </cell>
          <cell r="K73">
            <v>0</v>
          </cell>
          <cell r="L73">
            <v>0</v>
          </cell>
          <cell r="M73">
            <v>0</v>
          </cell>
          <cell r="N73">
            <v>0</v>
          </cell>
          <cell r="O73">
            <v>0</v>
          </cell>
          <cell r="P73">
            <v>0</v>
          </cell>
          <cell r="Q73">
            <v>0</v>
          </cell>
          <cell r="R73">
            <v>0</v>
          </cell>
        </row>
        <row r="74">
          <cell r="C74" t="str">
            <v>Nishat Mills Limited</v>
          </cell>
          <cell r="D74" t="str">
            <v>Textile Composite</v>
          </cell>
          <cell r="E74" t="str">
            <v>NML</v>
          </cell>
          <cell r="F74" t="str">
            <v>HFT</v>
          </cell>
          <cell r="G74">
            <v>0</v>
          </cell>
          <cell r="H74">
            <v>136500</v>
          </cell>
          <cell r="I74">
            <v>0</v>
          </cell>
          <cell r="J74">
            <v>0</v>
          </cell>
          <cell r="K74">
            <v>10500</v>
          </cell>
          <cell r="L74">
            <v>126000</v>
          </cell>
          <cell r="M74">
            <v>22451360</v>
          </cell>
          <cell r="N74">
            <v>13335664</v>
          </cell>
          <cell r="O74">
            <v>12734820</v>
          </cell>
          <cell r="P74">
            <v>-600844</v>
          </cell>
          <cell r="Q74">
            <v>0.57999999999999996</v>
          </cell>
          <cell r="R74">
            <v>0.04</v>
          </cell>
        </row>
        <row r="75">
          <cell r="C75" t="str">
            <v>Pakistan Interntional Bulk Terminal Limited</v>
          </cell>
          <cell r="D75" t="str">
            <v>Transport</v>
          </cell>
          <cell r="E75" t="str">
            <v>PIBTL</v>
          </cell>
          <cell r="F75" t="str">
            <v>HFT</v>
          </cell>
          <cell r="G75">
            <v>0</v>
          </cell>
          <cell r="H75">
            <v>7613500</v>
          </cell>
          <cell r="I75">
            <v>0</v>
          </cell>
          <cell r="J75">
            <v>0</v>
          </cell>
          <cell r="K75">
            <v>5476500</v>
          </cell>
          <cell r="L75">
            <v>2137000</v>
          </cell>
          <cell r="M75">
            <v>39269512</v>
          </cell>
          <cell r="N75">
            <v>28099413</v>
          </cell>
          <cell r="O75">
            <v>26413320</v>
          </cell>
          <cell r="P75">
            <v>-1686093</v>
          </cell>
          <cell r="Q75">
            <v>1.2</v>
          </cell>
          <cell r="R75">
            <v>0.12</v>
          </cell>
        </row>
        <row r="76">
          <cell r="C76" t="str">
            <v>Unity Foods Limited</v>
          </cell>
          <cell r="D76" t="str">
            <v>Vanaspati &amp; Allied Industries</v>
          </cell>
          <cell r="E76" t="str">
            <v>UNITY</v>
          </cell>
          <cell r="F76" t="str">
            <v>HFT</v>
          </cell>
          <cell r="G76">
            <v>0</v>
          </cell>
          <cell r="H76">
            <v>6204500</v>
          </cell>
          <cell r="I76">
            <v>0</v>
          </cell>
          <cell r="J76">
            <v>0</v>
          </cell>
          <cell r="K76">
            <v>0</v>
          </cell>
          <cell r="L76">
            <v>6204500</v>
          </cell>
          <cell r="M76">
            <v>113538007</v>
          </cell>
          <cell r="N76">
            <v>113536766</v>
          </cell>
          <cell r="O76">
            <v>103304925</v>
          </cell>
          <cell r="P76">
            <v>-10231841</v>
          </cell>
          <cell r="Q76">
            <v>4.7</v>
          </cell>
          <cell r="R76">
            <v>0.62</v>
          </cell>
        </row>
        <row r="78">
          <cell r="D78" t="str">
            <v>Total:</v>
          </cell>
          <cell r="E78">
            <v>33561500</v>
          </cell>
          <cell r="F78">
            <v>0</v>
          </cell>
          <cell r="G78">
            <v>0</v>
          </cell>
          <cell r="H78">
            <v>20987500</v>
          </cell>
          <cell r="I78">
            <v>12574000</v>
          </cell>
          <cell r="J78">
            <v>788775759</v>
          </cell>
          <cell r="K78">
            <v>430367004</v>
          </cell>
          <cell r="M78">
            <v>400671200</v>
          </cell>
          <cell r="N78">
            <v>-29695804</v>
          </cell>
          <cell r="O78">
            <v>18.2</v>
          </cell>
          <cell r="P78">
            <v>1.6</v>
          </cell>
        </row>
        <row r="80">
          <cell r="C80" t="str">
            <v>Pinting Date&amp;Time:</v>
          </cell>
          <cell r="D80" t="str">
            <v>OCT-14-20 08:10 PM</v>
          </cell>
          <cell r="R80" t="str">
            <v>Page 3</v>
          </cell>
        </row>
      </sheetData>
      <sheetData sheetId="1"/>
      <sheetData sheetId="2"/>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ome Certification "/>
      <sheetName val="TB"/>
      <sheetName val="DS"/>
      <sheetName val="30 June 2017"/>
      <sheetName val="BS"/>
      <sheetName val="Sheet1"/>
      <sheetName val="IS"/>
      <sheetName val="Comprehensive statement"/>
      <sheetName val="SOCI"/>
      <sheetName val="UHF - Final"/>
      <sheetName val="UHF-EY"/>
      <sheetName val="UHF"/>
      <sheetName val="Unit holders' statement"/>
      <sheetName val="UHF-LY"/>
      <sheetName val="Cash Flow"/>
      <sheetName val="1-1.9"/>
      <sheetName val="N-1"/>
      <sheetName val="2-6"/>
      <sheetName val="6.1.1-6.2.1.3"/>
      <sheetName val="7-12.2"/>
      <sheetName val="13-17"/>
      <sheetName val="17.1"/>
      <sheetName val="17.2-17.3"/>
      <sheetName val="18-19"/>
      <sheetName val="19.1-19.1.2"/>
      <sheetName val="19.1.2-19.3"/>
      <sheetName val="19.3-20"/>
      <sheetName val="21-25"/>
      <sheetName val="TB 30june18"/>
      <sheetName val="N 23-24"/>
      <sheetName val="tb 2016"/>
      <sheetName val="TB2014"/>
      <sheetName val="ISE"/>
      <sheetName val="Sheet3"/>
      <sheetName val="RP supports"/>
      <sheetName val="RP"/>
      <sheetName val="maturity"/>
      <sheetName val="brokerage"/>
      <sheetName val="sensitivity PIB Tbills"/>
      <sheetName val="sensitivity SUKUKs"/>
      <sheetName val="Note 2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02">
          <cell r="O102">
            <v>0</v>
          </cell>
        </row>
        <row r="152">
          <cell r="O152">
            <v>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 '@' Functions"/>
      <sheetName val="AS2AFUNC"/>
    </sheetNames>
    <definedNames>
      <definedName name="Ara"/>
      <definedName name="Arp"/>
    </defined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 Dhabi"/>
      <sheetName val="Dubai"/>
      <sheetName val="UK"/>
      <sheetName val="Bahrain"/>
      <sheetName val="YEMEN"/>
      <sheetName val="AREA-TOTALS"/>
      <sheetName val="BS-US$"/>
      <sheetName val="Sheet1"/>
      <sheetName val="Sheet2"/>
      <sheetName val="DEC-05"/>
      <sheetName val="LS-UAE"/>
      <sheetName val="Note 9.2.4-9.2.7"/>
      <sheetName val="Abu_Dhabi"/>
      <sheetName val="Abu_Dhabi1"/>
      <sheetName val="Tables"/>
      <sheetName val="BS-OVS"/>
      <sheetName val="BSDOMOVS"/>
      <sheetName val="A-C CODE &amp; NAME"/>
      <sheetName val="Lookups"/>
      <sheetName val="1-bwb(cb)"/>
      <sheetName val="Abu_Dhabi2"/>
      <sheetName val="Note_9_2_4-9_2_7"/>
      <sheetName val="A-C_CODE_&amp;_NAME"/>
      <sheetName val="Summary"/>
      <sheetName val="CIBG Budget KPIs"/>
      <sheetName val="Budget 2015"/>
      <sheetName val="TFCs"/>
      <sheetName val="T Bills "/>
      <sheetName val="PIBs"/>
      <sheetName val="Conventional BS"/>
      <sheetName val="WorkSheet"/>
      <sheetName val="PiB"/>
      <sheetName val="T bills"/>
      <sheetName val="Sheet3"/>
      <sheetName val="TFC"/>
      <sheetName val="Data"/>
      <sheetName val="I-B"/>
      <sheetName val="P&amp;L Commentary"/>
      <sheetName val="Abu_Dhabi3"/>
      <sheetName val="Note_9_2_4-9_2_71"/>
      <sheetName val="A-C_CODE_&amp;_NAME1"/>
      <sheetName val="deposit"/>
      <sheetName val="FX_130"/>
      <sheetName val="Template"/>
      <sheetName val="Parameter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UAE"/>
      <sheetName val="LS-UK"/>
      <sheetName val="0"/>
      <sheetName val="PIB&amp;A.G.ZURICH"/>
      <sheetName val="LS-OTHERS"/>
      <sheetName val="Sheet1"/>
      <sheetName val="LS-TOTAL"/>
      <sheetName val="a"/>
      <sheetName val="LS_UAE"/>
      <sheetName val="#REF"/>
      <sheetName val="PKRV"/>
      <sheetName val="BSDOMOVS"/>
      <sheetName val="Abu Dhabi"/>
      <sheetName val="5 TO 36"/>
      <sheetName val="BS"/>
      <sheetName val="FF"/>
      <sheetName val="PIB&amp;A_G_ZURICH"/>
      <sheetName val="PIB&amp;A_G_ZURICH1"/>
      <sheetName val="Balance sheet UAE"/>
      <sheetName val="Maturity profile assump"/>
      <sheetName val="Furniture"/>
      <sheetName val="Tables"/>
      <sheetName val="Rating"/>
      <sheetName val="34-38.2"/>
      <sheetName val="PIB&amp;A_G_ZURICH2"/>
      <sheetName val="Abu_Dhabi"/>
      <sheetName val="5_TO_36"/>
      <sheetName val="Note 9.2.4-9.2.7"/>
      <sheetName val="II- INV CO"/>
      <sheetName val="30-34"/>
      <sheetName val="15-16"/>
      <sheetName val="Sum"/>
      <sheetName val="I-B"/>
      <sheetName val="I-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V-INV-OTHER ASSETS "/>
      <sheetName val="BS-DOM"/>
      <sheetName val="BS-OVS"/>
      <sheetName val="BSCOMBINED "/>
      <sheetName val="#REF"/>
      <sheetName val="T-BILL"/>
      <sheetName val="I-BR"/>
      <sheetName val="List"/>
      <sheetName val="Sheet1"/>
      <sheetName val="AL905"/>
      <sheetName val="Abu Dhabi"/>
      <sheetName val="1-bwb(cb)"/>
      <sheetName val="INPUT"/>
      <sheetName val="29-30"/>
      <sheetName val="Lookups"/>
      <sheetName val="DD110"/>
      <sheetName val="FEb"/>
      <sheetName val="PARTWISE BREAKUP"/>
      <sheetName val="Sheet4"/>
      <sheetName val="Sheet2"/>
      <sheetName val="Lists"/>
      <sheetName val="Implied Rate"/>
      <sheetName val="A-C CODE &amp; NAME"/>
      <sheetName val="actual (2)"/>
      <sheetName val="I-B"/>
    </sheetNames>
    <sheetDataSet>
      <sheetData sheetId="0">
        <row r="140">
          <cell r="I140">
            <v>-9419269.4538429994</v>
          </cell>
        </row>
      </sheetData>
      <sheetData sheetId="1"/>
      <sheetData sheetId="2">
        <row r="140">
          <cell r="I140">
            <v>-9419269.4538429994</v>
          </cell>
        </row>
        <row r="177">
          <cell r="I177">
            <v>39476829171.10128</v>
          </cell>
        </row>
        <row r="182">
          <cell r="I182">
            <v>74718888.259252995</v>
          </cell>
        </row>
        <row r="193">
          <cell r="I193">
            <v>79956479.800536931</v>
          </cell>
        </row>
        <row r="196">
          <cell r="I196">
            <v>2633790152.157959</v>
          </cell>
        </row>
        <row r="197">
          <cell r="I197">
            <v>6599648252.119422</v>
          </cell>
        </row>
        <row r="198">
          <cell r="I198">
            <v>463566743.09803283</v>
          </cell>
        </row>
        <row r="199">
          <cell r="I199">
            <v>6367721.818</v>
          </cell>
        </row>
        <row r="200">
          <cell r="I200">
            <v>95192233.803413495</v>
          </cell>
        </row>
        <row r="201">
          <cell r="I201">
            <v>51267040.075999998</v>
          </cell>
        </row>
        <row r="207">
          <cell r="I207">
            <v>317107479.20281661</v>
          </cell>
        </row>
        <row r="209">
          <cell r="I209">
            <v>110807297.04154299</v>
          </cell>
        </row>
        <row r="214">
          <cell r="I214">
            <v>21149381.779200003</v>
          </cell>
        </row>
        <row r="215">
          <cell r="I215">
            <v>73022605.164682999</v>
          </cell>
        </row>
        <row r="216">
          <cell r="I216">
            <v>69670823.155003294</v>
          </cell>
        </row>
        <row r="225">
          <cell r="I225">
            <v>194377888288.28598</v>
          </cell>
        </row>
        <row r="227">
          <cell r="I227">
            <v>50072068724.377579</v>
          </cell>
        </row>
        <row r="233">
          <cell r="I233">
            <v>8162134108.7328329</v>
          </cell>
        </row>
        <row r="236">
          <cell r="I236">
            <v>6596108605.3126411</v>
          </cell>
        </row>
        <row r="239">
          <cell r="I239">
            <v>21721232244.269104</v>
          </cell>
        </row>
        <row r="240">
          <cell r="I240">
            <v>65740342829.488098</v>
          </cell>
        </row>
        <row r="241">
          <cell r="I241">
            <v>87461575073.757202</v>
          </cell>
        </row>
        <row r="242">
          <cell r="I242">
            <v>-21721232244.269104</v>
          </cell>
        </row>
        <row r="256">
          <cell r="I256">
            <v>573620076.34338379</v>
          </cell>
        </row>
        <row r="279">
          <cell r="I279">
            <v>609810626.86105835</v>
          </cell>
        </row>
        <row r="281">
          <cell r="I281">
            <v>629352970.96508241</v>
          </cell>
        </row>
        <row r="284">
          <cell r="I284">
            <v>135928861.80949962</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9.7-9.8"/>
      <sheetName val="Liabiliteis"/>
      <sheetName val="AnnexureA"/>
      <sheetName val="Assets"/>
      <sheetName val="SBP-Staggering"/>
      <sheetName val="Balancesheet"/>
      <sheetName val="P&amp;L"/>
      <sheetName val="Notes7-8"/>
      <sheetName val="Notes 9-10"/>
      <sheetName val="Notes7-8 (2)"/>
      <sheetName val="Notes 9-10 (2)"/>
      <sheetName val="Investment"/>
      <sheetName val="Sheet2"/>
      <sheetName val="Notes 1-6"/>
      <sheetName val="BS"/>
      <sheetName val="Other Assets Notes"/>
      <sheetName val="Notes10.1"/>
      <sheetName val="Sheet5"/>
      <sheetName val="notes 5-6000"/>
      <sheetName val="Stat-Equity"/>
      <sheetName val="A"/>
      <sheetName val="Note6-8.2"/>
      <sheetName val="Note_9_7-9_8"/>
      <sheetName val="Notes_9-10"/>
      <sheetName val="Notes7-8_(2)"/>
      <sheetName val="Notes_9-10_(2)"/>
      <sheetName val="Notes_1-6"/>
      <sheetName val="Other_Assets_Notes"/>
      <sheetName val="Notes10_1"/>
      <sheetName val="notes_5-6000"/>
      <sheetName val="Note6-8_2"/>
      <sheetName val="Regular"/>
      <sheetName val="Note_9_7-9_81"/>
      <sheetName val="Notes_9-101"/>
      <sheetName val="Notes7-8_(2)1"/>
      <sheetName val="Notes_9-10_(2)1"/>
      <sheetName val="Notes_1-61"/>
      <sheetName val="Other_Assets_Notes1"/>
      <sheetName val="Notes10_11"/>
      <sheetName val="notes_5-60001"/>
      <sheetName val="Note6-8_21"/>
      <sheetName val="Note_9_7-9_83"/>
      <sheetName val="Notes_9-103"/>
      <sheetName val="Notes7-8_(2)3"/>
      <sheetName val="Notes_9-10_(2)3"/>
      <sheetName val="Notes_1-63"/>
      <sheetName val="Other_Assets_Notes3"/>
      <sheetName val="Notes10_13"/>
      <sheetName val="notes_5-60003"/>
      <sheetName val="Note6-8_23"/>
      <sheetName val="Note_9_7-9_82"/>
      <sheetName val="Notes_9-102"/>
      <sheetName val="Notes7-8_(2)2"/>
      <sheetName val="Notes_9-10_(2)2"/>
      <sheetName val="Notes_1-62"/>
      <sheetName val="Other_Assets_Notes2"/>
      <sheetName val="Notes10_12"/>
      <sheetName val="notes_5-60002"/>
      <sheetName val="Note6-8_22"/>
      <sheetName val="note 4,5"/>
      <sheetName val="Lookups"/>
      <sheetName val="Donations(8)"/>
      <sheetName val="LEDGER"/>
      <sheetName val="TRIAL"/>
      <sheetName val="Index-A"/>
      <sheetName val="Note_9_7-9_84"/>
      <sheetName val="Notes_9-104"/>
      <sheetName val="Notes7-8_(2)4"/>
      <sheetName val="Notes_9-10_(2)4"/>
      <sheetName val="Notes_1-64"/>
      <sheetName val="Other_Assets_Notes4"/>
      <sheetName val="Notes10_14"/>
      <sheetName val="notes_5-60004"/>
      <sheetName val="Note6-8_24"/>
      <sheetName val="Assumptions"/>
      <sheetName val="Links"/>
      <sheetName val="Corporate"/>
      <sheetName val="Middle Market"/>
      <sheetName val="SME"/>
      <sheetName val="Scoping"/>
      <sheetName val="INV"/>
      <sheetName val="Parameters"/>
      <sheetName val="note_4,5"/>
      <sheetName val="Parameter"/>
      <sheetName val="MTPF July 2015"/>
      <sheetName val="GL Breakup"/>
      <sheetName val="GIE Breakup"/>
      <sheetName val="Data"/>
      <sheetName val="AC GL Avg Balances"/>
      <sheetName val="total p&amp;l"/>
      <sheetName val="toyota pl ckd"/>
      <sheetName val="Note_9_7-9_85"/>
      <sheetName val="Notes_9-105"/>
      <sheetName val="Notes7-8_(2)5"/>
      <sheetName val="Notes_9-10_(2)5"/>
      <sheetName val="Notes_1-65"/>
      <sheetName val="Other_Assets_Notes5"/>
      <sheetName val="Notes10_15"/>
      <sheetName val="notes_5-60005"/>
      <sheetName val="Note6-8_25"/>
      <sheetName val="Middle_Market"/>
      <sheetName val="total_p&amp;l"/>
      <sheetName val="toyota_pl_ckd"/>
      <sheetName val="notes1-5"/>
      <sheetName val="RC-0997"/>
      <sheetName val="Note_9_7-9_87"/>
      <sheetName val="Notes_9-107"/>
      <sheetName val="Notes7-8_(2)7"/>
      <sheetName val="Notes_9-10_(2)7"/>
      <sheetName val="Notes_1-67"/>
      <sheetName val="Other_Assets_Notes7"/>
      <sheetName val="Notes10_17"/>
      <sheetName val="notes_5-60007"/>
      <sheetName val="Note6-8_27"/>
      <sheetName val="note_4,52"/>
      <sheetName val="Middle_Market2"/>
      <sheetName val="total_p&amp;l2"/>
      <sheetName val="toyota_pl_ckd2"/>
      <sheetName val="Note_9_7-9_86"/>
      <sheetName val="Notes_9-106"/>
      <sheetName val="Notes7-8_(2)6"/>
      <sheetName val="Notes_9-10_(2)6"/>
      <sheetName val="Notes_1-66"/>
      <sheetName val="Other_Assets_Notes6"/>
      <sheetName val="Notes10_16"/>
      <sheetName val="notes_5-60006"/>
      <sheetName val="Note6-8_26"/>
      <sheetName val="note_4,51"/>
      <sheetName val="Middle_Market1"/>
      <sheetName val="total_p&amp;l1"/>
      <sheetName val="toyota_pl_ckd1"/>
      <sheetName val="Sheet1 "/>
      <sheetName val="Lead"/>
      <sheetName val="3_2"/>
      <sheetName val="ACC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04">
          <cell r="Q604">
            <v>261393</v>
          </cell>
        </row>
        <row r="605">
          <cell r="Q605">
            <v>655246</v>
          </cell>
        </row>
        <row r="606">
          <cell r="Q606">
            <v>432000</v>
          </cell>
        </row>
        <row r="607">
          <cell r="Q607">
            <v>2412885</v>
          </cell>
        </row>
        <row r="608">
          <cell r="Q608">
            <v>4603679</v>
          </cell>
        </row>
        <row r="609">
          <cell r="Q609">
            <v>190777</v>
          </cell>
        </row>
        <row r="610">
          <cell r="Q610">
            <v>1447095</v>
          </cell>
        </row>
        <row r="611">
          <cell r="Q611">
            <v>10003075</v>
          </cell>
        </row>
        <row r="615">
          <cell r="Q615">
            <v>5451937</v>
          </cell>
        </row>
        <row r="616">
          <cell r="Q616">
            <v>4011652</v>
          </cell>
        </row>
        <row r="617">
          <cell r="Q617">
            <v>51183</v>
          </cell>
        </row>
        <row r="618">
          <cell r="Q618">
            <v>232240</v>
          </cell>
        </row>
        <row r="619">
          <cell r="Q619">
            <v>14118</v>
          </cell>
        </row>
        <row r="621">
          <cell r="Q621">
            <v>9761130</v>
          </cell>
        </row>
        <row r="623">
          <cell r="Q623">
            <v>241945</v>
          </cell>
        </row>
        <row r="627">
          <cell r="Q627">
            <v>1166667</v>
          </cell>
        </row>
        <row r="628">
          <cell r="Q628">
            <v>74262</v>
          </cell>
        </row>
        <row r="629">
          <cell r="Q629">
            <v>-998702</v>
          </cell>
        </row>
        <row r="630">
          <cell r="Q630">
            <v>-282</v>
          </cell>
        </row>
        <row r="631">
          <cell r="Q631">
            <v>241945</v>
          </cell>
        </row>
        <row r="634">
          <cell r="Q634">
            <v>1665541</v>
          </cell>
        </row>
        <row r="636">
          <cell r="Q636">
            <v>813488</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ow r="604">
          <cell r="Q604">
            <v>261393</v>
          </cell>
        </row>
      </sheetData>
      <sheetData sheetId="66">
        <row r="604">
          <cell r="Q604">
            <v>261393</v>
          </cell>
        </row>
      </sheetData>
      <sheetData sheetId="67">
        <row r="604">
          <cell r="Q604">
            <v>261393</v>
          </cell>
        </row>
      </sheetData>
      <sheetData sheetId="68">
        <row r="604">
          <cell r="Q604">
            <v>261393</v>
          </cell>
        </row>
      </sheetData>
      <sheetData sheetId="69">
        <row r="604">
          <cell r="Q604">
            <v>261393</v>
          </cell>
        </row>
      </sheetData>
      <sheetData sheetId="70">
        <row r="604">
          <cell r="Q604">
            <v>261393</v>
          </cell>
        </row>
      </sheetData>
      <sheetData sheetId="71">
        <row r="604">
          <cell r="Q604">
            <v>261393</v>
          </cell>
        </row>
      </sheetData>
      <sheetData sheetId="72">
        <row r="604">
          <cell r="Q604">
            <v>261393</v>
          </cell>
        </row>
      </sheetData>
      <sheetData sheetId="73">
        <row r="604">
          <cell r="Q604">
            <v>261393</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ow r="604">
          <cell r="Q604">
            <v>261393</v>
          </cell>
        </row>
      </sheetData>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final"/>
      <sheetName val="PL"/>
      <sheetName val="Sheet1"/>
      <sheetName val="acct"/>
      <sheetName val="Dep"/>
      <sheetName val="28"/>
      <sheetName val="BS DEC02"/>
      <sheetName val="PL DEC02"/>
      <sheetName val="notes DEC02"/>
      <sheetName val="pl NOTES"/>
      <sheetName val="Disclosure"/>
      <sheetName val="BS_final"/>
      <sheetName val="BS_DEC02"/>
      <sheetName val="PL_DEC02"/>
      <sheetName val="notes_DEC02"/>
      <sheetName val="pl_NOTES"/>
      <sheetName val="BS_final1"/>
      <sheetName val="BS_DEC021"/>
      <sheetName val="PL_DEC021"/>
      <sheetName val="notes_DEC021"/>
      <sheetName val="pl_NOTES1"/>
      <sheetName val="statacc"/>
      <sheetName val="Sheet4"/>
      <sheetName val="Tables"/>
      <sheetName val="Rating"/>
      <sheetName val="Investments"/>
      <sheetName val="MAY 1240001"/>
      <sheetName val="BS_final2"/>
      <sheetName val="BS_DEC022"/>
      <sheetName val="PL_DEC022"/>
      <sheetName val="notes_DEC022"/>
      <sheetName val="pl_NOTES2"/>
      <sheetName val="MAY_1240001"/>
      <sheetName val="bs&amp;Pl"/>
      <sheetName val="NORMAL"/>
      <sheetName val="A"/>
      <sheetName val="Data"/>
      <sheetName val="admin cross"/>
      <sheetName val="Manu Crss"/>
      <sheetName val="Deposit"/>
      <sheetName val="BS_final3"/>
      <sheetName val="BS_DEC023"/>
      <sheetName val="PL_DEC023"/>
      <sheetName val="notes_DEC023"/>
      <sheetName val="pl_NOTES3"/>
      <sheetName val="MAY_12400011"/>
      <sheetName val="Note 13.1 &amp; 13.2"/>
      <sheetName val="Consolidated"/>
      <sheetName val="JSCL TB"/>
      <sheetName val="BS2"/>
      <sheetName val="BS1"/>
      <sheetName val="Abu Dhabi"/>
      <sheetName val="Note-14"/>
      <sheetName val="BS"/>
      <sheetName val="ProfitProv"/>
      <sheetName val="SHF_1026_EXP"/>
      <sheetName val="SITE_1001_P_L"/>
      <sheetName val="CLM_1012_P_L"/>
      <sheetName val="SHF_1026_P_L"/>
      <sheetName val="KRG_1002_P_L"/>
      <sheetName val="CliftonMain_1003_P_L"/>
      <sheetName val="KSE_1010_P_L"/>
      <sheetName val="JODIA_1011_P_L"/>
      <sheetName val="JODIA_1011_EXP"/>
      <sheetName val="CLM_1012_EXP"/>
      <sheetName val="SITE_1001_EXP"/>
      <sheetName val="KRG_1002_EXP"/>
      <sheetName val="CliftonMain_1003_EXP"/>
      <sheetName val="SHF-1026-EXP"/>
      <sheetName val="SITE-1001-P&amp;L"/>
      <sheetName val="CLM-1012-P&amp;L"/>
      <sheetName val="SHF-1026-P&amp;L"/>
      <sheetName val="KRG-1002-P&amp;L"/>
      <sheetName val="CliftonMain-1003-P&amp;L"/>
      <sheetName val="KSE-1010-P&amp;L"/>
      <sheetName val="JODIA-1011-P&amp;L"/>
      <sheetName val="JODIA-1011-EXP"/>
      <sheetName val="CLM-1012-EXP"/>
      <sheetName val="SITE-1001-EXP"/>
      <sheetName val="KRG-1002-EXP"/>
      <sheetName val="CliftonMain-1003-EXP"/>
      <sheetName val="Bill"/>
      <sheetName val="READING"/>
      <sheetName val="Corporate"/>
      <sheetName val="Middle Market"/>
      <sheetName val="SME"/>
      <sheetName val="Sheet6"/>
      <sheetName val="New A-Rept"/>
      <sheetName val="gelir"/>
      <sheetName val="cpur"/>
      <sheetName val="Macro1"/>
      <sheetName val="Data Sheet - Financials"/>
      <sheetName val="Data Sheet - Others"/>
      <sheetName val="Adj"/>
      <sheetName val="Term Deposits"/>
      <sheetName val="admin_cross"/>
      <sheetName val="Manu_Crss"/>
      <sheetName val="Scoping"/>
      <sheetName val="Sheet3"/>
      <sheetName val="Furniture"/>
      <sheetName val="Sheet2"/>
      <sheetName val="BVPS"/>
      <sheetName val="Cap_Empl"/>
      <sheetName val="EBITDA"/>
      <sheetName val="EV"/>
      <sheetName val="Gross_Yield"/>
      <sheetName val="Start &amp;_EPS"/>
      <sheetName val="Net_Debt"/>
      <sheetName val="PE"/>
      <sheetName val="Recomm"/>
      <sheetName val="Requirements"/>
      <sheetName val="Storage"/>
      <sheetName val="Financial"/>
      <sheetName val="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wed Memon, Zeeshan" refreshedDate="44031.302324189812" createdVersion="6" refreshedVersion="6" minRefreshableVersion="3" recordCount="25">
  <cacheSource type="worksheet">
    <worksheetSource ref="A10:C35" sheet="Banks Rating"/>
  </cacheSource>
  <cacheFields count="3">
    <cacheField name="Bank Name" numFmtId="0">
      <sharedItems/>
    </cacheField>
    <cacheField name="Balance" numFmtId="168">
      <sharedItems containsSemiMixedTypes="0" containsString="0" containsNumber="1" containsInteger="1" minValue="4" maxValue="920477" count="21">
        <n v="920477"/>
        <n v="171"/>
        <n v="13"/>
        <n v="8008"/>
        <n v="9296"/>
        <n v="5831"/>
        <n v="10"/>
        <n v="15"/>
        <n v="23933"/>
        <n v="24"/>
        <n v="16"/>
        <n v="5"/>
        <n v="116"/>
        <n v="8"/>
        <n v="17"/>
        <n v="4"/>
        <n v="1009"/>
        <n v="42"/>
        <n v="1142"/>
        <n v="49"/>
        <n v="11"/>
      </sharedItems>
    </cacheField>
    <cacheField name="Rating" numFmtId="0">
      <sharedItems count="7">
        <s v="AAA"/>
        <s v="AA+"/>
        <s v="AA"/>
        <s v="AA-"/>
        <s v="A"/>
        <s v="A+"/>
        <s v="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
  <r>
    <s v="Allied Bank Limited"/>
    <x v="0"/>
    <x v="0"/>
  </r>
  <r>
    <s v="Bank Al Falah Limited "/>
    <x v="1"/>
    <x v="1"/>
  </r>
  <r>
    <s v="Faysal Bank Limited"/>
    <x v="2"/>
    <x v="2"/>
  </r>
  <r>
    <s v="Habib Metropolitan Bank Limited"/>
    <x v="3"/>
    <x v="1"/>
  </r>
  <r>
    <s v="Habib Metropolitan Bank Limited"/>
    <x v="4"/>
    <x v="1"/>
  </r>
  <r>
    <s v="Mcb Bank Limited "/>
    <x v="5"/>
    <x v="0"/>
  </r>
  <r>
    <s v="Mcb Bank Limited "/>
    <x v="6"/>
    <x v="0"/>
  </r>
  <r>
    <s v="United Bank Limited"/>
    <x v="7"/>
    <x v="0"/>
  </r>
  <r>
    <s v="Mcb Bank Limited "/>
    <x v="8"/>
    <x v="0"/>
  </r>
  <r>
    <s v="Bank Al Habib Limited"/>
    <x v="2"/>
    <x v="1"/>
  </r>
  <r>
    <s v="Zarai Taraqiati Bank Limited"/>
    <x v="7"/>
    <x v="0"/>
  </r>
  <r>
    <s v="Js Bank Limited"/>
    <x v="9"/>
    <x v="3"/>
  </r>
  <r>
    <s v="Nrsp Microfinance Bank Limited"/>
    <x v="10"/>
    <x v="4"/>
  </r>
  <r>
    <s v="Mobilink Microfinance Bank Limited"/>
    <x v="11"/>
    <x v="4"/>
  </r>
  <r>
    <s v="U Microfinance Bank Limited"/>
    <x v="12"/>
    <x v="4"/>
  </r>
  <r>
    <s v="Khushali Microfinance Bank Limited"/>
    <x v="13"/>
    <x v="5"/>
  </r>
  <r>
    <s v="Tameer Microfinance Bank"/>
    <x v="14"/>
    <x v="5"/>
  </r>
  <r>
    <s v="Finca Micro Finance Bank"/>
    <x v="15"/>
    <x v="4"/>
  </r>
  <r>
    <s v="Habib Bank Limited"/>
    <x v="16"/>
    <x v="0"/>
  </r>
  <r>
    <s v="First Micro Finance Bank"/>
    <x v="17"/>
    <x v="5"/>
  </r>
  <r>
    <s v="National Bank Of Pakistan "/>
    <x v="18"/>
    <x v="0"/>
  </r>
  <r>
    <s v="Silk Bank Limited"/>
    <x v="19"/>
    <x v="6"/>
  </r>
  <r>
    <s v="Allied Bank Limited"/>
    <x v="20"/>
    <x v="0"/>
  </r>
  <r>
    <s v="Faysal Bank Limited"/>
    <x v="20"/>
    <x v="2"/>
  </r>
  <r>
    <s v="Allied Bank Limited"/>
    <x v="6"/>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I13:J21" firstHeaderRow="1" firstDataRow="1" firstDataCol="1"/>
  <pivotFields count="3">
    <pivotField showAll="0"/>
    <pivotField dataField="1" numFmtId="168" showAll="0">
      <items count="22">
        <item x="15"/>
        <item x="11"/>
        <item x="13"/>
        <item x="6"/>
        <item x="20"/>
        <item x="2"/>
        <item x="7"/>
        <item x="10"/>
        <item x="14"/>
        <item x="9"/>
        <item x="17"/>
        <item x="19"/>
        <item x="12"/>
        <item x="1"/>
        <item x="16"/>
        <item x="18"/>
        <item x="5"/>
        <item x="3"/>
        <item x="4"/>
        <item x="8"/>
        <item x="0"/>
        <item t="default"/>
      </items>
    </pivotField>
    <pivotField axis="axisRow" showAll="0">
      <items count="8">
        <item x="4"/>
        <item x="6"/>
        <item x="5"/>
        <item x="2"/>
        <item x="3"/>
        <item x="1"/>
        <item x="0"/>
        <item t="default"/>
      </items>
    </pivotField>
  </pivotFields>
  <rowFields count="1">
    <field x="2"/>
  </rowFields>
  <rowItems count="8">
    <i>
      <x/>
    </i>
    <i>
      <x v="1"/>
    </i>
    <i>
      <x v="2"/>
    </i>
    <i>
      <x v="3"/>
    </i>
    <i>
      <x v="4"/>
    </i>
    <i>
      <x v="5"/>
    </i>
    <i>
      <x v="6"/>
    </i>
    <i t="grand">
      <x/>
    </i>
  </rowItems>
  <colItems count="1">
    <i/>
  </colItems>
  <dataFields count="1">
    <dataField name="Sum of Balance"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Q79"/>
  <sheetViews>
    <sheetView showGridLines="0" tabSelected="1" view="pageBreakPreview" zoomScaleSheetLayoutView="100" workbookViewId="0">
      <selection activeCell="I1" sqref="I1:XFD1048576"/>
    </sheetView>
  </sheetViews>
  <sheetFormatPr defaultColWidth="0" defaultRowHeight="12"/>
  <cols>
    <col min="1" max="1" width="5.85546875" style="5" customWidth="1"/>
    <col min="2" max="2" width="4.140625" style="5" customWidth="1"/>
    <col min="3" max="3" width="57.140625" style="5" customWidth="1"/>
    <col min="4" max="4" width="3.28515625" style="5" customWidth="1"/>
    <col min="5" max="5" width="6.42578125" style="11" customWidth="1"/>
    <col min="6" max="6" width="14.140625" style="16" customWidth="1"/>
    <col min="7" max="7" width="1.28515625" style="16" customWidth="1"/>
    <col min="8" max="8" width="14.140625" style="16" customWidth="1"/>
    <col min="9" max="9" width="13.7109375" style="5" hidden="1"/>
    <col min="10" max="10" width="16" style="5" hidden="1"/>
    <col min="11" max="11" width="13.85546875" style="5" hidden="1"/>
    <col min="12" max="12" width="10.140625" style="5" hidden="1"/>
    <col min="13" max="13" width="10.42578125" style="5" hidden="1"/>
    <col min="14" max="14" width="14.5703125" style="5" hidden="1"/>
    <col min="15" max="15" width="10.7109375" style="5" hidden="1"/>
    <col min="16" max="16" width="10.140625" style="5" hidden="1"/>
    <col min="17" max="17" width="11" style="5" hidden="1"/>
    <col min="18" max="16384" width="10.140625" style="5" hidden="1"/>
  </cols>
  <sheetData>
    <row r="1" spans="1:17" ht="12.75">
      <c r="A1" s="9" t="s">
        <v>908</v>
      </c>
      <c r="B1" s="2"/>
      <c r="C1" s="2"/>
      <c r="D1" s="2"/>
      <c r="E1" s="3"/>
      <c r="F1" s="4"/>
      <c r="G1" s="4"/>
      <c r="H1" s="4"/>
    </row>
    <row r="2" spans="1:17" ht="12.75">
      <c r="A2" s="6" t="s">
        <v>1810</v>
      </c>
      <c r="B2" s="2"/>
      <c r="C2" s="2"/>
      <c r="D2" s="2"/>
      <c r="E2" s="3"/>
      <c r="F2" s="4"/>
      <c r="G2" s="4"/>
      <c r="H2" s="4"/>
      <c r="J2" s="26">
        <f>H18-F18</f>
        <v>1027197.9598903265</v>
      </c>
    </row>
    <row r="3" spans="1:17" ht="12.75">
      <c r="A3" s="7" t="s">
        <v>1951</v>
      </c>
      <c r="B3" s="2"/>
      <c r="C3" s="2"/>
      <c r="D3" s="2"/>
      <c r="E3" s="3"/>
      <c r="F3" s="1227"/>
      <c r="G3" s="1227"/>
      <c r="H3" s="1227"/>
    </row>
    <row r="4" spans="1:17" ht="12.75">
      <c r="A4" s="7"/>
      <c r="B4" s="2"/>
      <c r="C4" s="2"/>
      <c r="D4" s="2"/>
      <c r="E4" s="3"/>
      <c r="F4" s="1227"/>
      <c r="G4" s="1227"/>
      <c r="H4" s="1227"/>
    </row>
    <row r="5" spans="1:17" ht="13.7" customHeight="1">
      <c r="A5" s="8"/>
      <c r="B5" s="2"/>
      <c r="C5" s="2"/>
      <c r="D5" s="2"/>
      <c r="E5" s="3"/>
      <c r="F5" s="1227" t="s">
        <v>1809</v>
      </c>
      <c r="G5" s="1227"/>
      <c r="H5" s="1227" t="s">
        <v>1314</v>
      </c>
    </row>
    <row r="6" spans="1:17" ht="13.7" customHeight="1">
      <c r="A6" s="9"/>
      <c r="B6" s="10"/>
      <c r="C6" s="10"/>
      <c r="D6" s="10"/>
      <c r="F6" s="12" t="s">
        <v>1952</v>
      </c>
      <c r="G6" s="10"/>
      <c r="H6" s="12" t="s">
        <v>1952</v>
      </c>
      <c r="M6" s="13"/>
    </row>
    <row r="7" spans="1:17" ht="13.7" customHeight="1">
      <c r="A7" s="10"/>
      <c r="B7" s="10"/>
      <c r="C7" s="10"/>
      <c r="D7" s="10"/>
      <c r="E7" s="14" t="s">
        <v>910</v>
      </c>
      <c r="F7" s="1902" t="s">
        <v>1310</v>
      </c>
      <c r="G7" s="1903"/>
      <c r="H7" s="1903"/>
      <c r="I7" s="15"/>
      <c r="M7" s="16"/>
      <c r="O7" s="16"/>
      <c r="P7" s="17"/>
    </row>
    <row r="8" spans="1:17" ht="13.7" customHeight="1">
      <c r="A8" s="10"/>
      <c r="B8" s="10"/>
      <c r="C8" s="10"/>
      <c r="D8" s="10"/>
      <c r="E8" s="14"/>
      <c r="F8" s="1228"/>
      <c r="G8" s="1228"/>
      <c r="H8" s="1228"/>
      <c r="I8" s="15"/>
      <c r="M8" s="16"/>
      <c r="O8" s="16"/>
      <c r="P8" s="17"/>
    </row>
    <row r="9" spans="1:17" ht="13.7" customHeight="1">
      <c r="A9" s="9" t="s">
        <v>911</v>
      </c>
      <c r="B9" s="10"/>
      <c r="C9" s="10"/>
      <c r="D9" s="10"/>
      <c r="E9" s="18"/>
      <c r="F9" s="19"/>
      <c r="G9" s="19"/>
      <c r="H9" s="19"/>
      <c r="K9" s="20" t="s">
        <v>912</v>
      </c>
      <c r="M9" s="16"/>
      <c r="O9" s="16"/>
      <c r="P9" s="17"/>
    </row>
    <row r="10" spans="1:17" ht="13.7" customHeight="1">
      <c r="A10" s="9"/>
      <c r="B10" s="10"/>
      <c r="C10" s="10"/>
      <c r="D10" s="10"/>
      <c r="E10" s="18"/>
      <c r="F10" s="21"/>
      <c r="G10" s="19"/>
      <c r="H10" s="19"/>
      <c r="K10" s="20"/>
      <c r="M10" s="16"/>
      <c r="O10" s="16"/>
      <c r="P10" s="17"/>
    </row>
    <row r="11" spans="1:17" ht="14.1" customHeight="1">
      <c r="A11" s="22" t="s">
        <v>913</v>
      </c>
      <c r="B11" s="10"/>
      <c r="C11" s="10"/>
      <c r="D11" s="10"/>
      <c r="E11" s="28" t="s">
        <v>2117</v>
      </c>
      <c r="F11" s="1069">
        <v>4786432.6707100002</v>
      </c>
      <c r="G11" s="25"/>
      <c r="H11" s="1077">
        <v>4557894</v>
      </c>
      <c r="I11" s="26">
        <f>+F11-H11</f>
        <v>228538.67071000021</v>
      </c>
      <c r="J11" s="27"/>
      <c r="K11" s="5" t="s">
        <v>914</v>
      </c>
      <c r="M11" s="16"/>
      <c r="N11" s="16"/>
      <c r="O11" s="16"/>
      <c r="P11" s="17"/>
    </row>
    <row r="12" spans="1:17" ht="14.1" customHeight="1">
      <c r="A12" s="22" t="s">
        <v>915</v>
      </c>
      <c r="B12" s="10"/>
      <c r="C12" s="10"/>
      <c r="D12" s="10"/>
      <c r="E12" s="28" t="s">
        <v>2118</v>
      </c>
      <c r="F12" s="1067">
        <v>4191776.3090396738</v>
      </c>
      <c r="G12" s="25"/>
      <c r="H12" s="1078">
        <v>5983085</v>
      </c>
      <c r="I12" s="26">
        <f>H12-F12</f>
        <v>1791308.6909603262</v>
      </c>
      <c r="J12" s="26"/>
      <c r="K12" s="5" t="s">
        <v>1811</v>
      </c>
      <c r="M12" s="16"/>
      <c r="N12" s="16"/>
      <c r="O12" s="16"/>
      <c r="P12" s="17"/>
    </row>
    <row r="13" spans="1:17" ht="13.7" customHeight="1">
      <c r="A13" s="22" t="s">
        <v>916</v>
      </c>
      <c r="B13" s="10"/>
      <c r="C13" s="10"/>
      <c r="D13" s="10"/>
      <c r="E13" s="23"/>
      <c r="F13" s="1067">
        <v>85998.354689999993</v>
      </c>
      <c r="G13" s="25"/>
      <c r="H13" s="1078">
        <v>135777</v>
      </c>
      <c r="I13" s="26">
        <f>+F13-H13</f>
        <v>-49778.645310000007</v>
      </c>
      <c r="J13" s="26"/>
      <c r="M13" s="16"/>
      <c r="N13" s="16"/>
      <c r="O13" s="16"/>
      <c r="P13" s="17"/>
    </row>
    <row r="14" spans="1:17" ht="13.7" customHeight="1">
      <c r="A14" s="22" t="s">
        <v>1881</v>
      </c>
      <c r="B14" s="10"/>
      <c r="C14" s="10"/>
      <c r="D14" s="10"/>
      <c r="E14" s="23"/>
      <c r="F14" s="1067">
        <v>99840.87</v>
      </c>
      <c r="G14" s="25"/>
      <c r="H14" s="1078">
        <v>11652</v>
      </c>
      <c r="I14" s="26">
        <f>+F14-H14</f>
        <v>88188.87</v>
      </c>
      <c r="J14" s="26"/>
      <c r="M14" s="16"/>
      <c r="N14" s="16"/>
      <c r="O14" s="16"/>
      <c r="P14" s="17"/>
    </row>
    <row r="15" spans="1:17" ht="13.7" customHeight="1">
      <c r="A15" s="22" t="s">
        <v>1882</v>
      </c>
      <c r="B15" s="10"/>
      <c r="C15" s="10"/>
      <c r="D15" s="10"/>
      <c r="E15" s="23"/>
      <c r="F15" s="1067">
        <v>19311.25</v>
      </c>
      <c r="G15" s="25"/>
      <c r="H15" s="1078">
        <v>0</v>
      </c>
      <c r="I15" s="26">
        <f>+F15-H15</f>
        <v>19311.25</v>
      </c>
      <c r="J15" s="26"/>
      <c r="M15" s="16"/>
      <c r="N15" s="16"/>
      <c r="O15" s="16"/>
      <c r="P15" s="17"/>
    </row>
    <row r="16" spans="1:17" ht="14.1" customHeight="1">
      <c r="A16" s="29" t="s">
        <v>917</v>
      </c>
      <c r="B16" s="10"/>
      <c r="C16" s="10"/>
      <c r="D16" s="10"/>
      <c r="E16" s="28"/>
      <c r="F16" s="1067">
        <v>56821.36363</v>
      </c>
      <c r="G16" s="25"/>
      <c r="H16" s="1078">
        <v>68418</v>
      </c>
      <c r="I16" s="30">
        <f>+F16-H16</f>
        <v>-11596.63637</v>
      </c>
      <c r="J16" s="26"/>
      <c r="K16" s="26" t="s">
        <v>918</v>
      </c>
      <c r="M16" s="16"/>
      <c r="N16" s="16"/>
      <c r="O16" s="16">
        <v>30939209.629999999</v>
      </c>
      <c r="P16" s="16"/>
      <c r="Q16" s="1285">
        <v>17446851.420000002</v>
      </c>
    </row>
    <row r="17" spans="1:17" ht="14.1" customHeight="1">
      <c r="A17" s="29" t="s">
        <v>919</v>
      </c>
      <c r="B17" s="10"/>
      <c r="C17" s="10"/>
      <c r="D17" s="10"/>
      <c r="E17" s="28"/>
      <c r="F17" s="1071">
        <v>539318.22203999967</v>
      </c>
      <c r="G17" s="25"/>
      <c r="H17" s="1079">
        <v>49871</v>
      </c>
      <c r="I17" s="30">
        <f>+F17-H17</f>
        <v>489447.22203999967</v>
      </c>
      <c r="J17" s="31"/>
      <c r="K17" s="32"/>
      <c r="L17" s="26"/>
      <c r="M17" s="16"/>
      <c r="N17" s="16"/>
      <c r="O17" s="16">
        <v>5000</v>
      </c>
      <c r="P17" s="16"/>
      <c r="Q17" s="1285">
        <v>7740775.8099999996</v>
      </c>
    </row>
    <row r="18" spans="1:17" s="44" customFormat="1" ht="21" customHeight="1">
      <c r="A18" s="209" t="s">
        <v>920</v>
      </c>
      <c r="B18" s="39"/>
      <c r="C18" s="39"/>
      <c r="D18" s="39"/>
      <c r="E18" s="40"/>
      <c r="F18" s="370">
        <v>9779499.0401096735</v>
      </c>
      <c r="G18" s="376"/>
      <c r="H18" s="376">
        <v>10806697</v>
      </c>
      <c r="I18" s="1253">
        <v>2228958</v>
      </c>
      <c r="J18" s="1253">
        <f>H18-F18</f>
        <v>1027197.9598903265</v>
      </c>
      <c r="K18" s="1254" t="s">
        <v>921</v>
      </c>
      <c r="M18" s="212">
        <f>10135519806/1000</f>
        <v>10135519.806</v>
      </c>
      <c r="N18" s="212">
        <f>+F18-M18</f>
        <v>-356020.76589032635</v>
      </c>
      <c r="O18" s="212"/>
      <c r="P18" s="212"/>
      <c r="Q18" s="1714">
        <v>244110</v>
      </c>
    </row>
    <row r="19" spans="1:17" ht="12.75">
      <c r="A19" s="10"/>
      <c r="B19" s="10"/>
      <c r="C19" s="10"/>
      <c r="D19" s="10"/>
      <c r="E19" s="33"/>
      <c r="F19" s="21"/>
      <c r="G19" s="19"/>
      <c r="H19" s="19"/>
      <c r="I19" s="26">
        <f>H18-F18</f>
        <v>1027197.9598903265</v>
      </c>
      <c r="K19" s="5" t="s">
        <v>922</v>
      </c>
      <c r="M19" s="16"/>
      <c r="N19" s="16"/>
      <c r="O19" s="16"/>
      <c r="Q19" s="1285">
        <v>25229669.940000001</v>
      </c>
    </row>
    <row r="20" spans="1:17" ht="12.75">
      <c r="A20" s="10"/>
      <c r="B20" s="10"/>
      <c r="C20" s="10"/>
      <c r="D20" s="10"/>
      <c r="E20" s="33"/>
      <c r="F20" s="21"/>
      <c r="G20" s="19"/>
      <c r="H20" s="19"/>
      <c r="M20" s="16"/>
      <c r="N20" s="16"/>
      <c r="O20" s="16">
        <v>500000000</v>
      </c>
      <c r="Q20" s="1285">
        <v>6159581.7000000002</v>
      </c>
    </row>
    <row r="21" spans="1:17" ht="13.7" customHeight="1">
      <c r="A21" s="9" t="s">
        <v>923</v>
      </c>
      <c r="B21" s="10"/>
      <c r="C21" s="10"/>
      <c r="D21" s="10"/>
      <c r="E21" s="33"/>
      <c r="F21" s="21"/>
      <c r="G21" s="19"/>
      <c r="H21" s="19"/>
      <c r="J21" s="34"/>
      <c r="K21" s="5" t="s">
        <v>924</v>
      </c>
      <c r="O21" s="1285">
        <v>266015.19</v>
      </c>
      <c r="Q21" s="1285">
        <f>SUM(Q16:Q20)</f>
        <v>56820988.870000005</v>
      </c>
    </row>
    <row r="22" spans="1:17" ht="13.7" customHeight="1">
      <c r="A22" s="35"/>
      <c r="B22" s="10"/>
      <c r="C22" s="10"/>
      <c r="D22" s="10"/>
      <c r="E22" s="33"/>
      <c r="F22" s="24"/>
      <c r="G22" s="25"/>
      <c r="H22" s="25"/>
      <c r="J22" s="34"/>
      <c r="K22" s="5" t="s">
        <v>925</v>
      </c>
      <c r="M22" s="1741">
        <v>610354.73</v>
      </c>
      <c r="N22" s="1285">
        <v>8968190.9600000009</v>
      </c>
      <c r="O22" s="1285">
        <v>20520.68</v>
      </c>
    </row>
    <row r="23" spans="1:17" ht="14.1" customHeight="1">
      <c r="A23" s="35" t="s">
        <v>1420</v>
      </c>
      <c r="B23" s="10"/>
      <c r="C23" s="10"/>
      <c r="D23" s="10"/>
      <c r="E23" s="36"/>
      <c r="F23" s="1069">
        <v>13507.336370000001</v>
      </c>
      <c r="G23" s="25"/>
      <c r="H23" s="1077">
        <v>8847</v>
      </c>
      <c r="I23" s="26">
        <f t="shared" ref="I23:I28" si="0">+F23-H23</f>
        <v>4660.3363700000009</v>
      </c>
      <c r="J23" s="26">
        <f>F23-H23</f>
        <v>4660.3363700000009</v>
      </c>
      <c r="K23" s="26" t="s">
        <v>926</v>
      </c>
      <c r="L23" s="26"/>
      <c r="M23" s="1741">
        <v>79285</v>
      </c>
      <c r="N23" s="1285">
        <v>231940.27</v>
      </c>
      <c r="O23" s="1285">
        <v>2500000</v>
      </c>
    </row>
    <row r="24" spans="1:17" ht="14.1" customHeight="1">
      <c r="A24" s="35" t="s">
        <v>1421</v>
      </c>
      <c r="B24" s="10"/>
      <c r="C24" s="10"/>
      <c r="D24" s="10"/>
      <c r="E24" s="36"/>
      <c r="F24" s="1067">
        <v>689.63972999999999</v>
      </c>
      <c r="G24" s="25"/>
      <c r="H24" s="1078">
        <v>723</v>
      </c>
      <c r="I24" s="26">
        <f t="shared" si="0"/>
        <v>-33.360270000000014</v>
      </c>
      <c r="J24" s="26">
        <f>F24-H24</f>
        <v>-33.360270000000014</v>
      </c>
      <c r="K24" s="26" t="s">
        <v>927</v>
      </c>
      <c r="M24" s="1285">
        <f>SUM(M22:M23)</f>
        <v>689639.73</v>
      </c>
      <c r="N24" s="1285">
        <v>1165683.93</v>
      </c>
      <c r="O24" s="1285">
        <v>200000</v>
      </c>
    </row>
    <row r="25" spans="1:17" ht="14.1" customHeight="1">
      <c r="A25" s="37" t="s">
        <v>928</v>
      </c>
      <c r="B25" s="10"/>
      <c r="C25" s="10"/>
      <c r="D25" s="10"/>
      <c r="E25" s="36"/>
      <c r="F25" s="1067">
        <v>519.80200000000002</v>
      </c>
      <c r="G25" s="25"/>
      <c r="H25" s="1078">
        <v>1062</v>
      </c>
      <c r="I25" s="26">
        <f t="shared" si="0"/>
        <v>-542.19799999999998</v>
      </c>
      <c r="J25" s="26">
        <f>F25-H25</f>
        <v>-542.19799999999998</v>
      </c>
      <c r="K25" s="26"/>
      <c r="N25" s="1285">
        <v>813181.57</v>
      </c>
      <c r="O25" s="1285">
        <v>299500.90999999997</v>
      </c>
    </row>
    <row r="26" spans="1:17" ht="14.1" customHeight="1">
      <c r="A26" s="37" t="s">
        <v>929</v>
      </c>
      <c r="B26" s="10"/>
      <c r="C26" s="10"/>
      <c r="D26" s="10"/>
      <c r="E26" s="33"/>
      <c r="F26" s="1067">
        <v>47.22307</v>
      </c>
      <c r="G26" s="25"/>
      <c r="H26" s="1078">
        <v>47</v>
      </c>
      <c r="I26" s="26">
        <f t="shared" si="0"/>
        <v>0.22306999999999988</v>
      </c>
      <c r="J26" s="26">
        <f>F26-H26</f>
        <v>0.22306999999999988</v>
      </c>
      <c r="K26" s="26"/>
      <c r="N26" s="1285">
        <v>2328339.64</v>
      </c>
      <c r="O26" s="1285">
        <v>3926705</v>
      </c>
    </row>
    <row r="27" spans="1:17" ht="14.1" customHeight="1">
      <c r="A27" s="37" t="s">
        <v>1953</v>
      </c>
      <c r="B27" s="10"/>
      <c r="C27" s="10"/>
      <c r="D27" s="10"/>
      <c r="E27" s="33"/>
      <c r="F27" s="1067">
        <v>1370047.8046599999</v>
      </c>
      <c r="G27" s="25"/>
      <c r="H27" s="1078">
        <v>1155947</v>
      </c>
      <c r="I27" s="26">
        <f t="shared" si="0"/>
        <v>214100.80465999991</v>
      </c>
      <c r="J27" s="26"/>
      <c r="K27" s="26"/>
      <c r="O27" s="1285">
        <v>718656</v>
      </c>
    </row>
    <row r="28" spans="1:17" ht="14.1" customHeight="1">
      <c r="A28" s="22" t="s">
        <v>930</v>
      </c>
      <c r="B28" s="10"/>
      <c r="C28" s="10"/>
      <c r="D28" s="10"/>
      <c r="E28" s="28" t="s">
        <v>2119</v>
      </c>
      <c r="F28" s="1071">
        <v>31002.661139999997</v>
      </c>
      <c r="G28" s="25"/>
      <c r="H28" s="1079">
        <v>44716</v>
      </c>
      <c r="I28" s="26">
        <f t="shared" si="0"/>
        <v>-13713.338860000003</v>
      </c>
      <c r="J28" s="26">
        <f>F28-H28</f>
        <v>-13713.338860000003</v>
      </c>
      <c r="K28" s="26"/>
      <c r="N28" s="5" t="e">
        <f>+'1 - 4.2'!#REF!</f>
        <v>#REF!</v>
      </c>
      <c r="O28" s="1285">
        <v>428261.35</v>
      </c>
    </row>
    <row r="29" spans="1:17" s="44" customFormat="1" ht="21" customHeight="1">
      <c r="A29" s="209" t="s">
        <v>931</v>
      </c>
      <c r="B29" s="39"/>
      <c r="C29" s="39"/>
      <c r="D29" s="39"/>
      <c r="E29" s="1252"/>
      <c r="F29" s="370">
        <v>1415814.46697</v>
      </c>
      <c r="G29" s="376"/>
      <c r="H29" s="376">
        <v>1211342</v>
      </c>
      <c r="I29" s="1253"/>
      <c r="J29" s="1253"/>
      <c r="K29" s="1253"/>
      <c r="O29" s="1714"/>
    </row>
    <row r="30" spans="1:17" ht="12.75">
      <c r="A30" s="38"/>
      <c r="B30" s="10"/>
      <c r="C30" s="10"/>
      <c r="D30" s="10"/>
      <c r="E30" s="18"/>
      <c r="F30" s="21"/>
      <c r="G30" s="19"/>
      <c r="H30" s="19"/>
      <c r="I30" s="26"/>
      <c r="O30" s="1285"/>
    </row>
    <row r="31" spans="1:17" s="44" customFormat="1" ht="21" customHeight="1" thickBot="1">
      <c r="A31" s="1250" t="s">
        <v>932</v>
      </c>
      <c r="B31" s="39"/>
      <c r="C31" s="39"/>
      <c r="D31" s="39"/>
      <c r="E31" s="40"/>
      <c r="F31" s="41">
        <v>8363685</v>
      </c>
      <c r="G31" s="42"/>
      <c r="H31" s="43">
        <v>9595355</v>
      </c>
      <c r="I31" s="44">
        <v>1518878</v>
      </c>
      <c r="O31" s="1714"/>
    </row>
    <row r="32" spans="1:17" ht="13.5" thickTop="1">
      <c r="A32" s="10"/>
      <c r="B32" s="10"/>
      <c r="C32" s="10"/>
      <c r="D32" s="10"/>
      <c r="E32" s="33"/>
      <c r="F32" s="24"/>
      <c r="G32" s="25"/>
      <c r="H32" s="25"/>
      <c r="I32" s="26"/>
      <c r="K32" s="82" t="s">
        <v>1812</v>
      </c>
      <c r="N32" s="82" t="s">
        <v>1813</v>
      </c>
    </row>
    <row r="33" spans="1:15" ht="13.5" thickBot="1">
      <c r="A33" s="45" t="s">
        <v>933</v>
      </c>
      <c r="B33" s="10"/>
      <c r="C33" s="10"/>
      <c r="D33" s="10"/>
      <c r="E33" s="33"/>
      <c r="F33" s="1119">
        <v>8363685</v>
      </c>
      <c r="G33" s="25"/>
      <c r="H33" s="1082">
        <v>9595355</v>
      </c>
      <c r="I33" s="26">
        <f>+F33-F31</f>
        <v>0</v>
      </c>
      <c r="J33" s="1110" t="s">
        <v>1641</v>
      </c>
      <c r="K33" s="1109">
        <f>F33-F31</f>
        <v>0</v>
      </c>
      <c r="L33" s="1111" t="str">
        <f>IF(K33=0,"Balanced","Not Balanced")</f>
        <v>Balanced</v>
      </c>
      <c r="N33" s="1109">
        <f>H33-H31</f>
        <v>0</v>
      </c>
      <c r="O33" s="1108" t="str">
        <f>IF(N33=0,"Balanced","Not Balanced")</f>
        <v>Balanced</v>
      </c>
    </row>
    <row r="34" spans="1:15" ht="13.5" thickTop="1">
      <c r="A34" s="10"/>
      <c r="B34" s="10"/>
      <c r="C34" s="10"/>
      <c r="D34" s="10"/>
      <c r="E34" s="33"/>
      <c r="F34" s="24"/>
      <c r="G34" s="25"/>
      <c r="H34" s="25"/>
      <c r="I34" s="26"/>
      <c r="K34" s="26"/>
    </row>
    <row r="35" spans="1:15" ht="12.75">
      <c r="A35" s="9" t="s">
        <v>934</v>
      </c>
      <c r="B35" s="10"/>
      <c r="C35" s="10"/>
      <c r="D35" s="10"/>
      <c r="E35" s="28" t="s">
        <v>2120</v>
      </c>
      <c r="F35" s="19"/>
      <c r="G35" s="19"/>
      <c r="H35" s="19"/>
      <c r="I35" s="26"/>
    </row>
    <row r="36" spans="1:15" ht="12.75">
      <c r="A36" s="10"/>
      <c r="B36" s="10"/>
      <c r="C36" s="10"/>
      <c r="D36" s="10"/>
      <c r="E36" s="33"/>
      <c r="F36" s="19"/>
      <c r="G36" s="19"/>
      <c r="H36" s="19"/>
    </row>
    <row r="37" spans="1:15" ht="12.75">
      <c r="A37" s="10"/>
      <c r="B37" s="10"/>
      <c r="C37" s="10"/>
      <c r="D37" s="10"/>
      <c r="E37" s="33"/>
      <c r="F37" s="1904" t="s">
        <v>1686</v>
      </c>
      <c r="G37" s="1905"/>
      <c r="H37" s="1905"/>
    </row>
    <row r="38" spans="1:15" ht="12.75">
      <c r="A38" s="10"/>
      <c r="B38" s="10"/>
      <c r="C38" s="10"/>
      <c r="D38" s="10"/>
      <c r="E38" s="33"/>
      <c r="F38" s="46"/>
      <c r="G38" s="46"/>
      <c r="H38" s="46"/>
      <c r="J38" s="5">
        <v>11766764.42</v>
      </c>
      <c r="K38" s="1684">
        <f>J38/F39</f>
        <v>7.7946806896214277E-2</v>
      </c>
      <c r="M38" s="1251">
        <v>74569912.659999996</v>
      </c>
      <c r="O38" s="1251"/>
    </row>
    <row r="39" spans="1:15" ht="13.5" thickBot="1">
      <c r="A39" s="9" t="s">
        <v>935</v>
      </c>
      <c r="B39" s="10"/>
      <c r="C39" s="10"/>
      <c r="D39" s="10"/>
      <c r="E39" s="33"/>
      <c r="F39" s="1119">
        <v>150958902.46880001</v>
      </c>
      <c r="G39" s="25"/>
      <c r="H39" s="1082">
        <v>176766181</v>
      </c>
      <c r="I39" s="26" t="s">
        <v>974</v>
      </c>
      <c r="J39" s="47">
        <v>9210245.7300000004</v>
      </c>
      <c r="K39" s="1685">
        <f>J39/F39</f>
        <v>6.1011610308332506E-2</v>
      </c>
      <c r="M39" s="1251">
        <v>1295477892</v>
      </c>
      <c r="O39" s="1251"/>
    </row>
    <row r="40" spans="1:15" ht="13.5" thickTop="1">
      <c r="A40" s="10"/>
      <c r="B40" s="10"/>
      <c r="C40" s="10"/>
      <c r="D40" s="10"/>
      <c r="E40" s="33"/>
      <c r="F40" s="19"/>
      <c r="G40" s="19"/>
      <c r="H40" s="19"/>
      <c r="M40" s="1251"/>
      <c r="O40" s="1251"/>
    </row>
    <row r="41" spans="1:15" ht="12.75">
      <c r="A41" s="10"/>
      <c r="B41" s="10"/>
      <c r="C41" s="10"/>
      <c r="D41" s="10"/>
      <c r="E41" s="33"/>
      <c r="F41" s="1906" t="s">
        <v>1687</v>
      </c>
      <c r="G41" s="1907"/>
      <c r="H41" s="1907"/>
      <c r="M41" s="1251"/>
      <c r="O41" s="1251"/>
    </row>
    <row r="42" spans="1:15" ht="12.75">
      <c r="A42" s="10"/>
      <c r="B42" s="10"/>
      <c r="C42" s="10"/>
      <c r="D42" s="10"/>
      <c r="E42" s="33"/>
      <c r="F42" s="19"/>
      <c r="G42" s="19"/>
      <c r="H42" s="19"/>
      <c r="M42" s="1251"/>
      <c r="O42" s="1251"/>
    </row>
    <row r="43" spans="1:15" ht="13.5" thickBot="1">
      <c r="A43" s="9" t="s">
        <v>1311</v>
      </c>
      <c r="B43" s="10"/>
      <c r="C43" s="10"/>
      <c r="D43" s="10"/>
      <c r="E43" s="33"/>
      <c r="F43" s="48">
        <v>55.403700000000001</v>
      </c>
      <c r="G43" s="49"/>
      <c r="H43" s="50">
        <v>54.282753328251175</v>
      </c>
      <c r="I43" s="26"/>
      <c r="J43" s="16"/>
      <c r="K43" s="26"/>
      <c r="M43" s="1251"/>
      <c r="O43" s="1251"/>
    </row>
    <row r="44" spans="1:15" ht="13.5" thickTop="1">
      <c r="A44" s="10"/>
      <c r="B44" s="10"/>
      <c r="C44" s="10"/>
      <c r="D44" s="10"/>
      <c r="E44" s="18"/>
      <c r="F44" s="21"/>
      <c r="G44" s="19"/>
      <c r="H44" s="19"/>
      <c r="M44" s="1251"/>
      <c r="O44" s="1251"/>
    </row>
    <row r="45" spans="1:15" ht="13.5" hidden="1" thickBot="1">
      <c r="A45" s="9" t="s">
        <v>937</v>
      </c>
      <c r="B45" s="10"/>
      <c r="C45" s="10"/>
      <c r="D45" s="10"/>
      <c r="E45" s="18"/>
      <c r="F45" s="48">
        <v>50</v>
      </c>
      <c r="G45" s="49"/>
      <c r="H45" s="50">
        <v>50</v>
      </c>
      <c r="J45" s="16"/>
      <c r="M45" s="1251"/>
      <c r="O45" s="1251"/>
    </row>
    <row r="46" spans="1:15" ht="12.75">
      <c r="A46" s="10"/>
      <c r="B46" s="10"/>
      <c r="C46" s="10"/>
      <c r="D46" s="10"/>
      <c r="E46" s="18"/>
      <c r="F46" s="19"/>
      <c r="G46" s="19"/>
      <c r="H46" s="19"/>
      <c r="M46" s="1251"/>
      <c r="O46" s="1251"/>
    </row>
    <row r="47" spans="1:15" ht="12.75" hidden="1">
      <c r="A47" s="10"/>
      <c r="B47" s="10"/>
      <c r="C47" s="10"/>
      <c r="D47" s="10"/>
      <c r="E47" s="18"/>
      <c r="F47" s="19"/>
      <c r="G47" s="51"/>
      <c r="H47" s="51"/>
      <c r="J47" s="52"/>
      <c r="M47" s="1251"/>
      <c r="O47" s="1251"/>
    </row>
    <row r="48" spans="1:15" ht="12.75">
      <c r="A48" s="10" t="s">
        <v>2155</v>
      </c>
      <c r="B48" s="53"/>
      <c r="C48" s="53"/>
      <c r="D48" s="53"/>
      <c r="E48" s="54"/>
      <c r="F48" s="55"/>
      <c r="G48" s="53"/>
      <c r="H48" s="53"/>
      <c r="J48" s="16"/>
      <c r="M48" s="1251"/>
      <c r="O48" s="1251"/>
    </row>
    <row r="49" spans="1:15" ht="12.75">
      <c r="A49" s="10"/>
      <c r="B49" s="53"/>
      <c r="C49" s="53"/>
      <c r="D49" s="53"/>
      <c r="E49" s="54"/>
      <c r="F49" s="55"/>
      <c r="G49" s="53"/>
      <c r="H49" s="53"/>
      <c r="J49" s="16"/>
      <c r="M49" s="1251"/>
      <c r="O49" s="1251"/>
    </row>
    <row r="50" spans="1:15" ht="12.75">
      <c r="A50" s="56"/>
      <c r="B50" s="2"/>
      <c r="C50" s="2"/>
      <c r="D50" s="2"/>
      <c r="E50" s="2"/>
      <c r="F50" s="2"/>
      <c r="G50" s="2"/>
      <c r="H50" s="2"/>
      <c r="J50" s="26"/>
      <c r="M50" s="1251"/>
      <c r="O50" s="1251"/>
    </row>
    <row r="51" spans="1:15" s="59" customFormat="1" ht="12.75">
      <c r="A51" s="57"/>
      <c r="B51" s="57"/>
      <c r="C51" s="57"/>
      <c r="D51" s="57"/>
      <c r="E51" s="57"/>
      <c r="F51" s="57"/>
      <c r="G51" s="57"/>
      <c r="H51" s="57"/>
      <c r="I51" s="58"/>
      <c r="J51" s="58"/>
    </row>
    <row r="52" spans="1:15" s="59" customFormat="1" ht="12.75">
      <c r="A52" s="60"/>
      <c r="B52" s="60"/>
      <c r="C52" s="60"/>
      <c r="D52" s="60"/>
      <c r="E52" s="60"/>
      <c r="F52" s="60"/>
      <c r="G52" s="60"/>
      <c r="H52" s="60"/>
      <c r="I52" s="61"/>
      <c r="J52" s="61"/>
      <c r="K52" s="61"/>
    </row>
    <row r="53" spans="1:15" s="70" customFormat="1" ht="12.75">
      <c r="A53" s="62"/>
      <c r="B53" s="63"/>
      <c r="C53" s="63"/>
      <c r="D53" s="63"/>
      <c r="E53" s="64"/>
      <c r="F53" s="63"/>
      <c r="G53" s="65"/>
      <c r="H53" s="66"/>
      <c r="I53" s="67"/>
      <c r="J53" s="68"/>
      <c r="K53" s="69"/>
    </row>
    <row r="54" spans="1:15" s="70" customFormat="1" ht="12.75">
      <c r="A54" s="71"/>
      <c r="B54" s="63"/>
      <c r="C54" s="63"/>
      <c r="D54" s="63"/>
      <c r="E54" s="64"/>
      <c r="F54" s="63"/>
      <c r="G54" s="65"/>
      <c r="H54" s="66"/>
      <c r="I54" s="67"/>
      <c r="J54" s="68"/>
      <c r="K54" s="69"/>
    </row>
    <row r="55" spans="1:15" s="70" customFormat="1" ht="12.75">
      <c r="A55" s="71"/>
      <c r="B55" s="63"/>
      <c r="C55" s="63"/>
      <c r="D55" s="63"/>
      <c r="E55" s="64"/>
      <c r="F55" s="63"/>
      <c r="G55" s="65"/>
      <c r="H55" s="66"/>
      <c r="I55" s="67"/>
      <c r="J55" s="68"/>
      <c r="K55" s="69"/>
    </row>
    <row r="56" spans="1:15" s="70" customFormat="1" ht="12.75">
      <c r="A56" s="71"/>
      <c r="B56" s="63"/>
      <c r="C56" s="63"/>
      <c r="D56" s="63"/>
      <c r="E56" s="64"/>
      <c r="F56" s="63"/>
      <c r="G56" s="65"/>
      <c r="H56" s="66"/>
      <c r="I56" s="67"/>
      <c r="J56" s="68"/>
      <c r="K56" s="69"/>
    </row>
    <row r="57" spans="1:15" s="70" customFormat="1" ht="12.75">
      <c r="A57" s="71"/>
      <c r="B57" s="63"/>
      <c r="C57" s="63"/>
      <c r="D57" s="63"/>
      <c r="E57" s="64"/>
      <c r="F57" s="63"/>
      <c r="G57" s="65"/>
      <c r="H57" s="66"/>
      <c r="I57" s="67"/>
      <c r="J57" s="68"/>
      <c r="K57" s="69"/>
    </row>
    <row r="58" spans="1:15" s="20" customFormat="1" ht="12.75">
      <c r="A58" s="39"/>
      <c r="B58" s="72"/>
      <c r="C58" s="1228"/>
      <c r="D58" s="9"/>
      <c r="E58" s="9"/>
      <c r="F58" s="1228"/>
      <c r="G58" s="1228"/>
      <c r="H58" s="9"/>
    </row>
    <row r="59" spans="1:15" s="20" customFormat="1" ht="12.75">
      <c r="A59" s="9"/>
      <c r="B59" s="72"/>
      <c r="C59" s="1228"/>
      <c r="D59" s="9"/>
      <c r="E59" s="9"/>
      <c r="F59" s="1228"/>
      <c r="G59" s="1228"/>
      <c r="H59" s="9"/>
    </row>
    <row r="60" spans="1:15" ht="12.75">
      <c r="A60" s="10"/>
      <c r="B60" s="10"/>
      <c r="C60" s="10"/>
      <c r="D60" s="10"/>
      <c r="E60" s="18"/>
      <c r="F60" s="19"/>
      <c r="G60" s="19"/>
      <c r="H60" s="19"/>
    </row>
    <row r="61" spans="1:15" ht="12.75">
      <c r="A61" s="10"/>
      <c r="B61" s="10"/>
      <c r="C61" s="10"/>
      <c r="D61" s="10"/>
      <c r="E61" s="18"/>
      <c r="F61" s="19"/>
      <c r="G61" s="19"/>
      <c r="H61" s="19"/>
    </row>
    <row r="62" spans="1:15" ht="12.75">
      <c r="A62" s="10"/>
      <c r="B62" s="10"/>
      <c r="C62" s="10"/>
      <c r="D62" s="10"/>
      <c r="E62" s="18"/>
      <c r="F62" s="19"/>
      <c r="G62" s="19"/>
      <c r="H62" s="19"/>
    </row>
    <row r="63" spans="1:15" ht="12.75">
      <c r="A63" s="10"/>
      <c r="B63" s="10"/>
      <c r="C63" s="10"/>
      <c r="D63" s="10"/>
      <c r="E63" s="18"/>
      <c r="F63" s="19"/>
      <c r="G63" s="19"/>
      <c r="H63" s="19"/>
    </row>
    <row r="64" spans="1:15" ht="12.75">
      <c r="A64" s="10"/>
      <c r="B64" s="10"/>
      <c r="C64" s="10"/>
      <c r="D64" s="10"/>
      <c r="E64" s="18"/>
      <c r="F64" s="19"/>
      <c r="G64" s="19"/>
      <c r="H64" s="19"/>
    </row>
    <row r="65" spans="1:8" ht="12.75">
      <c r="A65" s="10"/>
      <c r="B65" s="10"/>
      <c r="C65" s="10"/>
      <c r="D65" s="10"/>
      <c r="E65" s="18"/>
      <c r="F65" s="19"/>
      <c r="G65" s="19"/>
      <c r="H65" s="19"/>
    </row>
    <row r="66" spans="1:8" ht="12.75">
      <c r="A66" s="10"/>
      <c r="B66" s="10"/>
      <c r="C66" s="10"/>
      <c r="D66" s="10"/>
      <c r="E66" s="18"/>
      <c r="F66" s="19"/>
      <c r="G66" s="19"/>
      <c r="H66" s="19"/>
    </row>
    <row r="67" spans="1:8" ht="12.75">
      <c r="A67" s="10"/>
      <c r="B67" s="10"/>
      <c r="C67" s="10"/>
      <c r="D67" s="10"/>
      <c r="E67" s="18"/>
      <c r="F67" s="19"/>
      <c r="G67" s="19"/>
      <c r="H67" s="19"/>
    </row>
    <row r="68" spans="1:8" ht="12.75">
      <c r="A68" s="10"/>
      <c r="B68" s="10"/>
      <c r="C68" s="10"/>
      <c r="D68" s="10"/>
      <c r="E68" s="18"/>
      <c r="F68" s="19"/>
      <c r="G68" s="19"/>
      <c r="H68" s="19"/>
    </row>
    <row r="69" spans="1:8" ht="12.75">
      <c r="A69" s="10"/>
      <c r="B69" s="10"/>
      <c r="C69" s="10"/>
      <c r="D69" s="10"/>
      <c r="E69" s="18"/>
      <c r="F69" s="19"/>
      <c r="G69" s="19"/>
      <c r="H69" s="19"/>
    </row>
    <row r="70" spans="1:8" ht="12.75">
      <c r="A70" s="10"/>
      <c r="B70" s="10"/>
      <c r="C70" s="10"/>
      <c r="D70" s="10"/>
      <c r="E70" s="18"/>
      <c r="F70" s="19"/>
      <c r="G70" s="19"/>
      <c r="H70" s="19"/>
    </row>
    <row r="71" spans="1:8" ht="12.75">
      <c r="A71" s="10"/>
      <c r="B71" s="10"/>
      <c r="C71" s="10"/>
      <c r="D71" s="10"/>
      <c r="E71" s="18"/>
      <c r="F71" s="19"/>
      <c r="G71" s="19"/>
      <c r="H71" s="19"/>
    </row>
    <row r="72" spans="1:8" ht="12.75">
      <c r="A72" s="10"/>
      <c r="B72" s="10"/>
      <c r="C72" s="10"/>
      <c r="D72" s="10"/>
      <c r="E72" s="18"/>
      <c r="F72" s="19"/>
      <c r="G72" s="19"/>
      <c r="H72" s="19"/>
    </row>
    <row r="73" spans="1:8" ht="12.75">
      <c r="A73" s="10"/>
      <c r="B73" s="10"/>
      <c r="C73" s="10"/>
      <c r="D73" s="10"/>
      <c r="E73" s="18"/>
      <c r="F73" s="19"/>
      <c r="G73" s="19"/>
      <c r="H73" s="19"/>
    </row>
    <row r="74" spans="1:8" ht="12.75">
      <c r="A74" s="10"/>
      <c r="B74" s="10"/>
      <c r="C74" s="10"/>
      <c r="D74" s="10"/>
      <c r="E74" s="18"/>
      <c r="F74" s="19"/>
      <c r="G74" s="19"/>
      <c r="H74" s="19"/>
    </row>
    <row r="75" spans="1:8" ht="12.75">
      <c r="A75" s="10"/>
      <c r="B75" s="10"/>
      <c r="C75" s="10"/>
      <c r="D75" s="10"/>
      <c r="E75" s="18"/>
      <c r="F75" s="19"/>
      <c r="G75" s="19"/>
      <c r="H75" s="19"/>
    </row>
    <row r="76" spans="1:8" ht="12.75">
      <c r="A76" s="10"/>
      <c r="B76" s="10"/>
      <c r="C76" s="10"/>
      <c r="D76" s="10"/>
      <c r="E76" s="18"/>
      <c r="F76" s="19"/>
      <c r="G76" s="19"/>
      <c r="H76" s="19"/>
    </row>
    <row r="77" spans="1:8" ht="12.75">
      <c r="A77" s="10"/>
      <c r="B77" s="10"/>
      <c r="C77" s="10"/>
      <c r="D77" s="10"/>
      <c r="E77" s="18"/>
      <c r="F77" s="19"/>
      <c r="G77" s="19"/>
      <c r="H77" s="19"/>
    </row>
    <row r="78" spans="1:8" ht="12.75">
      <c r="A78" s="10"/>
      <c r="B78" s="10"/>
      <c r="C78" s="10"/>
      <c r="D78" s="10"/>
      <c r="E78" s="18"/>
      <c r="F78" s="19"/>
      <c r="G78" s="19"/>
      <c r="H78" s="19"/>
    </row>
    <row r="79" spans="1:8" ht="12.75">
      <c r="A79" s="10"/>
      <c r="B79" s="10"/>
      <c r="C79" s="10"/>
      <c r="D79" s="10"/>
      <c r="E79" s="18"/>
      <c r="F79" s="19"/>
      <c r="G79" s="19"/>
      <c r="H79" s="19"/>
    </row>
  </sheetData>
  <mergeCells count="3">
    <mergeCell ref="F7:H7"/>
    <mergeCell ref="F37:H37"/>
    <mergeCell ref="F41:H41"/>
  </mergeCells>
  <pageMargins left="0.54" right="0.34" top="0.75" bottom="0.65" header="0.5" footer="0.5"/>
  <pageSetup scale="90" orientation="portrait" horizontalDpi="4294967295"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0"/>
  <sheetViews>
    <sheetView showGridLines="0" view="pageBreakPreview" topLeftCell="A25" zoomScale="120" zoomScaleNormal="100" zoomScaleSheetLayoutView="120" workbookViewId="0">
      <selection activeCell="A65" sqref="A65"/>
    </sheetView>
  </sheetViews>
  <sheetFormatPr defaultColWidth="8.140625" defaultRowHeight="12"/>
  <cols>
    <col min="1" max="1" width="6.28515625" style="225" customWidth="1"/>
    <col min="2" max="2" width="18.28515625" style="225" customWidth="1"/>
    <col min="3" max="3" width="6" style="225" customWidth="1"/>
    <col min="4" max="4" width="5.85546875" style="225" customWidth="1"/>
    <col min="5" max="5" width="6.85546875" style="225" customWidth="1"/>
    <col min="6" max="6" width="5.85546875" style="225" customWidth="1"/>
    <col min="7" max="7" width="6.42578125" style="225" customWidth="1"/>
    <col min="8" max="9" width="6.5703125" style="225" customWidth="1"/>
    <col min="10" max="10" width="6.140625" style="225" customWidth="1"/>
    <col min="11" max="11" width="9.140625" style="225" customWidth="1"/>
    <col min="12" max="12" width="9.85546875" style="225" customWidth="1"/>
    <col min="13" max="13" width="1.140625" style="225" customWidth="1"/>
    <col min="14" max="14" width="9.85546875" style="225" customWidth="1"/>
    <col min="15" max="16" width="8.140625" style="225"/>
    <col min="17" max="18" width="10" style="225" bestFit="1" customWidth="1"/>
    <col min="19" max="196" width="8.140625" style="225"/>
    <col min="197" max="197" width="5.85546875" style="225" customWidth="1"/>
    <col min="198" max="198" width="40.140625" style="225" customWidth="1"/>
    <col min="199" max="199" width="1.5703125" style="225" customWidth="1"/>
    <col min="200" max="200" width="9.5703125" style="225" customWidth="1"/>
    <col min="201" max="201" width="11.85546875" style="225" customWidth="1"/>
    <col min="202" max="202" width="10.42578125" style="225" customWidth="1"/>
    <col min="203" max="203" width="10.28515625" style="225" customWidth="1"/>
    <col min="204" max="204" width="10.85546875" style="225" customWidth="1"/>
    <col min="205" max="205" width="9.140625" style="225" customWidth="1"/>
    <col min="206" max="206" width="8.7109375" style="225" customWidth="1"/>
    <col min="207" max="207" width="13.5703125" style="225" customWidth="1"/>
    <col min="208" max="208" width="12.28515625" style="225" customWidth="1"/>
    <col min="209" max="209" width="0.85546875" style="225" customWidth="1"/>
    <col min="210" max="210" width="14" style="225" customWidth="1"/>
    <col min="211" max="211" width="15.5703125" style="225" bestFit="1" customWidth="1"/>
    <col min="212" max="212" width="13.85546875" style="225" bestFit="1" customWidth="1"/>
    <col min="213" max="213" width="13.140625" style="225" bestFit="1" customWidth="1"/>
    <col min="214" max="214" width="9" style="225" customWidth="1"/>
    <col min="215" max="215" width="13.140625" style="225" bestFit="1" customWidth="1"/>
    <col min="216" max="216" width="8.140625" style="225"/>
    <col min="217" max="217" width="5.7109375" style="225" bestFit="1" customWidth="1"/>
    <col min="218" max="218" width="24.5703125" style="225" bestFit="1" customWidth="1"/>
    <col min="219" max="219" width="13.85546875" style="225" bestFit="1" customWidth="1"/>
    <col min="220" max="220" width="13.5703125" style="225" bestFit="1" customWidth="1"/>
    <col min="221" max="221" width="8.140625" style="225" customWidth="1"/>
    <col min="222" max="452" width="8.140625" style="225"/>
    <col min="453" max="453" width="5.85546875" style="225" customWidth="1"/>
    <col min="454" max="454" width="40.140625" style="225" customWidth="1"/>
    <col min="455" max="455" width="1.5703125" style="225" customWidth="1"/>
    <col min="456" max="456" width="9.5703125" style="225" customWidth="1"/>
    <col min="457" max="457" width="11.85546875" style="225" customWidth="1"/>
    <col min="458" max="458" width="10.42578125" style="225" customWidth="1"/>
    <col min="459" max="459" width="10.28515625" style="225" customWidth="1"/>
    <col min="460" max="460" width="10.85546875" style="225" customWidth="1"/>
    <col min="461" max="461" width="9.140625" style="225" customWidth="1"/>
    <col min="462" max="462" width="8.7109375" style="225" customWidth="1"/>
    <col min="463" max="463" width="13.5703125" style="225" customWidth="1"/>
    <col min="464" max="464" width="12.28515625" style="225" customWidth="1"/>
    <col min="465" max="465" width="0.85546875" style="225" customWidth="1"/>
    <col min="466" max="466" width="14" style="225" customWidth="1"/>
    <col min="467" max="467" width="15.5703125" style="225" bestFit="1" customWidth="1"/>
    <col min="468" max="468" width="13.85546875" style="225" bestFit="1" customWidth="1"/>
    <col min="469" max="469" width="13.140625" style="225" bestFit="1" customWidth="1"/>
    <col min="470" max="470" width="9" style="225" customWidth="1"/>
    <col min="471" max="471" width="13.140625" style="225" bestFit="1" customWidth="1"/>
    <col min="472" max="472" width="8.140625" style="225"/>
    <col min="473" max="473" width="5.7109375" style="225" bestFit="1" customWidth="1"/>
    <col min="474" max="474" width="24.5703125" style="225" bestFit="1" customWidth="1"/>
    <col min="475" max="475" width="13.85546875" style="225" bestFit="1" customWidth="1"/>
    <col min="476" max="476" width="13.5703125" style="225" bestFit="1" customWidth="1"/>
    <col min="477" max="477" width="8.140625" style="225" customWidth="1"/>
    <col min="478" max="708" width="8.140625" style="225"/>
    <col min="709" max="709" width="5.85546875" style="225" customWidth="1"/>
    <col min="710" max="710" width="40.140625" style="225" customWidth="1"/>
    <col min="711" max="711" width="1.5703125" style="225" customWidth="1"/>
    <col min="712" max="712" width="9.5703125" style="225" customWidth="1"/>
    <col min="713" max="713" width="11.85546875" style="225" customWidth="1"/>
    <col min="714" max="714" width="10.42578125" style="225" customWidth="1"/>
    <col min="715" max="715" width="10.28515625" style="225" customWidth="1"/>
    <col min="716" max="716" width="10.85546875" style="225" customWidth="1"/>
    <col min="717" max="717" width="9.140625" style="225" customWidth="1"/>
    <col min="718" max="718" width="8.7109375" style="225" customWidth="1"/>
    <col min="719" max="719" width="13.5703125" style="225" customWidth="1"/>
    <col min="720" max="720" width="12.28515625" style="225" customWidth="1"/>
    <col min="721" max="721" width="0.85546875" style="225" customWidth="1"/>
    <col min="722" max="722" width="14" style="225" customWidth="1"/>
    <col min="723" max="723" width="15.5703125" style="225" bestFit="1" customWidth="1"/>
    <col min="724" max="724" width="13.85546875" style="225" bestFit="1" customWidth="1"/>
    <col min="725" max="725" width="13.140625" style="225" bestFit="1" customWidth="1"/>
    <col min="726" max="726" width="9" style="225" customWidth="1"/>
    <col min="727" max="727" width="13.140625" style="225" bestFit="1" customWidth="1"/>
    <col min="728" max="728" width="8.140625" style="225"/>
    <col min="729" max="729" width="5.7109375" style="225" bestFit="1" customWidth="1"/>
    <col min="730" max="730" width="24.5703125" style="225" bestFit="1" customWidth="1"/>
    <col min="731" max="731" width="13.85546875" style="225" bestFit="1" customWidth="1"/>
    <col min="732" max="732" width="13.5703125" style="225" bestFit="1" customWidth="1"/>
    <col min="733" max="733" width="8.140625" style="225" customWidth="1"/>
    <col min="734" max="964" width="8.140625" style="225"/>
    <col min="965" max="965" width="5.85546875" style="225" customWidth="1"/>
    <col min="966" max="966" width="40.140625" style="225" customWidth="1"/>
    <col min="967" max="967" width="1.5703125" style="225" customWidth="1"/>
    <col min="968" max="968" width="9.5703125" style="225" customWidth="1"/>
    <col min="969" max="969" width="11.85546875" style="225" customWidth="1"/>
    <col min="970" max="970" width="10.42578125" style="225" customWidth="1"/>
    <col min="971" max="971" width="10.28515625" style="225" customWidth="1"/>
    <col min="972" max="972" width="10.85546875" style="225" customWidth="1"/>
    <col min="973" max="973" width="9.140625" style="225" customWidth="1"/>
    <col min="974" max="974" width="8.7109375" style="225" customWidth="1"/>
    <col min="975" max="975" width="13.5703125" style="225" customWidth="1"/>
    <col min="976" max="976" width="12.28515625" style="225" customWidth="1"/>
    <col min="977" max="977" width="0.85546875" style="225" customWidth="1"/>
    <col min="978" max="978" width="14" style="225" customWidth="1"/>
    <col min="979" max="979" width="15.5703125" style="225" bestFit="1" customWidth="1"/>
    <col min="980" max="980" width="13.85546875" style="225" bestFit="1" customWidth="1"/>
    <col min="981" max="981" width="13.140625" style="225" bestFit="1" customWidth="1"/>
    <col min="982" max="982" width="9" style="225" customWidth="1"/>
    <col min="983" max="983" width="13.140625" style="225" bestFit="1" customWidth="1"/>
    <col min="984" max="984" width="8.140625" style="225"/>
    <col min="985" max="985" width="5.7109375" style="225" bestFit="1" customWidth="1"/>
    <col min="986" max="986" width="24.5703125" style="225" bestFit="1" customWidth="1"/>
    <col min="987" max="987" width="13.85546875" style="225" bestFit="1" customWidth="1"/>
    <col min="988" max="988" width="13.5703125" style="225" bestFit="1" customWidth="1"/>
    <col min="989" max="989" width="8.140625" style="225" customWidth="1"/>
    <col min="990" max="1220" width="8.140625" style="225"/>
    <col min="1221" max="1221" width="5.85546875" style="225" customWidth="1"/>
    <col min="1222" max="1222" width="40.140625" style="225" customWidth="1"/>
    <col min="1223" max="1223" width="1.5703125" style="225" customWidth="1"/>
    <col min="1224" max="1224" width="9.5703125" style="225" customWidth="1"/>
    <col min="1225" max="1225" width="11.85546875" style="225" customWidth="1"/>
    <col min="1226" max="1226" width="10.42578125" style="225" customWidth="1"/>
    <col min="1227" max="1227" width="10.28515625" style="225" customWidth="1"/>
    <col min="1228" max="1228" width="10.85546875" style="225" customWidth="1"/>
    <col min="1229" max="1229" width="9.140625" style="225" customWidth="1"/>
    <col min="1230" max="1230" width="8.7109375" style="225" customWidth="1"/>
    <col min="1231" max="1231" width="13.5703125" style="225" customWidth="1"/>
    <col min="1232" max="1232" width="12.28515625" style="225" customWidth="1"/>
    <col min="1233" max="1233" width="0.85546875" style="225" customWidth="1"/>
    <col min="1234" max="1234" width="14" style="225" customWidth="1"/>
    <col min="1235" max="1235" width="15.5703125" style="225" bestFit="1" customWidth="1"/>
    <col min="1236" max="1236" width="13.85546875" style="225" bestFit="1" customWidth="1"/>
    <col min="1237" max="1237" width="13.140625" style="225" bestFit="1" customWidth="1"/>
    <col min="1238" max="1238" width="9" style="225" customWidth="1"/>
    <col min="1239" max="1239" width="13.140625" style="225" bestFit="1" customWidth="1"/>
    <col min="1240" max="1240" width="8.140625" style="225"/>
    <col min="1241" max="1241" width="5.7109375" style="225" bestFit="1" customWidth="1"/>
    <col min="1242" max="1242" width="24.5703125" style="225" bestFit="1" customWidth="1"/>
    <col min="1243" max="1243" width="13.85546875" style="225" bestFit="1" customWidth="1"/>
    <col min="1244" max="1244" width="13.5703125" style="225" bestFit="1" customWidth="1"/>
    <col min="1245" max="1245" width="8.140625" style="225" customWidth="1"/>
    <col min="1246" max="1476" width="8.140625" style="225"/>
    <col min="1477" max="1477" width="5.85546875" style="225" customWidth="1"/>
    <col min="1478" max="1478" width="40.140625" style="225" customWidth="1"/>
    <col min="1479" max="1479" width="1.5703125" style="225" customWidth="1"/>
    <col min="1480" max="1480" width="9.5703125" style="225" customWidth="1"/>
    <col min="1481" max="1481" width="11.85546875" style="225" customWidth="1"/>
    <col min="1482" max="1482" width="10.42578125" style="225" customWidth="1"/>
    <col min="1483" max="1483" width="10.28515625" style="225" customWidth="1"/>
    <col min="1484" max="1484" width="10.85546875" style="225" customWidth="1"/>
    <col min="1485" max="1485" width="9.140625" style="225" customWidth="1"/>
    <col min="1486" max="1486" width="8.7109375" style="225" customWidth="1"/>
    <col min="1487" max="1487" width="13.5703125" style="225" customWidth="1"/>
    <col min="1488" max="1488" width="12.28515625" style="225" customWidth="1"/>
    <col min="1489" max="1489" width="0.85546875" style="225" customWidth="1"/>
    <col min="1490" max="1490" width="14" style="225" customWidth="1"/>
    <col min="1491" max="1491" width="15.5703125" style="225" bestFit="1" customWidth="1"/>
    <col min="1492" max="1492" width="13.85546875" style="225" bestFit="1" customWidth="1"/>
    <col min="1493" max="1493" width="13.140625" style="225" bestFit="1" customWidth="1"/>
    <col min="1494" max="1494" width="9" style="225" customWidth="1"/>
    <col min="1495" max="1495" width="13.140625" style="225" bestFit="1" customWidth="1"/>
    <col min="1496" max="1496" width="8.140625" style="225"/>
    <col min="1497" max="1497" width="5.7109375" style="225" bestFit="1" customWidth="1"/>
    <col min="1498" max="1498" width="24.5703125" style="225" bestFit="1" customWidth="1"/>
    <col min="1499" max="1499" width="13.85546875" style="225" bestFit="1" customWidth="1"/>
    <col min="1500" max="1500" width="13.5703125" style="225" bestFit="1" customWidth="1"/>
    <col min="1501" max="1501" width="8.140625" style="225" customWidth="1"/>
    <col min="1502" max="1732" width="8.140625" style="225"/>
    <col min="1733" max="1733" width="5.85546875" style="225" customWidth="1"/>
    <col min="1734" max="1734" width="40.140625" style="225" customWidth="1"/>
    <col min="1735" max="1735" width="1.5703125" style="225" customWidth="1"/>
    <col min="1736" max="1736" width="9.5703125" style="225" customWidth="1"/>
    <col min="1737" max="1737" width="11.85546875" style="225" customWidth="1"/>
    <col min="1738" max="1738" width="10.42578125" style="225" customWidth="1"/>
    <col min="1739" max="1739" width="10.28515625" style="225" customWidth="1"/>
    <col min="1740" max="1740" width="10.85546875" style="225" customWidth="1"/>
    <col min="1741" max="1741" width="9.140625" style="225" customWidth="1"/>
    <col min="1742" max="1742" width="8.7109375" style="225" customWidth="1"/>
    <col min="1743" max="1743" width="13.5703125" style="225" customWidth="1"/>
    <col min="1744" max="1744" width="12.28515625" style="225" customWidth="1"/>
    <col min="1745" max="1745" width="0.85546875" style="225" customWidth="1"/>
    <col min="1746" max="1746" width="14" style="225" customWidth="1"/>
    <col min="1747" max="1747" width="15.5703125" style="225" bestFit="1" customWidth="1"/>
    <col min="1748" max="1748" width="13.85546875" style="225" bestFit="1" customWidth="1"/>
    <col min="1749" max="1749" width="13.140625" style="225" bestFit="1" customWidth="1"/>
    <col min="1750" max="1750" width="9" style="225" customWidth="1"/>
    <col min="1751" max="1751" width="13.140625" style="225" bestFit="1" customWidth="1"/>
    <col min="1752" max="1752" width="8.140625" style="225"/>
    <col min="1753" max="1753" width="5.7109375" style="225" bestFit="1" customWidth="1"/>
    <col min="1754" max="1754" width="24.5703125" style="225" bestFit="1" customWidth="1"/>
    <col min="1755" max="1755" width="13.85546875" style="225" bestFit="1" customWidth="1"/>
    <col min="1756" max="1756" width="13.5703125" style="225" bestFit="1" customWidth="1"/>
    <col min="1757" max="1757" width="8.140625" style="225" customWidth="1"/>
    <col min="1758" max="1988" width="8.140625" style="225"/>
    <col min="1989" max="1989" width="5.85546875" style="225" customWidth="1"/>
    <col min="1990" max="1990" width="40.140625" style="225" customWidth="1"/>
    <col min="1991" max="1991" width="1.5703125" style="225" customWidth="1"/>
    <col min="1992" max="1992" width="9.5703125" style="225" customWidth="1"/>
    <col min="1993" max="1993" width="11.85546875" style="225" customWidth="1"/>
    <col min="1994" max="1994" width="10.42578125" style="225" customWidth="1"/>
    <col min="1995" max="1995" width="10.28515625" style="225" customWidth="1"/>
    <col min="1996" max="1996" width="10.85546875" style="225" customWidth="1"/>
    <col min="1997" max="1997" width="9.140625" style="225" customWidth="1"/>
    <col min="1998" max="1998" width="8.7109375" style="225" customWidth="1"/>
    <col min="1999" max="1999" width="13.5703125" style="225" customWidth="1"/>
    <col min="2000" max="2000" width="12.28515625" style="225" customWidth="1"/>
    <col min="2001" max="2001" width="0.85546875" style="225" customWidth="1"/>
    <col min="2002" max="2002" width="14" style="225" customWidth="1"/>
    <col min="2003" max="2003" width="15.5703125" style="225" bestFit="1" customWidth="1"/>
    <col min="2004" max="2004" width="13.85546875" style="225" bestFit="1" customWidth="1"/>
    <col min="2005" max="2005" width="13.140625" style="225" bestFit="1" customWidth="1"/>
    <col min="2006" max="2006" width="9" style="225" customWidth="1"/>
    <col min="2007" max="2007" width="13.140625" style="225" bestFit="1" customWidth="1"/>
    <col min="2008" max="2008" width="8.140625" style="225"/>
    <col min="2009" max="2009" width="5.7109375" style="225" bestFit="1" customWidth="1"/>
    <col min="2010" max="2010" width="24.5703125" style="225" bestFit="1" customWidth="1"/>
    <col min="2011" max="2011" width="13.85546875" style="225" bestFit="1" customWidth="1"/>
    <col min="2012" max="2012" width="13.5703125" style="225" bestFit="1" customWidth="1"/>
    <col min="2013" max="2013" width="8.140625" style="225" customWidth="1"/>
    <col min="2014" max="2244" width="8.140625" style="225"/>
    <col min="2245" max="2245" width="5.85546875" style="225" customWidth="1"/>
    <col min="2246" max="2246" width="40.140625" style="225" customWidth="1"/>
    <col min="2247" max="2247" width="1.5703125" style="225" customWidth="1"/>
    <col min="2248" max="2248" width="9.5703125" style="225" customWidth="1"/>
    <col min="2249" max="2249" width="11.85546875" style="225" customWidth="1"/>
    <col min="2250" max="2250" width="10.42578125" style="225" customWidth="1"/>
    <col min="2251" max="2251" width="10.28515625" style="225" customWidth="1"/>
    <col min="2252" max="2252" width="10.85546875" style="225" customWidth="1"/>
    <col min="2253" max="2253" width="9.140625" style="225" customWidth="1"/>
    <col min="2254" max="2254" width="8.7109375" style="225" customWidth="1"/>
    <col min="2255" max="2255" width="13.5703125" style="225" customWidth="1"/>
    <col min="2256" max="2256" width="12.28515625" style="225" customWidth="1"/>
    <col min="2257" max="2257" width="0.85546875" style="225" customWidth="1"/>
    <col min="2258" max="2258" width="14" style="225" customWidth="1"/>
    <col min="2259" max="2259" width="15.5703125" style="225" bestFit="1" customWidth="1"/>
    <col min="2260" max="2260" width="13.85546875" style="225" bestFit="1" customWidth="1"/>
    <col min="2261" max="2261" width="13.140625" style="225" bestFit="1" customWidth="1"/>
    <col min="2262" max="2262" width="9" style="225" customWidth="1"/>
    <col min="2263" max="2263" width="13.140625" style="225" bestFit="1" customWidth="1"/>
    <col min="2264" max="2264" width="8.140625" style="225"/>
    <col min="2265" max="2265" width="5.7109375" style="225" bestFit="1" customWidth="1"/>
    <col min="2266" max="2266" width="24.5703125" style="225" bestFit="1" customWidth="1"/>
    <col min="2267" max="2267" width="13.85546875" style="225" bestFit="1" customWidth="1"/>
    <col min="2268" max="2268" width="13.5703125" style="225" bestFit="1" customWidth="1"/>
    <col min="2269" max="2269" width="8.140625" style="225" customWidth="1"/>
    <col min="2270" max="2500" width="8.140625" style="225"/>
    <col min="2501" max="2501" width="5.85546875" style="225" customWidth="1"/>
    <col min="2502" max="2502" width="40.140625" style="225" customWidth="1"/>
    <col min="2503" max="2503" width="1.5703125" style="225" customWidth="1"/>
    <col min="2504" max="2504" width="9.5703125" style="225" customWidth="1"/>
    <col min="2505" max="2505" width="11.85546875" style="225" customWidth="1"/>
    <col min="2506" max="2506" width="10.42578125" style="225" customWidth="1"/>
    <col min="2507" max="2507" width="10.28515625" style="225" customWidth="1"/>
    <col min="2508" max="2508" width="10.85546875" style="225" customWidth="1"/>
    <col min="2509" max="2509" width="9.140625" style="225" customWidth="1"/>
    <col min="2510" max="2510" width="8.7109375" style="225" customWidth="1"/>
    <col min="2511" max="2511" width="13.5703125" style="225" customWidth="1"/>
    <col min="2512" max="2512" width="12.28515625" style="225" customWidth="1"/>
    <col min="2513" max="2513" width="0.85546875" style="225" customWidth="1"/>
    <col min="2514" max="2514" width="14" style="225" customWidth="1"/>
    <col min="2515" max="2515" width="15.5703125" style="225" bestFit="1" customWidth="1"/>
    <col min="2516" max="2516" width="13.85546875" style="225" bestFit="1" customWidth="1"/>
    <col min="2517" max="2517" width="13.140625" style="225" bestFit="1" customWidth="1"/>
    <col min="2518" max="2518" width="9" style="225" customWidth="1"/>
    <col min="2519" max="2519" width="13.140625" style="225" bestFit="1" customWidth="1"/>
    <col min="2520" max="2520" width="8.140625" style="225"/>
    <col min="2521" max="2521" width="5.7109375" style="225" bestFit="1" customWidth="1"/>
    <col min="2522" max="2522" width="24.5703125" style="225" bestFit="1" customWidth="1"/>
    <col min="2523" max="2523" width="13.85546875" style="225" bestFit="1" customWidth="1"/>
    <col min="2524" max="2524" width="13.5703125" style="225" bestFit="1" customWidth="1"/>
    <col min="2525" max="2525" width="8.140625" style="225" customWidth="1"/>
    <col min="2526" max="2756" width="8.140625" style="225"/>
    <col min="2757" max="2757" width="5.85546875" style="225" customWidth="1"/>
    <col min="2758" max="2758" width="40.140625" style="225" customWidth="1"/>
    <col min="2759" max="2759" width="1.5703125" style="225" customWidth="1"/>
    <col min="2760" max="2760" width="9.5703125" style="225" customWidth="1"/>
    <col min="2761" max="2761" width="11.85546875" style="225" customWidth="1"/>
    <col min="2762" max="2762" width="10.42578125" style="225" customWidth="1"/>
    <col min="2763" max="2763" width="10.28515625" style="225" customWidth="1"/>
    <col min="2764" max="2764" width="10.85546875" style="225" customWidth="1"/>
    <col min="2765" max="2765" width="9.140625" style="225" customWidth="1"/>
    <col min="2766" max="2766" width="8.7109375" style="225" customWidth="1"/>
    <col min="2767" max="2767" width="13.5703125" style="225" customWidth="1"/>
    <col min="2768" max="2768" width="12.28515625" style="225" customWidth="1"/>
    <col min="2769" max="2769" width="0.85546875" style="225" customWidth="1"/>
    <col min="2770" max="2770" width="14" style="225" customWidth="1"/>
    <col min="2771" max="2771" width="15.5703125" style="225" bestFit="1" customWidth="1"/>
    <col min="2772" max="2772" width="13.85546875" style="225" bestFit="1" customWidth="1"/>
    <col min="2773" max="2773" width="13.140625" style="225" bestFit="1" customWidth="1"/>
    <col min="2774" max="2774" width="9" style="225" customWidth="1"/>
    <col min="2775" max="2775" width="13.140625" style="225" bestFit="1" customWidth="1"/>
    <col min="2776" max="2776" width="8.140625" style="225"/>
    <col min="2777" max="2777" width="5.7109375" style="225" bestFit="1" customWidth="1"/>
    <col min="2778" max="2778" width="24.5703125" style="225" bestFit="1" customWidth="1"/>
    <col min="2779" max="2779" width="13.85546875" style="225" bestFit="1" customWidth="1"/>
    <col min="2780" max="2780" width="13.5703125" style="225" bestFit="1" customWidth="1"/>
    <col min="2781" max="2781" width="8.140625" style="225" customWidth="1"/>
    <col min="2782" max="3012" width="8.140625" style="225"/>
    <col min="3013" max="3013" width="5.85546875" style="225" customWidth="1"/>
    <col min="3014" max="3014" width="40.140625" style="225" customWidth="1"/>
    <col min="3015" max="3015" width="1.5703125" style="225" customWidth="1"/>
    <col min="3016" max="3016" width="9.5703125" style="225" customWidth="1"/>
    <col min="3017" max="3017" width="11.85546875" style="225" customWidth="1"/>
    <col min="3018" max="3018" width="10.42578125" style="225" customWidth="1"/>
    <col min="3019" max="3019" width="10.28515625" style="225" customWidth="1"/>
    <col min="3020" max="3020" width="10.85546875" style="225" customWidth="1"/>
    <col min="3021" max="3021" width="9.140625" style="225" customWidth="1"/>
    <col min="3022" max="3022" width="8.7109375" style="225" customWidth="1"/>
    <col min="3023" max="3023" width="13.5703125" style="225" customWidth="1"/>
    <col min="3024" max="3024" width="12.28515625" style="225" customWidth="1"/>
    <col min="3025" max="3025" width="0.85546875" style="225" customWidth="1"/>
    <col min="3026" max="3026" width="14" style="225" customWidth="1"/>
    <col min="3027" max="3027" width="15.5703125" style="225" bestFit="1" customWidth="1"/>
    <col min="3028" max="3028" width="13.85546875" style="225" bestFit="1" customWidth="1"/>
    <col min="3029" max="3029" width="13.140625" style="225" bestFit="1" customWidth="1"/>
    <col min="3030" max="3030" width="9" style="225" customWidth="1"/>
    <col min="3031" max="3031" width="13.140625" style="225" bestFit="1" customWidth="1"/>
    <col min="3032" max="3032" width="8.140625" style="225"/>
    <col min="3033" max="3033" width="5.7109375" style="225" bestFit="1" customWidth="1"/>
    <col min="3034" max="3034" width="24.5703125" style="225" bestFit="1" customWidth="1"/>
    <col min="3035" max="3035" width="13.85546875" style="225" bestFit="1" customWidth="1"/>
    <col min="3036" max="3036" width="13.5703125" style="225" bestFit="1" customWidth="1"/>
    <col min="3037" max="3037" width="8.140625" style="225" customWidth="1"/>
    <col min="3038" max="3268" width="8.140625" style="225"/>
    <col min="3269" max="3269" width="5.85546875" style="225" customWidth="1"/>
    <col min="3270" max="3270" width="40.140625" style="225" customWidth="1"/>
    <col min="3271" max="3271" width="1.5703125" style="225" customWidth="1"/>
    <col min="3272" max="3272" width="9.5703125" style="225" customWidth="1"/>
    <col min="3273" max="3273" width="11.85546875" style="225" customWidth="1"/>
    <col min="3274" max="3274" width="10.42578125" style="225" customWidth="1"/>
    <col min="3275" max="3275" width="10.28515625" style="225" customWidth="1"/>
    <col min="3276" max="3276" width="10.85546875" style="225" customWidth="1"/>
    <col min="3277" max="3277" width="9.140625" style="225" customWidth="1"/>
    <col min="3278" max="3278" width="8.7109375" style="225" customWidth="1"/>
    <col min="3279" max="3279" width="13.5703125" style="225" customWidth="1"/>
    <col min="3280" max="3280" width="12.28515625" style="225" customWidth="1"/>
    <col min="3281" max="3281" width="0.85546875" style="225" customWidth="1"/>
    <col min="3282" max="3282" width="14" style="225" customWidth="1"/>
    <col min="3283" max="3283" width="15.5703125" style="225" bestFit="1" customWidth="1"/>
    <col min="3284" max="3284" width="13.85546875" style="225" bestFit="1" customWidth="1"/>
    <col min="3285" max="3285" width="13.140625" style="225" bestFit="1" customWidth="1"/>
    <col min="3286" max="3286" width="9" style="225" customWidth="1"/>
    <col min="3287" max="3287" width="13.140625" style="225" bestFit="1" customWidth="1"/>
    <col min="3288" max="3288" width="8.140625" style="225"/>
    <col min="3289" max="3289" width="5.7109375" style="225" bestFit="1" customWidth="1"/>
    <col min="3290" max="3290" width="24.5703125" style="225" bestFit="1" customWidth="1"/>
    <col min="3291" max="3291" width="13.85546875" style="225" bestFit="1" customWidth="1"/>
    <col min="3292" max="3292" width="13.5703125" style="225" bestFit="1" customWidth="1"/>
    <col min="3293" max="3293" width="8.140625" style="225" customWidth="1"/>
    <col min="3294" max="3524" width="8.140625" style="225"/>
    <col min="3525" max="3525" width="5.85546875" style="225" customWidth="1"/>
    <col min="3526" max="3526" width="40.140625" style="225" customWidth="1"/>
    <col min="3527" max="3527" width="1.5703125" style="225" customWidth="1"/>
    <col min="3528" max="3528" width="9.5703125" style="225" customWidth="1"/>
    <col min="3529" max="3529" width="11.85546875" style="225" customWidth="1"/>
    <col min="3530" max="3530" width="10.42578125" style="225" customWidth="1"/>
    <col min="3531" max="3531" width="10.28515625" style="225" customWidth="1"/>
    <col min="3532" max="3532" width="10.85546875" style="225" customWidth="1"/>
    <col min="3533" max="3533" width="9.140625" style="225" customWidth="1"/>
    <col min="3534" max="3534" width="8.7109375" style="225" customWidth="1"/>
    <col min="3535" max="3535" width="13.5703125" style="225" customWidth="1"/>
    <col min="3536" max="3536" width="12.28515625" style="225" customWidth="1"/>
    <col min="3537" max="3537" width="0.85546875" style="225" customWidth="1"/>
    <col min="3538" max="3538" width="14" style="225" customWidth="1"/>
    <col min="3539" max="3539" width="15.5703125" style="225" bestFit="1" customWidth="1"/>
    <col min="3540" max="3540" width="13.85546875" style="225" bestFit="1" customWidth="1"/>
    <col min="3541" max="3541" width="13.140625" style="225" bestFit="1" customWidth="1"/>
    <col min="3542" max="3542" width="9" style="225" customWidth="1"/>
    <col min="3543" max="3543" width="13.140625" style="225" bestFit="1" customWidth="1"/>
    <col min="3544" max="3544" width="8.140625" style="225"/>
    <col min="3545" max="3545" width="5.7109375" style="225" bestFit="1" customWidth="1"/>
    <col min="3546" max="3546" width="24.5703125" style="225" bestFit="1" customWidth="1"/>
    <col min="3547" max="3547" width="13.85546875" style="225" bestFit="1" customWidth="1"/>
    <col min="3548" max="3548" width="13.5703125" style="225" bestFit="1" customWidth="1"/>
    <col min="3549" max="3549" width="8.140625" style="225" customWidth="1"/>
    <col min="3550" max="3780" width="8.140625" style="225"/>
    <col min="3781" max="3781" width="5.85546875" style="225" customWidth="1"/>
    <col min="3782" max="3782" width="40.140625" style="225" customWidth="1"/>
    <col min="3783" max="3783" width="1.5703125" style="225" customWidth="1"/>
    <col min="3784" max="3784" width="9.5703125" style="225" customWidth="1"/>
    <col min="3785" max="3785" width="11.85546875" style="225" customWidth="1"/>
    <col min="3786" max="3786" width="10.42578125" style="225" customWidth="1"/>
    <col min="3787" max="3787" width="10.28515625" style="225" customWidth="1"/>
    <col min="3788" max="3788" width="10.85546875" style="225" customWidth="1"/>
    <col min="3789" max="3789" width="9.140625" style="225" customWidth="1"/>
    <col min="3790" max="3790" width="8.7109375" style="225" customWidth="1"/>
    <col min="3791" max="3791" width="13.5703125" style="225" customWidth="1"/>
    <col min="3792" max="3792" width="12.28515625" style="225" customWidth="1"/>
    <col min="3793" max="3793" width="0.85546875" style="225" customWidth="1"/>
    <col min="3794" max="3794" width="14" style="225" customWidth="1"/>
    <col min="3795" max="3795" width="15.5703125" style="225" bestFit="1" customWidth="1"/>
    <col min="3796" max="3796" width="13.85546875" style="225" bestFit="1" customWidth="1"/>
    <col min="3797" max="3797" width="13.140625" style="225" bestFit="1" customWidth="1"/>
    <col min="3798" max="3798" width="9" style="225" customWidth="1"/>
    <col min="3799" max="3799" width="13.140625" style="225" bestFit="1" customWidth="1"/>
    <col min="3800" max="3800" width="8.140625" style="225"/>
    <col min="3801" max="3801" width="5.7109375" style="225" bestFit="1" customWidth="1"/>
    <col min="3802" max="3802" width="24.5703125" style="225" bestFit="1" customWidth="1"/>
    <col min="3803" max="3803" width="13.85546875" style="225" bestFit="1" customWidth="1"/>
    <col min="3804" max="3804" width="13.5703125" style="225" bestFit="1" customWidth="1"/>
    <col min="3805" max="3805" width="8.140625" style="225" customWidth="1"/>
    <col min="3806" max="4036" width="8.140625" style="225"/>
    <col min="4037" max="4037" width="5.85546875" style="225" customWidth="1"/>
    <col min="4038" max="4038" width="40.140625" style="225" customWidth="1"/>
    <col min="4039" max="4039" width="1.5703125" style="225" customWidth="1"/>
    <col min="4040" max="4040" width="9.5703125" style="225" customWidth="1"/>
    <col min="4041" max="4041" width="11.85546875" style="225" customWidth="1"/>
    <col min="4042" max="4042" width="10.42578125" style="225" customWidth="1"/>
    <col min="4043" max="4043" width="10.28515625" style="225" customWidth="1"/>
    <col min="4044" max="4044" width="10.85546875" style="225" customWidth="1"/>
    <col min="4045" max="4045" width="9.140625" style="225" customWidth="1"/>
    <col min="4046" max="4046" width="8.7109375" style="225" customWidth="1"/>
    <col min="4047" max="4047" width="13.5703125" style="225" customWidth="1"/>
    <col min="4048" max="4048" width="12.28515625" style="225" customWidth="1"/>
    <col min="4049" max="4049" width="0.85546875" style="225" customWidth="1"/>
    <col min="4050" max="4050" width="14" style="225" customWidth="1"/>
    <col min="4051" max="4051" width="15.5703125" style="225" bestFit="1" customWidth="1"/>
    <col min="4052" max="4052" width="13.85546875" style="225" bestFit="1" customWidth="1"/>
    <col min="4053" max="4053" width="13.140625" style="225" bestFit="1" customWidth="1"/>
    <col min="4054" max="4054" width="9" style="225" customWidth="1"/>
    <col min="4055" max="4055" width="13.140625" style="225" bestFit="1" customWidth="1"/>
    <col min="4056" max="4056" width="8.140625" style="225"/>
    <col min="4057" max="4057" width="5.7109375" style="225" bestFit="1" customWidth="1"/>
    <col min="4058" max="4058" width="24.5703125" style="225" bestFit="1" customWidth="1"/>
    <col min="4059" max="4059" width="13.85546875" style="225" bestFit="1" customWidth="1"/>
    <col min="4060" max="4060" width="13.5703125" style="225" bestFit="1" customWidth="1"/>
    <col min="4061" max="4061" width="8.140625" style="225" customWidth="1"/>
    <col min="4062" max="4292" width="8.140625" style="225"/>
    <col min="4293" max="4293" width="5.85546875" style="225" customWidth="1"/>
    <col min="4294" max="4294" width="40.140625" style="225" customWidth="1"/>
    <col min="4295" max="4295" width="1.5703125" style="225" customWidth="1"/>
    <col min="4296" max="4296" width="9.5703125" style="225" customWidth="1"/>
    <col min="4297" max="4297" width="11.85546875" style="225" customWidth="1"/>
    <col min="4298" max="4298" width="10.42578125" style="225" customWidth="1"/>
    <col min="4299" max="4299" width="10.28515625" style="225" customWidth="1"/>
    <col min="4300" max="4300" width="10.85546875" style="225" customWidth="1"/>
    <col min="4301" max="4301" width="9.140625" style="225" customWidth="1"/>
    <col min="4302" max="4302" width="8.7109375" style="225" customWidth="1"/>
    <col min="4303" max="4303" width="13.5703125" style="225" customWidth="1"/>
    <col min="4304" max="4304" width="12.28515625" style="225" customWidth="1"/>
    <col min="4305" max="4305" width="0.85546875" style="225" customWidth="1"/>
    <col min="4306" max="4306" width="14" style="225" customWidth="1"/>
    <col min="4307" max="4307" width="15.5703125" style="225" bestFit="1" customWidth="1"/>
    <col min="4308" max="4308" width="13.85546875" style="225" bestFit="1" customWidth="1"/>
    <col min="4309" max="4309" width="13.140625" style="225" bestFit="1" customWidth="1"/>
    <col min="4310" max="4310" width="9" style="225" customWidth="1"/>
    <col min="4311" max="4311" width="13.140625" style="225" bestFit="1" customWidth="1"/>
    <col min="4312" max="4312" width="8.140625" style="225"/>
    <col min="4313" max="4313" width="5.7109375" style="225" bestFit="1" customWidth="1"/>
    <col min="4314" max="4314" width="24.5703125" style="225" bestFit="1" customWidth="1"/>
    <col min="4315" max="4315" width="13.85546875" style="225" bestFit="1" customWidth="1"/>
    <col min="4316" max="4316" width="13.5703125" style="225" bestFit="1" customWidth="1"/>
    <col min="4317" max="4317" width="8.140625" style="225" customWidth="1"/>
    <col min="4318" max="4548" width="8.140625" style="225"/>
    <col min="4549" max="4549" width="5.85546875" style="225" customWidth="1"/>
    <col min="4550" max="4550" width="40.140625" style="225" customWidth="1"/>
    <col min="4551" max="4551" width="1.5703125" style="225" customWidth="1"/>
    <col min="4552" max="4552" width="9.5703125" style="225" customWidth="1"/>
    <col min="4553" max="4553" width="11.85546875" style="225" customWidth="1"/>
    <col min="4554" max="4554" width="10.42578125" style="225" customWidth="1"/>
    <col min="4555" max="4555" width="10.28515625" style="225" customWidth="1"/>
    <col min="4556" max="4556" width="10.85546875" style="225" customWidth="1"/>
    <col min="4557" max="4557" width="9.140625" style="225" customWidth="1"/>
    <col min="4558" max="4558" width="8.7109375" style="225" customWidth="1"/>
    <col min="4559" max="4559" width="13.5703125" style="225" customWidth="1"/>
    <col min="4560" max="4560" width="12.28515625" style="225" customWidth="1"/>
    <col min="4561" max="4561" width="0.85546875" style="225" customWidth="1"/>
    <col min="4562" max="4562" width="14" style="225" customWidth="1"/>
    <col min="4563" max="4563" width="15.5703125" style="225" bestFit="1" customWidth="1"/>
    <col min="4564" max="4564" width="13.85546875" style="225" bestFit="1" customWidth="1"/>
    <col min="4565" max="4565" width="13.140625" style="225" bestFit="1" customWidth="1"/>
    <col min="4566" max="4566" width="9" style="225" customWidth="1"/>
    <col min="4567" max="4567" width="13.140625" style="225" bestFit="1" customWidth="1"/>
    <col min="4568" max="4568" width="8.140625" style="225"/>
    <col min="4569" max="4569" width="5.7109375" style="225" bestFit="1" customWidth="1"/>
    <col min="4570" max="4570" width="24.5703125" style="225" bestFit="1" customWidth="1"/>
    <col min="4571" max="4571" width="13.85546875" style="225" bestFit="1" customWidth="1"/>
    <col min="4572" max="4572" width="13.5703125" style="225" bestFit="1" customWidth="1"/>
    <col min="4573" max="4573" width="8.140625" style="225" customWidth="1"/>
    <col min="4574" max="4804" width="8.140625" style="225"/>
    <col min="4805" max="4805" width="5.85546875" style="225" customWidth="1"/>
    <col min="4806" max="4806" width="40.140625" style="225" customWidth="1"/>
    <col min="4807" max="4807" width="1.5703125" style="225" customWidth="1"/>
    <col min="4808" max="4808" width="9.5703125" style="225" customWidth="1"/>
    <col min="4809" max="4809" width="11.85546875" style="225" customWidth="1"/>
    <col min="4810" max="4810" width="10.42578125" style="225" customWidth="1"/>
    <col min="4811" max="4811" width="10.28515625" style="225" customWidth="1"/>
    <col min="4812" max="4812" width="10.85546875" style="225" customWidth="1"/>
    <col min="4813" max="4813" width="9.140625" style="225" customWidth="1"/>
    <col min="4814" max="4814" width="8.7109375" style="225" customWidth="1"/>
    <col min="4815" max="4815" width="13.5703125" style="225" customWidth="1"/>
    <col min="4816" max="4816" width="12.28515625" style="225" customWidth="1"/>
    <col min="4817" max="4817" width="0.85546875" style="225" customWidth="1"/>
    <col min="4818" max="4818" width="14" style="225" customWidth="1"/>
    <col min="4819" max="4819" width="15.5703125" style="225" bestFit="1" customWidth="1"/>
    <col min="4820" max="4820" width="13.85546875" style="225" bestFit="1" customWidth="1"/>
    <col min="4821" max="4821" width="13.140625" style="225" bestFit="1" customWidth="1"/>
    <col min="4822" max="4822" width="9" style="225" customWidth="1"/>
    <col min="4823" max="4823" width="13.140625" style="225" bestFit="1" customWidth="1"/>
    <col min="4824" max="4824" width="8.140625" style="225"/>
    <col min="4825" max="4825" width="5.7109375" style="225" bestFit="1" customWidth="1"/>
    <col min="4826" max="4826" width="24.5703125" style="225" bestFit="1" customWidth="1"/>
    <col min="4827" max="4827" width="13.85546875" style="225" bestFit="1" customWidth="1"/>
    <col min="4828" max="4828" width="13.5703125" style="225" bestFit="1" customWidth="1"/>
    <col min="4829" max="4829" width="8.140625" style="225" customWidth="1"/>
    <col min="4830" max="5060" width="8.140625" style="225"/>
    <col min="5061" max="5061" width="5.85546875" style="225" customWidth="1"/>
    <col min="5062" max="5062" width="40.140625" style="225" customWidth="1"/>
    <col min="5063" max="5063" width="1.5703125" style="225" customWidth="1"/>
    <col min="5064" max="5064" width="9.5703125" style="225" customWidth="1"/>
    <col min="5065" max="5065" width="11.85546875" style="225" customWidth="1"/>
    <col min="5066" max="5066" width="10.42578125" style="225" customWidth="1"/>
    <col min="5067" max="5067" width="10.28515625" style="225" customWidth="1"/>
    <col min="5068" max="5068" width="10.85546875" style="225" customWidth="1"/>
    <col min="5069" max="5069" width="9.140625" style="225" customWidth="1"/>
    <col min="5070" max="5070" width="8.7109375" style="225" customWidth="1"/>
    <col min="5071" max="5071" width="13.5703125" style="225" customWidth="1"/>
    <col min="5072" max="5072" width="12.28515625" style="225" customWidth="1"/>
    <col min="5073" max="5073" width="0.85546875" style="225" customWidth="1"/>
    <col min="5074" max="5074" width="14" style="225" customWidth="1"/>
    <col min="5075" max="5075" width="15.5703125" style="225" bestFit="1" customWidth="1"/>
    <col min="5076" max="5076" width="13.85546875" style="225" bestFit="1" customWidth="1"/>
    <col min="5077" max="5077" width="13.140625" style="225" bestFit="1" customWidth="1"/>
    <col min="5078" max="5078" width="9" style="225" customWidth="1"/>
    <col min="5079" max="5079" width="13.140625" style="225" bestFit="1" customWidth="1"/>
    <col min="5080" max="5080" width="8.140625" style="225"/>
    <col min="5081" max="5081" width="5.7109375" style="225" bestFit="1" customWidth="1"/>
    <col min="5082" max="5082" width="24.5703125" style="225" bestFit="1" customWidth="1"/>
    <col min="5083" max="5083" width="13.85546875" style="225" bestFit="1" customWidth="1"/>
    <col min="5084" max="5084" width="13.5703125" style="225" bestFit="1" customWidth="1"/>
    <col min="5085" max="5085" width="8.140625" style="225" customWidth="1"/>
    <col min="5086" max="5316" width="8.140625" style="225"/>
    <col min="5317" max="5317" width="5.85546875" style="225" customWidth="1"/>
    <col min="5318" max="5318" width="40.140625" style="225" customWidth="1"/>
    <col min="5319" max="5319" width="1.5703125" style="225" customWidth="1"/>
    <col min="5320" max="5320" width="9.5703125" style="225" customWidth="1"/>
    <col min="5321" max="5321" width="11.85546875" style="225" customWidth="1"/>
    <col min="5322" max="5322" width="10.42578125" style="225" customWidth="1"/>
    <col min="5323" max="5323" width="10.28515625" style="225" customWidth="1"/>
    <col min="5324" max="5324" width="10.85546875" style="225" customWidth="1"/>
    <col min="5325" max="5325" width="9.140625" style="225" customWidth="1"/>
    <col min="5326" max="5326" width="8.7109375" style="225" customWidth="1"/>
    <col min="5327" max="5327" width="13.5703125" style="225" customWidth="1"/>
    <col min="5328" max="5328" width="12.28515625" style="225" customWidth="1"/>
    <col min="5329" max="5329" width="0.85546875" style="225" customWidth="1"/>
    <col min="5330" max="5330" width="14" style="225" customWidth="1"/>
    <col min="5331" max="5331" width="15.5703125" style="225" bestFit="1" customWidth="1"/>
    <col min="5332" max="5332" width="13.85546875" style="225" bestFit="1" customWidth="1"/>
    <col min="5333" max="5333" width="13.140625" style="225" bestFit="1" customWidth="1"/>
    <col min="5334" max="5334" width="9" style="225" customWidth="1"/>
    <col min="5335" max="5335" width="13.140625" style="225" bestFit="1" customWidth="1"/>
    <col min="5336" max="5336" width="8.140625" style="225"/>
    <col min="5337" max="5337" width="5.7109375" style="225" bestFit="1" customWidth="1"/>
    <col min="5338" max="5338" width="24.5703125" style="225" bestFit="1" customWidth="1"/>
    <col min="5339" max="5339" width="13.85546875" style="225" bestFit="1" customWidth="1"/>
    <col min="5340" max="5340" width="13.5703125" style="225" bestFit="1" customWidth="1"/>
    <col min="5341" max="5341" width="8.140625" style="225" customWidth="1"/>
    <col min="5342" max="5572" width="8.140625" style="225"/>
    <col min="5573" max="5573" width="5.85546875" style="225" customWidth="1"/>
    <col min="5574" max="5574" width="40.140625" style="225" customWidth="1"/>
    <col min="5575" max="5575" width="1.5703125" style="225" customWidth="1"/>
    <col min="5576" max="5576" width="9.5703125" style="225" customWidth="1"/>
    <col min="5577" max="5577" width="11.85546875" style="225" customWidth="1"/>
    <col min="5578" max="5578" width="10.42578125" style="225" customWidth="1"/>
    <col min="5579" max="5579" width="10.28515625" style="225" customWidth="1"/>
    <col min="5580" max="5580" width="10.85546875" style="225" customWidth="1"/>
    <col min="5581" max="5581" width="9.140625" style="225" customWidth="1"/>
    <col min="5582" max="5582" width="8.7109375" style="225" customWidth="1"/>
    <col min="5583" max="5583" width="13.5703125" style="225" customWidth="1"/>
    <col min="5584" max="5584" width="12.28515625" style="225" customWidth="1"/>
    <col min="5585" max="5585" width="0.85546875" style="225" customWidth="1"/>
    <col min="5586" max="5586" width="14" style="225" customWidth="1"/>
    <col min="5587" max="5587" width="15.5703125" style="225" bestFit="1" customWidth="1"/>
    <col min="5588" max="5588" width="13.85546875" style="225" bestFit="1" customWidth="1"/>
    <col min="5589" max="5589" width="13.140625" style="225" bestFit="1" customWidth="1"/>
    <col min="5590" max="5590" width="9" style="225" customWidth="1"/>
    <col min="5591" max="5591" width="13.140625" style="225" bestFit="1" customWidth="1"/>
    <col min="5592" max="5592" width="8.140625" style="225"/>
    <col min="5593" max="5593" width="5.7109375" style="225" bestFit="1" customWidth="1"/>
    <col min="5594" max="5594" width="24.5703125" style="225" bestFit="1" customWidth="1"/>
    <col min="5595" max="5595" width="13.85546875" style="225" bestFit="1" customWidth="1"/>
    <col min="5596" max="5596" width="13.5703125" style="225" bestFit="1" customWidth="1"/>
    <col min="5597" max="5597" width="8.140625" style="225" customWidth="1"/>
    <col min="5598" max="5828" width="8.140625" style="225"/>
    <col min="5829" max="5829" width="5.85546875" style="225" customWidth="1"/>
    <col min="5830" max="5830" width="40.140625" style="225" customWidth="1"/>
    <col min="5831" max="5831" width="1.5703125" style="225" customWidth="1"/>
    <col min="5832" max="5832" width="9.5703125" style="225" customWidth="1"/>
    <col min="5833" max="5833" width="11.85546875" style="225" customWidth="1"/>
    <col min="5834" max="5834" width="10.42578125" style="225" customWidth="1"/>
    <col min="5835" max="5835" width="10.28515625" style="225" customWidth="1"/>
    <col min="5836" max="5836" width="10.85546875" style="225" customWidth="1"/>
    <col min="5837" max="5837" width="9.140625" style="225" customWidth="1"/>
    <col min="5838" max="5838" width="8.7109375" style="225" customWidth="1"/>
    <col min="5839" max="5839" width="13.5703125" style="225" customWidth="1"/>
    <col min="5840" max="5840" width="12.28515625" style="225" customWidth="1"/>
    <col min="5841" max="5841" width="0.85546875" style="225" customWidth="1"/>
    <col min="5842" max="5842" width="14" style="225" customWidth="1"/>
    <col min="5843" max="5843" width="15.5703125" style="225" bestFit="1" customWidth="1"/>
    <col min="5844" max="5844" width="13.85546875" style="225" bestFit="1" customWidth="1"/>
    <col min="5845" max="5845" width="13.140625" style="225" bestFit="1" customWidth="1"/>
    <col min="5846" max="5846" width="9" style="225" customWidth="1"/>
    <col min="5847" max="5847" width="13.140625" style="225" bestFit="1" customWidth="1"/>
    <col min="5848" max="5848" width="8.140625" style="225"/>
    <col min="5849" max="5849" width="5.7109375" style="225" bestFit="1" customWidth="1"/>
    <col min="5850" max="5850" width="24.5703125" style="225" bestFit="1" customWidth="1"/>
    <col min="5851" max="5851" width="13.85546875" style="225" bestFit="1" customWidth="1"/>
    <col min="5852" max="5852" width="13.5703125" style="225" bestFit="1" customWidth="1"/>
    <col min="5853" max="5853" width="8.140625" style="225" customWidth="1"/>
    <col min="5854" max="6084" width="8.140625" style="225"/>
    <col min="6085" max="6085" width="5.85546875" style="225" customWidth="1"/>
    <col min="6086" max="6086" width="40.140625" style="225" customWidth="1"/>
    <col min="6087" max="6087" width="1.5703125" style="225" customWidth="1"/>
    <col min="6088" max="6088" width="9.5703125" style="225" customWidth="1"/>
    <col min="6089" max="6089" width="11.85546875" style="225" customWidth="1"/>
    <col min="6090" max="6090" width="10.42578125" style="225" customWidth="1"/>
    <col min="6091" max="6091" width="10.28515625" style="225" customWidth="1"/>
    <col min="6092" max="6092" width="10.85546875" style="225" customWidth="1"/>
    <col min="6093" max="6093" width="9.140625" style="225" customWidth="1"/>
    <col min="6094" max="6094" width="8.7109375" style="225" customWidth="1"/>
    <col min="6095" max="6095" width="13.5703125" style="225" customWidth="1"/>
    <col min="6096" max="6096" width="12.28515625" style="225" customWidth="1"/>
    <col min="6097" max="6097" width="0.85546875" style="225" customWidth="1"/>
    <col min="6098" max="6098" width="14" style="225" customWidth="1"/>
    <col min="6099" max="6099" width="15.5703125" style="225" bestFit="1" customWidth="1"/>
    <col min="6100" max="6100" width="13.85546875" style="225" bestFit="1" customWidth="1"/>
    <col min="6101" max="6101" width="13.140625" style="225" bestFit="1" customWidth="1"/>
    <col min="6102" max="6102" width="9" style="225" customWidth="1"/>
    <col min="6103" max="6103" width="13.140625" style="225" bestFit="1" customWidth="1"/>
    <col min="6104" max="6104" width="8.140625" style="225"/>
    <col min="6105" max="6105" width="5.7109375" style="225" bestFit="1" customWidth="1"/>
    <col min="6106" max="6106" width="24.5703125" style="225" bestFit="1" customWidth="1"/>
    <col min="6107" max="6107" width="13.85546875" style="225" bestFit="1" customWidth="1"/>
    <col min="6108" max="6108" width="13.5703125" style="225" bestFit="1" customWidth="1"/>
    <col min="6109" max="6109" width="8.140625" style="225" customWidth="1"/>
    <col min="6110" max="6340" width="8.140625" style="225"/>
    <col min="6341" max="6341" width="5.85546875" style="225" customWidth="1"/>
    <col min="6342" max="6342" width="40.140625" style="225" customWidth="1"/>
    <col min="6343" max="6343" width="1.5703125" style="225" customWidth="1"/>
    <col min="6344" max="6344" width="9.5703125" style="225" customWidth="1"/>
    <col min="6345" max="6345" width="11.85546875" style="225" customWidth="1"/>
    <col min="6346" max="6346" width="10.42578125" style="225" customWidth="1"/>
    <col min="6347" max="6347" width="10.28515625" style="225" customWidth="1"/>
    <col min="6348" max="6348" width="10.85546875" style="225" customWidth="1"/>
    <col min="6349" max="6349" width="9.140625" style="225" customWidth="1"/>
    <col min="6350" max="6350" width="8.7109375" style="225" customWidth="1"/>
    <col min="6351" max="6351" width="13.5703125" style="225" customWidth="1"/>
    <col min="6352" max="6352" width="12.28515625" style="225" customWidth="1"/>
    <col min="6353" max="6353" width="0.85546875" style="225" customWidth="1"/>
    <col min="6354" max="6354" width="14" style="225" customWidth="1"/>
    <col min="6355" max="6355" width="15.5703125" style="225" bestFit="1" customWidth="1"/>
    <col min="6356" max="6356" width="13.85546875" style="225" bestFit="1" customWidth="1"/>
    <col min="6357" max="6357" width="13.140625" style="225" bestFit="1" customWidth="1"/>
    <col min="6358" max="6358" width="9" style="225" customWidth="1"/>
    <col min="6359" max="6359" width="13.140625" style="225" bestFit="1" customWidth="1"/>
    <col min="6360" max="6360" width="8.140625" style="225"/>
    <col min="6361" max="6361" width="5.7109375" style="225" bestFit="1" customWidth="1"/>
    <col min="6362" max="6362" width="24.5703125" style="225" bestFit="1" customWidth="1"/>
    <col min="6363" max="6363" width="13.85546875" style="225" bestFit="1" customWidth="1"/>
    <col min="6364" max="6364" width="13.5703125" style="225" bestFit="1" customWidth="1"/>
    <col min="6365" max="6365" width="8.140625" style="225" customWidth="1"/>
    <col min="6366" max="6596" width="8.140625" style="225"/>
    <col min="6597" max="6597" width="5.85546875" style="225" customWidth="1"/>
    <col min="6598" max="6598" width="40.140625" style="225" customWidth="1"/>
    <col min="6599" max="6599" width="1.5703125" style="225" customWidth="1"/>
    <col min="6600" max="6600" width="9.5703125" style="225" customWidth="1"/>
    <col min="6601" max="6601" width="11.85546875" style="225" customWidth="1"/>
    <col min="6602" max="6602" width="10.42578125" style="225" customWidth="1"/>
    <col min="6603" max="6603" width="10.28515625" style="225" customWidth="1"/>
    <col min="6604" max="6604" width="10.85546875" style="225" customWidth="1"/>
    <col min="6605" max="6605" width="9.140625" style="225" customWidth="1"/>
    <col min="6606" max="6606" width="8.7109375" style="225" customWidth="1"/>
    <col min="6607" max="6607" width="13.5703125" style="225" customWidth="1"/>
    <col min="6608" max="6608" width="12.28515625" style="225" customWidth="1"/>
    <col min="6609" max="6609" width="0.85546875" style="225" customWidth="1"/>
    <col min="6610" max="6610" width="14" style="225" customWidth="1"/>
    <col min="6611" max="6611" width="15.5703125" style="225" bestFit="1" customWidth="1"/>
    <col min="6612" max="6612" width="13.85546875" style="225" bestFit="1" customWidth="1"/>
    <col min="6613" max="6613" width="13.140625" style="225" bestFit="1" customWidth="1"/>
    <col min="6614" max="6614" width="9" style="225" customWidth="1"/>
    <col min="6615" max="6615" width="13.140625" style="225" bestFit="1" customWidth="1"/>
    <col min="6616" max="6616" width="8.140625" style="225"/>
    <col min="6617" max="6617" width="5.7109375" style="225" bestFit="1" customWidth="1"/>
    <col min="6618" max="6618" width="24.5703125" style="225" bestFit="1" customWidth="1"/>
    <col min="6619" max="6619" width="13.85546875" style="225" bestFit="1" customWidth="1"/>
    <col min="6620" max="6620" width="13.5703125" style="225" bestFit="1" customWidth="1"/>
    <col min="6621" max="6621" width="8.140625" style="225" customWidth="1"/>
    <col min="6622" max="6852" width="8.140625" style="225"/>
    <col min="6853" max="6853" width="5.85546875" style="225" customWidth="1"/>
    <col min="6854" max="6854" width="40.140625" style="225" customWidth="1"/>
    <col min="6855" max="6855" width="1.5703125" style="225" customWidth="1"/>
    <col min="6856" max="6856" width="9.5703125" style="225" customWidth="1"/>
    <col min="6857" max="6857" width="11.85546875" style="225" customWidth="1"/>
    <col min="6858" max="6858" width="10.42578125" style="225" customWidth="1"/>
    <col min="6859" max="6859" width="10.28515625" style="225" customWidth="1"/>
    <col min="6860" max="6860" width="10.85546875" style="225" customWidth="1"/>
    <col min="6861" max="6861" width="9.140625" style="225" customWidth="1"/>
    <col min="6862" max="6862" width="8.7109375" style="225" customWidth="1"/>
    <col min="6863" max="6863" width="13.5703125" style="225" customWidth="1"/>
    <col min="6864" max="6864" width="12.28515625" style="225" customWidth="1"/>
    <col min="6865" max="6865" width="0.85546875" style="225" customWidth="1"/>
    <col min="6866" max="6866" width="14" style="225" customWidth="1"/>
    <col min="6867" max="6867" width="15.5703125" style="225" bestFit="1" customWidth="1"/>
    <col min="6868" max="6868" width="13.85546875" style="225" bestFit="1" customWidth="1"/>
    <col min="6869" max="6869" width="13.140625" style="225" bestFit="1" customWidth="1"/>
    <col min="6870" max="6870" width="9" style="225" customWidth="1"/>
    <col min="6871" max="6871" width="13.140625" style="225" bestFit="1" customWidth="1"/>
    <col min="6872" max="6872" width="8.140625" style="225"/>
    <col min="6873" max="6873" width="5.7109375" style="225" bestFit="1" customWidth="1"/>
    <col min="6874" max="6874" width="24.5703125" style="225" bestFit="1" customWidth="1"/>
    <col min="6875" max="6875" width="13.85546875" style="225" bestFit="1" customWidth="1"/>
    <col min="6876" max="6876" width="13.5703125" style="225" bestFit="1" customWidth="1"/>
    <col min="6877" max="6877" width="8.140625" style="225" customWidth="1"/>
    <col min="6878" max="7108" width="8.140625" style="225"/>
    <col min="7109" max="7109" width="5.85546875" style="225" customWidth="1"/>
    <col min="7110" max="7110" width="40.140625" style="225" customWidth="1"/>
    <col min="7111" max="7111" width="1.5703125" style="225" customWidth="1"/>
    <col min="7112" max="7112" width="9.5703125" style="225" customWidth="1"/>
    <col min="7113" max="7113" width="11.85546875" style="225" customWidth="1"/>
    <col min="7114" max="7114" width="10.42578125" style="225" customWidth="1"/>
    <col min="7115" max="7115" width="10.28515625" style="225" customWidth="1"/>
    <col min="7116" max="7116" width="10.85546875" style="225" customWidth="1"/>
    <col min="7117" max="7117" width="9.140625" style="225" customWidth="1"/>
    <col min="7118" max="7118" width="8.7109375" style="225" customWidth="1"/>
    <col min="7119" max="7119" width="13.5703125" style="225" customWidth="1"/>
    <col min="7120" max="7120" width="12.28515625" style="225" customWidth="1"/>
    <col min="7121" max="7121" width="0.85546875" style="225" customWidth="1"/>
    <col min="7122" max="7122" width="14" style="225" customWidth="1"/>
    <col min="7123" max="7123" width="15.5703125" style="225" bestFit="1" customWidth="1"/>
    <col min="7124" max="7124" width="13.85546875" style="225" bestFit="1" customWidth="1"/>
    <col min="7125" max="7125" width="13.140625" style="225" bestFit="1" customWidth="1"/>
    <col min="7126" max="7126" width="9" style="225" customWidth="1"/>
    <col min="7127" max="7127" width="13.140625" style="225" bestFit="1" customWidth="1"/>
    <col min="7128" max="7128" width="8.140625" style="225"/>
    <col min="7129" max="7129" width="5.7109375" style="225" bestFit="1" customWidth="1"/>
    <col min="7130" max="7130" width="24.5703125" style="225" bestFit="1" customWidth="1"/>
    <col min="7131" max="7131" width="13.85546875" style="225" bestFit="1" customWidth="1"/>
    <col min="7132" max="7132" width="13.5703125" style="225" bestFit="1" customWidth="1"/>
    <col min="7133" max="7133" width="8.140625" style="225" customWidth="1"/>
    <col min="7134" max="7364" width="8.140625" style="225"/>
    <col min="7365" max="7365" width="5.85546875" style="225" customWidth="1"/>
    <col min="7366" max="7366" width="40.140625" style="225" customWidth="1"/>
    <col min="7367" max="7367" width="1.5703125" style="225" customWidth="1"/>
    <col min="7368" max="7368" width="9.5703125" style="225" customWidth="1"/>
    <col min="7369" max="7369" width="11.85546875" style="225" customWidth="1"/>
    <col min="7370" max="7370" width="10.42578125" style="225" customWidth="1"/>
    <col min="7371" max="7371" width="10.28515625" style="225" customWidth="1"/>
    <col min="7372" max="7372" width="10.85546875" style="225" customWidth="1"/>
    <col min="7373" max="7373" width="9.140625" style="225" customWidth="1"/>
    <col min="7374" max="7374" width="8.7109375" style="225" customWidth="1"/>
    <col min="7375" max="7375" width="13.5703125" style="225" customWidth="1"/>
    <col min="7376" max="7376" width="12.28515625" style="225" customWidth="1"/>
    <col min="7377" max="7377" width="0.85546875" style="225" customWidth="1"/>
    <col min="7378" max="7378" width="14" style="225" customWidth="1"/>
    <col min="7379" max="7379" width="15.5703125" style="225" bestFit="1" customWidth="1"/>
    <col min="7380" max="7380" width="13.85546875" style="225" bestFit="1" customWidth="1"/>
    <col min="7381" max="7381" width="13.140625" style="225" bestFit="1" customWidth="1"/>
    <col min="7382" max="7382" width="9" style="225" customWidth="1"/>
    <col min="7383" max="7383" width="13.140625" style="225" bestFit="1" customWidth="1"/>
    <col min="7384" max="7384" width="8.140625" style="225"/>
    <col min="7385" max="7385" width="5.7109375" style="225" bestFit="1" customWidth="1"/>
    <col min="7386" max="7386" width="24.5703125" style="225" bestFit="1" customWidth="1"/>
    <col min="7387" max="7387" width="13.85546875" style="225" bestFit="1" customWidth="1"/>
    <col min="7388" max="7388" width="13.5703125" style="225" bestFit="1" customWidth="1"/>
    <col min="7389" max="7389" width="8.140625" style="225" customWidth="1"/>
    <col min="7390" max="7620" width="8.140625" style="225"/>
    <col min="7621" max="7621" width="5.85546875" style="225" customWidth="1"/>
    <col min="7622" max="7622" width="40.140625" style="225" customWidth="1"/>
    <col min="7623" max="7623" width="1.5703125" style="225" customWidth="1"/>
    <col min="7624" max="7624" width="9.5703125" style="225" customWidth="1"/>
    <col min="7625" max="7625" width="11.85546875" style="225" customWidth="1"/>
    <col min="7626" max="7626" width="10.42578125" style="225" customWidth="1"/>
    <col min="7627" max="7627" width="10.28515625" style="225" customWidth="1"/>
    <col min="7628" max="7628" width="10.85546875" style="225" customWidth="1"/>
    <col min="7629" max="7629" width="9.140625" style="225" customWidth="1"/>
    <col min="7630" max="7630" width="8.7109375" style="225" customWidth="1"/>
    <col min="7631" max="7631" width="13.5703125" style="225" customWidth="1"/>
    <col min="7632" max="7632" width="12.28515625" style="225" customWidth="1"/>
    <col min="7633" max="7633" width="0.85546875" style="225" customWidth="1"/>
    <col min="7634" max="7634" width="14" style="225" customWidth="1"/>
    <col min="7635" max="7635" width="15.5703125" style="225" bestFit="1" customWidth="1"/>
    <col min="7636" max="7636" width="13.85546875" style="225" bestFit="1" customWidth="1"/>
    <col min="7637" max="7637" width="13.140625" style="225" bestFit="1" customWidth="1"/>
    <col min="7638" max="7638" width="9" style="225" customWidth="1"/>
    <col min="7639" max="7639" width="13.140625" style="225" bestFit="1" customWidth="1"/>
    <col min="7640" max="7640" width="8.140625" style="225"/>
    <col min="7641" max="7641" width="5.7109375" style="225" bestFit="1" customWidth="1"/>
    <col min="7642" max="7642" width="24.5703125" style="225" bestFit="1" customWidth="1"/>
    <col min="7643" max="7643" width="13.85546875" style="225" bestFit="1" customWidth="1"/>
    <col min="7644" max="7644" width="13.5703125" style="225" bestFit="1" customWidth="1"/>
    <col min="7645" max="7645" width="8.140625" style="225" customWidth="1"/>
    <col min="7646" max="7876" width="8.140625" style="225"/>
    <col min="7877" max="7877" width="5.85546875" style="225" customWidth="1"/>
    <col min="7878" max="7878" width="40.140625" style="225" customWidth="1"/>
    <col min="7879" max="7879" width="1.5703125" style="225" customWidth="1"/>
    <col min="7880" max="7880" width="9.5703125" style="225" customWidth="1"/>
    <col min="7881" max="7881" width="11.85546875" style="225" customWidth="1"/>
    <col min="7882" max="7882" width="10.42578125" style="225" customWidth="1"/>
    <col min="7883" max="7883" width="10.28515625" style="225" customWidth="1"/>
    <col min="7884" max="7884" width="10.85546875" style="225" customWidth="1"/>
    <col min="7885" max="7885" width="9.140625" style="225" customWidth="1"/>
    <col min="7886" max="7886" width="8.7109375" style="225" customWidth="1"/>
    <col min="7887" max="7887" width="13.5703125" style="225" customWidth="1"/>
    <col min="7888" max="7888" width="12.28515625" style="225" customWidth="1"/>
    <col min="7889" max="7889" width="0.85546875" style="225" customWidth="1"/>
    <col min="7890" max="7890" width="14" style="225" customWidth="1"/>
    <col min="7891" max="7891" width="15.5703125" style="225" bestFit="1" customWidth="1"/>
    <col min="7892" max="7892" width="13.85546875" style="225" bestFit="1" customWidth="1"/>
    <col min="7893" max="7893" width="13.140625" style="225" bestFit="1" customWidth="1"/>
    <col min="7894" max="7894" width="9" style="225" customWidth="1"/>
    <col min="7895" max="7895" width="13.140625" style="225" bestFit="1" customWidth="1"/>
    <col min="7896" max="7896" width="8.140625" style="225"/>
    <col min="7897" max="7897" width="5.7109375" style="225" bestFit="1" customWidth="1"/>
    <col min="7898" max="7898" width="24.5703125" style="225" bestFit="1" customWidth="1"/>
    <col min="7899" max="7899" width="13.85546875" style="225" bestFit="1" customWidth="1"/>
    <col min="7900" max="7900" width="13.5703125" style="225" bestFit="1" customWidth="1"/>
    <col min="7901" max="7901" width="8.140625" style="225" customWidth="1"/>
    <col min="7902" max="8132" width="8.140625" style="225"/>
    <col min="8133" max="8133" width="5.85546875" style="225" customWidth="1"/>
    <col min="8134" max="8134" width="40.140625" style="225" customWidth="1"/>
    <col min="8135" max="8135" width="1.5703125" style="225" customWidth="1"/>
    <col min="8136" max="8136" width="9.5703125" style="225" customWidth="1"/>
    <col min="8137" max="8137" width="11.85546875" style="225" customWidth="1"/>
    <col min="8138" max="8138" width="10.42578125" style="225" customWidth="1"/>
    <col min="8139" max="8139" width="10.28515625" style="225" customWidth="1"/>
    <col min="8140" max="8140" width="10.85546875" style="225" customWidth="1"/>
    <col min="8141" max="8141" width="9.140625" style="225" customWidth="1"/>
    <col min="8142" max="8142" width="8.7109375" style="225" customWidth="1"/>
    <col min="8143" max="8143" width="13.5703125" style="225" customWidth="1"/>
    <col min="8144" max="8144" width="12.28515625" style="225" customWidth="1"/>
    <col min="8145" max="8145" width="0.85546875" style="225" customWidth="1"/>
    <col min="8146" max="8146" width="14" style="225" customWidth="1"/>
    <col min="8147" max="8147" width="15.5703125" style="225" bestFit="1" customWidth="1"/>
    <col min="8148" max="8148" width="13.85546875" style="225" bestFit="1" customWidth="1"/>
    <col min="8149" max="8149" width="13.140625" style="225" bestFit="1" customWidth="1"/>
    <col min="8150" max="8150" width="9" style="225" customWidth="1"/>
    <col min="8151" max="8151" width="13.140625" style="225" bestFit="1" customWidth="1"/>
    <col min="8152" max="8152" width="8.140625" style="225"/>
    <col min="8153" max="8153" width="5.7109375" style="225" bestFit="1" customWidth="1"/>
    <col min="8154" max="8154" width="24.5703125" style="225" bestFit="1" customWidth="1"/>
    <col min="8155" max="8155" width="13.85546875" style="225" bestFit="1" customWidth="1"/>
    <col min="8156" max="8156" width="13.5703125" style="225" bestFit="1" customWidth="1"/>
    <col min="8157" max="8157" width="8.140625" style="225" customWidth="1"/>
    <col min="8158" max="8388" width="8.140625" style="225"/>
    <col min="8389" max="8389" width="5.85546875" style="225" customWidth="1"/>
    <col min="8390" max="8390" width="40.140625" style="225" customWidth="1"/>
    <col min="8391" max="8391" width="1.5703125" style="225" customWidth="1"/>
    <col min="8392" max="8392" width="9.5703125" style="225" customWidth="1"/>
    <col min="8393" max="8393" width="11.85546875" style="225" customWidth="1"/>
    <col min="8394" max="8394" width="10.42578125" style="225" customWidth="1"/>
    <col min="8395" max="8395" width="10.28515625" style="225" customWidth="1"/>
    <col min="8396" max="8396" width="10.85546875" style="225" customWidth="1"/>
    <col min="8397" max="8397" width="9.140625" style="225" customWidth="1"/>
    <col min="8398" max="8398" width="8.7109375" style="225" customWidth="1"/>
    <col min="8399" max="8399" width="13.5703125" style="225" customWidth="1"/>
    <col min="8400" max="8400" width="12.28515625" style="225" customWidth="1"/>
    <col min="8401" max="8401" width="0.85546875" style="225" customWidth="1"/>
    <col min="8402" max="8402" width="14" style="225" customWidth="1"/>
    <col min="8403" max="8403" width="15.5703125" style="225" bestFit="1" customWidth="1"/>
    <col min="8404" max="8404" width="13.85546875" style="225" bestFit="1" customWidth="1"/>
    <col min="8405" max="8405" width="13.140625" style="225" bestFit="1" customWidth="1"/>
    <col min="8406" max="8406" width="9" style="225" customWidth="1"/>
    <col min="8407" max="8407" width="13.140625" style="225" bestFit="1" customWidth="1"/>
    <col min="8408" max="8408" width="8.140625" style="225"/>
    <col min="8409" max="8409" width="5.7109375" style="225" bestFit="1" customWidth="1"/>
    <col min="8410" max="8410" width="24.5703125" style="225" bestFit="1" customWidth="1"/>
    <col min="8411" max="8411" width="13.85546875" style="225" bestFit="1" customWidth="1"/>
    <col min="8412" max="8412" width="13.5703125" style="225" bestFit="1" customWidth="1"/>
    <col min="8413" max="8413" width="8.140625" style="225" customWidth="1"/>
    <col min="8414" max="8644" width="8.140625" style="225"/>
    <col min="8645" max="8645" width="5.85546875" style="225" customWidth="1"/>
    <col min="8646" max="8646" width="40.140625" style="225" customWidth="1"/>
    <col min="8647" max="8647" width="1.5703125" style="225" customWidth="1"/>
    <col min="8648" max="8648" width="9.5703125" style="225" customWidth="1"/>
    <col min="8649" max="8649" width="11.85546875" style="225" customWidth="1"/>
    <col min="8650" max="8650" width="10.42578125" style="225" customWidth="1"/>
    <col min="8651" max="8651" width="10.28515625" style="225" customWidth="1"/>
    <col min="8652" max="8652" width="10.85546875" style="225" customWidth="1"/>
    <col min="8653" max="8653" width="9.140625" style="225" customWidth="1"/>
    <col min="8654" max="8654" width="8.7109375" style="225" customWidth="1"/>
    <col min="8655" max="8655" width="13.5703125" style="225" customWidth="1"/>
    <col min="8656" max="8656" width="12.28515625" style="225" customWidth="1"/>
    <col min="8657" max="8657" width="0.85546875" style="225" customWidth="1"/>
    <col min="8658" max="8658" width="14" style="225" customWidth="1"/>
    <col min="8659" max="8659" width="15.5703125" style="225" bestFit="1" customWidth="1"/>
    <col min="8660" max="8660" width="13.85546875" style="225" bestFit="1" customWidth="1"/>
    <col min="8661" max="8661" width="13.140625" style="225" bestFit="1" customWidth="1"/>
    <col min="8662" max="8662" width="9" style="225" customWidth="1"/>
    <col min="8663" max="8663" width="13.140625" style="225" bestFit="1" customWidth="1"/>
    <col min="8664" max="8664" width="8.140625" style="225"/>
    <col min="8665" max="8665" width="5.7109375" style="225" bestFit="1" customWidth="1"/>
    <col min="8666" max="8666" width="24.5703125" style="225" bestFit="1" customWidth="1"/>
    <col min="8667" max="8667" width="13.85546875" style="225" bestFit="1" customWidth="1"/>
    <col min="8668" max="8668" width="13.5703125" style="225" bestFit="1" customWidth="1"/>
    <col min="8669" max="8669" width="8.140625" style="225" customWidth="1"/>
    <col min="8670" max="8900" width="8.140625" style="225"/>
    <col min="8901" max="8901" width="5.85546875" style="225" customWidth="1"/>
    <col min="8902" max="8902" width="40.140625" style="225" customWidth="1"/>
    <col min="8903" max="8903" width="1.5703125" style="225" customWidth="1"/>
    <col min="8904" max="8904" width="9.5703125" style="225" customWidth="1"/>
    <col min="8905" max="8905" width="11.85546875" style="225" customWidth="1"/>
    <col min="8906" max="8906" width="10.42578125" style="225" customWidth="1"/>
    <col min="8907" max="8907" width="10.28515625" style="225" customWidth="1"/>
    <col min="8908" max="8908" width="10.85546875" style="225" customWidth="1"/>
    <col min="8909" max="8909" width="9.140625" style="225" customWidth="1"/>
    <col min="8910" max="8910" width="8.7109375" style="225" customWidth="1"/>
    <col min="8911" max="8911" width="13.5703125" style="225" customWidth="1"/>
    <col min="8912" max="8912" width="12.28515625" style="225" customWidth="1"/>
    <col min="8913" max="8913" width="0.85546875" style="225" customWidth="1"/>
    <col min="8914" max="8914" width="14" style="225" customWidth="1"/>
    <col min="8915" max="8915" width="15.5703125" style="225" bestFit="1" customWidth="1"/>
    <col min="8916" max="8916" width="13.85546875" style="225" bestFit="1" customWidth="1"/>
    <col min="8917" max="8917" width="13.140625" style="225" bestFit="1" customWidth="1"/>
    <col min="8918" max="8918" width="9" style="225" customWidth="1"/>
    <col min="8919" max="8919" width="13.140625" style="225" bestFit="1" customWidth="1"/>
    <col min="8920" max="8920" width="8.140625" style="225"/>
    <col min="8921" max="8921" width="5.7109375" style="225" bestFit="1" customWidth="1"/>
    <col min="8922" max="8922" width="24.5703125" style="225" bestFit="1" customWidth="1"/>
    <col min="8923" max="8923" width="13.85546875" style="225" bestFit="1" customWidth="1"/>
    <col min="8924" max="8924" width="13.5703125" style="225" bestFit="1" customWidth="1"/>
    <col min="8925" max="8925" width="8.140625" style="225" customWidth="1"/>
    <col min="8926" max="9156" width="8.140625" style="225"/>
    <col min="9157" max="9157" width="5.85546875" style="225" customWidth="1"/>
    <col min="9158" max="9158" width="40.140625" style="225" customWidth="1"/>
    <col min="9159" max="9159" width="1.5703125" style="225" customWidth="1"/>
    <col min="9160" max="9160" width="9.5703125" style="225" customWidth="1"/>
    <col min="9161" max="9161" width="11.85546875" style="225" customWidth="1"/>
    <col min="9162" max="9162" width="10.42578125" style="225" customWidth="1"/>
    <col min="9163" max="9163" width="10.28515625" style="225" customWidth="1"/>
    <col min="9164" max="9164" width="10.85546875" style="225" customWidth="1"/>
    <col min="9165" max="9165" width="9.140625" style="225" customWidth="1"/>
    <col min="9166" max="9166" width="8.7109375" style="225" customWidth="1"/>
    <col min="9167" max="9167" width="13.5703125" style="225" customWidth="1"/>
    <col min="9168" max="9168" width="12.28515625" style="225" customWidth="1"/>
    <col min="9169" max="9169" width="0.85546875" style="225" customWidth="1"/>
    <col min="9170" max="9170" width="14" style="225" customWidth="1"/>
    <col min="9171" max="9171" width="15.5703125" style="225" bestFit="1" customWidth="1"/>
    <col min="9172" max="9172" width="13.85546875" style="225" bestFit="1" customWidth="1"/>
    <col min="9173" max="9173" width="13.140625" style="225" bestFit="1" customWidth="1"/>
    <col min="9174" max="9174" width="9" style="225" customWidth="1"/>
    <col min="9175" max="9175" width="13.140625" style="225" bestFit="1" customWidth="1"/>
    <col min="9176" max="9176" width="8.140625" style="225"/>
    <col min="9177" max="9177" width="5.7109375" style="225" bestFit="1" customWidth="1"/>
    <col min="9178" max="9178" width="24.5703125" style="225" bestFit="1" customWidth="1"/>
    <col min="9179" max="9179" width="13.85546875" style="225" bestFit="1" customWidth="1"/>
    <col min="9180" max="9180" width="13.5703125" style="225" bestFit="1" customWidth="1"/>
    <col min="9181" max="9181" width="8.140625" style="225" customWidth="1"/>
    <col min="9182" max="9412" width="8.140625" style="225"/>
    <col min="9413" max="9413" width="5.85546875" style="225" customWidth="1"/>
    <col min="9414" max="9414" width="40.140625" style="225" customWidth="1"/>
    <col min="9415" max="9415" width="1.5703125" style="225" customWidth="1"/>
    <col min="9416" max="9416" width="9.5703125" style="225" customWidth="1"/>
    <col min="9417" max="9417" width="11.85546875" style="225" customWidth="1"/>
    <col min="9418" max="9418" width="10.42578125" style="225" customWidth="1"/>
    <col min="9419" max="9419" width="10.28515625" style="225" customWidth="1"/>
    <col min="9420" max="9420" width="10.85546875" style="225" customWidth="1"/>
    <col min="9421" max="9421" width="9.140625" style="225" customWidth="1"/>
    <col min="9422" max="9422" width="8.7109375" style="225" customWidth="1"/>
    <col min="9423" max="9423" width="13.5703125" style="225" customWidth="1"/>
    <col min="9424" max="9424" width="12.28515625" style="225" customWidth="1"/>
    <col min="9425" max="9425" width="0.85546875" style="225" customWidth="1"/>
    <col min="9426" max="9426" width="14" style="225" customWidth="1"/>
    <col min="9427" max="9427" width="15.5703125" style="225" bestFit="1" customWidth="1"/>
    <col min="9428" max="9428" width="13.85546875" style="225" bestFit="1" customWidth="1"/>
    <col min="9429" max="9429" width="13.140625" style="225" bestFit="1" customWidth="1"/>
    <col min="9430" max="9430" width="9" style="225" customWidth="1"/>
    <col min="9431" max="9431" width="13.140625" style="225" bestFit="1" customWidth="1"/>
    <col min="9432" max="9432" width="8.140625" style="225"/>
    <col min="9433" max="9433" width="5.7109375" style="225" bestFit="1" customWidth="1"/>
    <col min="9434" max="9434" width="24.5703125" style="225" bestFit="1" customWidth="1"/>
    <col min="9435" max="9435" width="13.85546875" style="225" bestFit="1" customWidth="1"/>
    <col min="9436" max="9436" width="13.5703125" style="225" bestFit="1" customWidth="1"/>
    <col min="9437" max="9437" width="8.140625" style="225" customWidth="1"/>
    <col min="9438" max="9668" width="8.140625" style="225"/>
    <col min="9669" max="9669" width="5.85546875" style="225" customWidth="1"/>
    <col min="9670" max="9670" width="40.140625" style="225" customWidth="1"/>
    <col min="9671" max="9671" width="1.5703125" style="225" customWidth="1"/>
    <col min="9672" max="9672" width="9.5703125" style="225" customWidth="1"/>
    <col min="9673" max="9673" width="11.85546875" style="225" customWidth="1"/>
    <col min="9674" max="9674" width="10.42578125" style="225" customWidth="1"/>
    <col min="9675" max="9675" width="10.28515625" style="225" customWidth="1"/>
    <col min="9676" max="9676" width="10.85546875" style="225" customWidth="1"/>
    <col min="9677" max="9677" width="9.140625" style="225" customWidth="1"/>
    <col min="9678" max="9678" width="8.7109375" style="225" customWidth="1"/>
    <col min="9679" max="9679" width="13.5703125" style="225" customWidth="1"/>
    <col min="9680" max="9680" width="12.28515625" style="225" customWidth="1"/>
    <col min="9681" max="9681" width="0.85546875" style="225" customWidth="1"/>
    <col min="9682" max="9682" width="14" style="225" customWidth="1"/>
    <col min="9683" max="9683" width="15.5703125" style="225" bestFit="1" customWidth="1"/>
    <col min="9684" max="9684" width="13.85546875" style="225" bestFit="1" customWidth="1"/>
    <col min="9685" max="9685" width="13.140625" style="225" bestFit="1" customWidth="1"/>
    <col min="9686" max="9686" width="9" style="225" customWidth="1"/>
    <col min="9687" max="9687" width="13.140625" style="225" bestFit="1" customWidth="1"/>
    <col min="9688" max="9688" width="8.140625" style="225"/>
    <col min="9689" max="9689" width="5.7109375" style="225" bestFit="1" customWidth="1"/>
    <col min="9690" max="9690" width="24.5703125" style="225" bestFit="1" customWidth="1"/>
    <col min="9691" max="9691" width="13.85546875" style="225" bestFit="1" customWidth="1"/>
    <col min="9692" max="9692" width="13.5703125" style="225" bestFit="1" customWidth="1"/>
    <col min="9693" max="9693" width="8.140625" style="225" customWidth="1"/>
    <col min="9694" max="9924" width="8.140625" style="225"/>
    <col min="9925" max="9925" width="5.85546875" style="225" customWidth="1"/>
    <col min="9926" max="9926" width="40.140625" style="225" customWidth="1"/>
    <col min="9927" max="9927" width="1.5703125" style="225" customWidth="1"/>
    <col min="9928" max="9928" width="9.5703125" style="225" customWidth="1"/>
    <col min="9929" max="9929" width="11.85546875" style="225" customWidth="1"/>
    <col min="9930" max="9930" width="10.42578125" style="225" customWidth="1"/>
    <col min="9931" max="9931" width="10.28515625" style="225" customWidth="1"/>
    <col min="9932" max="9932" width="10.85546875" style="225" customWidth="1"/>
    <col min="9933" max="9933" width="9.140625" style="225" customWidth="1"/>
    <col min="9934" max="9934" width="8.7109375" style="225" customWidth="1"/>
    <col min="9935" max="9935" width="13.5703125" style="225" customWidth="1"/>
    <col min="9936" max="9936" width="12.28515625" style="225" customWidth="1"/>
    <col min="9937" max="9937" width="0.85546875" style="225" customWidth="1"/>
    <col min="9938" max="9938" width="14" style="225" customWidth="1"/>
    <col min="9939" max="9939" width="15.5703125" style="225" bestFit="1" customWidth="1"/>
    <col min="9940" max="9940" width="13.85546875" style="225" bestFit="1" customWidth="1"/>
    <col min="9941" max="9941" width="13.140625" style="225" bestFit="1" customWidth="1"/>
    <col min="9942" max="9942" width="9" style="225" customWidth="1"/>
    <col min="9943" max="9943" width="13.140625" style="225" bestFit="1" customWidth="1"/>
    <col min="9944" max="9944" width="8.140625" style="225"/>
    <col min="9945" max="9945" width="5.7109375" style="225" bestFit="1" customWidth="1"/>
    <col min="9946" max="9946" width="24.5703125" style="225" bestFit="1" customWidth="1"/>
    <col min="9947" max="9947" width="13.85546875" style="225" bestFit="1" customWidth="1"/>
    <col min="9948" max="9948" width="13.5703125" style="225" bestFit="1" customWidth="1"/>
    <col min="9949" max="9949" width="8.140625" style="225" customWidth="1"/>
    <col min="9950" max="10180" width="8.140625" style="225"/>
    <col min="10181" max="10181" width="5.85546875" style="225" customWidth="1"/>
    <col min="10182" max="10182" width="40.140625" style="225" customWidth="1"/>
    <col min="10183" max="10183" width="1.5703125" style="225" customWidth="1"/>
    <col min="10184" max="10184" width="9.5703125" style="225" customWidth="1"/>
    <col min="10185" max="10185" width="11.85546875" style="225" customWidth="1"/>
    <col min="10186" max="10186" width="10.42578125" style="225" customWidth="1"/>
    <col min="10187" max="10187" width="10.28515625" style="225" customWidth="1"/>
    <col min="10188" max="10188" width="10.85546875" style="225" customWidth="1"/>
    <col min="10189" max="10189" width="9.140625" style="225" customWidth="1"/>
    <col min="10190" max="10190" width="8.7109375" style="225" customWidth="1"/>
    <col min="10191" max="10191" width="13.5703125" style="225" customWidth="1"/>
    <col min="10192" max="10192" width="12.28515625" style="225" customWidth="1"/>
    <col min="10193" max="10193" width="0.85546875" style="225" customWidth="1"/>
    <col min="10194" max="10194" width="14" style="225" customWidth="1"/>
    <col min="10195" max="10195" width="15.5703125" style="225" bestFit="1" customWidth="1"/>
    <col min="10196" max="10196" width="13.85546875" style="225" bestFit="1" customWidth="1"/>
    <col min="10197" max="10197" width="13.140625" style="225" bestFit="1" customWidth="1"/>
    <col min="10198" max="10198" width="9" style="225" customWidth="1"/>
    <col min="10199" max="10199" width="13.140625" style="225" bestFit="1" customWidth="1"/>
    <col min="10200" max="10200" width="8.140625" style="225"/>
    <col min="10201" max="10201" width="5.7109375" style="225" bestFit="1" customWidth="1"/>
    <col min="10202" max="10202" width="24.5703125" style="225" bestFit="1" customWidth="1"/>
    <col min="10203" max="10203" width="13.85546875" style="225" bestFit="1" customWidth="1"/>
    <col min="10204" max="10204" width="13.5703125" style="225" bestFit="1" customWidth="1"/>
    <col min="10205" max="10205" width="8.140625" style="225" customWidth="1"/>
    <col min="10206" max="10436" width="8.140625" style="225"/>
    <col min="10437" max="10437" width="5.85546875" style="225" customWidth="1"/>
    <col min="10438" max="10438" width="40.140625" style="225" customWidth="1"/>
    <col min="10439" max="10439" width="1.5703125" style="225" customWidth="1"/>
    <col min="10440" max="10440" width="9.5703125" style="225" customWidth="1"/>
    <col min="10441" max="10441" width="11.85546875" style="225" customWidth="1"/>
    <col min="10442" max="10442" width="10.42578125" style="225" customWidth="1"/>
    <col min="10443" max="10443" width="10.28515625" style="225" customWidth="1"/>
    <col min="10444" max="10444" width="10.85546875" style="225" customWidth="1"/>
    <col min="10445" max="10445" width="9.140625" style="225" customWidth="1"/>
    <col min="10446" max="10446" width="8.7109375" style="225" customWidth="1"/>
    <col min="10447" max="10447" width="13.5703125" style="225" customWidth="1"/>
    <col min="10448" max="10448" width="12.28515625" style="225" customWidth="1"/>
    <col min="10449" max="10449" width="0.85546875" style="225" customWidth="1"/>
    <col min="10450" max="10450" width="14" style="225" customWidth="1"/>
    <col min="10451" max="10451" width="15.5703125" style="225" bestFit="1" customWidth="1"/>
    <col min="10452" max="10452" width="13.85546875" style="225" bestFit="1" customWidth="1"/>
    <col min="10453" max="10453" width="13.140625" style="225" bestFit="1" customWidth="1"/>
    <col min="10454" max="10454" width="9" style="225" customWidth="1"/>
    <col min="10455" max="10455" width="13.140625" style="225" bestFit="1" customWidth="1"/>
    <col min="10456" max="10456" width="8.140625" style="225"/>
    <col min="10457" max="10457" width="5.7109375" style="225" bestFit="1" customWidth="1"/>
    <col min="10458" max="10458" width="24.5703125" style="225" bestFit="1" customWidth="1"/>
    <col min="10459" max="10459" width="13.85546875" style="225" bestFit="1" customWidth="1"/>
    <col min="10460" max="10460" width="13.5703125" style="225" bestFit="1" customWidth="1"/>
    <col min="10461" max="10461" width="8.140625" style="225" customWidth="1"/>
    <col min="10462" max="10692" width="8.140625" style="225"/>
    <col min="10693" max="10693" width="5.85546875" style="225" customWidth="1"/>
    <col min="10694" max="10694" width="40.140625" style="225" customWidth="1"/>
    <col min="10695" max="10695" width="1.5703125" style="225" customWidth="1"/>
    <col min="10696" max="10696" width="9.5703125" style="225" customWidth="1"/>
    <col min="10697" max="10697" width="11.85546875" style="225" customWidth="1"/>
    <col min="10698" max="10698" width="10.42578125" style="225" customWidth="1"/>
    <col min="10699" max="10699" width="10.28515625" style="225" customWidth="1"/>
    <col min="10700" max="10700" width="10.85546875" style="225" customWidth="1"/>
    <col min="10701" max="10701" width="9.140625" style="225" customWidth="1"/>
    <col min="10702" max="10702" width="8.7109375" style="225" customWidth="1"/>
    <col min="10703" max="10703" width="13.5703125" style="225" customWidth="1"/>
    <col min="10704" max="10704" width="12.28515625" style="225" customWidth="1"/>
    <col min="10705" max="10705" width="0.85546875" style="225" customWidth="1"/>
    <col min="10706" max="10706" width="14" style="225" customWidth="1"/>
    <col min="10707" max="10707" width="15.5703125" style="225" bestFit="1" customWidth="1"/>
    <col min="10708" max="10708" width="13.85546875" style="225" bestFit="1" customWidth="1"/>
    <col min="10709" max="10709" width="13.140625" style="225" bestFit="1" customWidth="1"/>
    <col min="10710" max="10710" width="9" style="225" customWidth="1"/>
    <col min="10711" max="10711" width="13.140625" style="225" bestFit="1" customWidth="1"/>
    <col min="10712" max="10712" width="8.140625" style="225"/>
    <col min="10713" max="10713" width="5.7109375" style="225" bestFit="1" customWidth="1"/>
    <col min="10714" max="10714" width="24.5703125" style="225" bestFit="1" customWidth="1"/>
    <col min="10715" max="10715" width="13.85546875" style="225" bestFit="1" customWidth="1"/>
    <col min="10716" max="10716" width="13.5703125" style="225" bestFit="1" customWidth="1"/>
    <col min="10717" max="10717" width="8.140625" style="225" customWidth="1"/>
    <col min="10718" max="10948" width="8.140625" style="225"/>
    <col min="10949" max="10949" width="5.85546875" style="225" customWidth="1"/>
    <col min="10950" max="10950" width="40.140625" style="225" customWidth="1"/>
    <col min="10951" max="10951" width="1.5703125" style="225" customWidth="1"/>
    <col min="10952" max="10952" width="9.5703125" style="225" customWidth="1"/>
    <col min="10953" max="10953" width="11.85546875" style="225" customWidth="1"/>
    <col min="10954" max="10954" width="10.42578125" style="225" customWidth="1"/>
    <col min="10955" max="10955" width="10.28515625" style="225" customWidth="1"/>
    <col min="10956" max="10956" width="10.85546875" style="225" customWidth="1"/>
    <col min="10957" max="10957" width="9.140625" style="225" customWidth="1"/>
    <col min="10958" max="10958" width="8.7109375" style="225" customWidth="1"/>
    <col min="10959" max="10959" width="13.5703125" style="225" customWidth="1"/>
    <col min="10960" max="10960" width="12.28515625" style="225" customWidth="1"/>
    <col min="10961" max="10961" width="0.85546875" style="225" customWidth="1"/>
    <col min="10962" max="10962" width="14" style="225" customWidth="1"/>
    <col min="10963" max="10963" width="15.5703125" style="225" bestFit="1" customWidth="1"/>
    <col min="10964" max="10964" width="13.85546875" style="225" bestFit="1" customWidth="1"/>
    <col min="10965" max="10965" width="13.140625" style="225" bestFit="1" customWidth="1"/>
    <col min="10966" max="10966" width="9" style="225" customWidth="1"/>
    <col min="10967" max="10967" width="13.140625" style="225" bestFit="1" customWidth="1"/>
    <col min="10968" max="10968" width="8.140625" style="225"/>
    <col min="10969" max="10969" width="5.7109375" style="225" bestFit="1" customWidth="1"/>
    <col min="10970" max="10970" width="24.5703125" style="225" bestFit="1" customWidth="1"/>
    <col min="10971" max="10971" width="13.85546875" style="225" bestFit="1" customWidth="1"/>
    <col min="10972" max="10972" width="13.5703125" style="225" bestFit="1" customWidth="1"/>
    <col min="10973" max="10973" width="8.140625" style="225" customWidth="1"/>
    <col min="10974" max="11204" width="8.140625" style="225"/>
    <col min="11205" max="11205" width="5.85546875" style="225" customWidth="1"/>
    <col min="11206" max="11206" width="40.140625" style="225" customWidth="1"/>
    <col min="11207" max="11207" width="1.5703125" style="225" customWidth="1"/>
    <col min="11208" max="11208" width="9.5703125" style="225" customWidth="1"/>
    <col min="11209" max="11209" width="11.85546875" style="225" customWidth="1"/>
    <col min="11210" max="11210" width="10.42578125" style="225" customWidth="1"/>
    <col min="11211" max="11211" width="10.28515625" style="225" customWidth="1"/>
    <col min="11212" max="11212" width="10.85546875" style="225" customWidth="1"/>
    <col min="11213" max="11213" width="9.140625" style="225" customWidth="1"/>
    <col min="11214" max="11214" width="8.7109375" style="225" customWidth="1"/>
    <col min="11215" max="11215" width="13.5703125" style="225" customWidth="1"/>
    <col min="11216" max="11216" width="12.28515625" style="225" customWidth="1"/>
    <col min="11217" max="11217" width="0.85546875" style="225" customWidth="1"/>
    <col min="11218" max="11218" width="14" style="225" customWidth="1"/>
    <col min="11219" max="11219" width="15.5703125" style="225" bestFit="1" customWidth="1"/>
    <col min="11220" max="11220" width="13.85546875" style="225" bestFit="1" customWidth="1"/>
    <col min="11221" max="11221" width="13.140625" style="225" bestFit="1" customWidth="1"/>
    <col min="11222" max="11222" width="9" style="225" customWidth="1"/>
    <col min="11223" max="11223" width="13.140625" style="225" bestFit="1" customWidth="1"/>
    <col min="11224" max="11224" width="8.140625" style="225"/>
    <col min="11225" max="11225" width="5.7109375" style="225" bestFit="1" customWidth="1"/>
    <col min="11226" max="11226" width="24.5703125" style="225" bestFit="1" customWidth="1"/>
    <col min="11227" max="11227" width="13.85546875" style="225" bestFit="1" customWidth="1"/>
    <col min="11228" max="11228" width="13.5703125" style="225" bestFit="1" customWidth="1"/>
    <col min="11229" max="11229" width="8.140625" style="225" customWidth="1"/>
    <col min="11230" max="11460" width="8.140625" style="225"/>
    <col min="11461" max="11461" width="5.85546875" style="225" customWidth="1"/>
    <col min="11462" max="11462" width="40.140625" style="225" customWidth="1"/>
    <col min="11463" max="11463" width="1.5703125" style="225" customWidth="1"/>
    <col min="11464" max="11464" width="9.5703125" style="225" customWidth="1"/>
    <col min="11465" max="11465" width="11.85546875" style="225" customWidth="1"/>
    <col min="11466" max="11466" width="10.42578125" style="225" customWidth="1"/>
    <col min="11467" max="11467" width="10.28515625" style="225" customWidth="1"/>
    <col min="11468" max="11468" width="10.85546875" style="225" customWidth="1"/>
    <col min="11469" max="11469" width="9.140625" style="225" customWidth="1"/>
    <col min="11470" max="11470" width="8.7109375" style="225" customWidth="1"/>
    <col min="11471" max="11471" width="13.5703125" style="225" customWidth="1"/>
    <col min="11472" max="11472" width="12.28515625" style="225" customWidth="1"/>
    <col min="11473" max="11473" width="0.85546875" style="225" customWidth="1"/>
    <col min="11474" max="11474" width="14" style="225" customWidth="1"/>
    <col min="11475" max="11475" width="15.5703125" style="225" bestFit="1" customWidth="1"/>
    <col min="11476" max="11476" width="13.85546875" style="225" bestFit="1" customWidth="1"/>
    <col min="11477" max="11477" width="13.140625" style="225" bestFit="1" customWidth="1"/>
    <col min="11478" max="11478" width="9" style="225" customWidth="1"/>
    <col min="11479" max="11479" width="13.140625" style="225" bestFit="1" customWidth="1"/>
    <col min="11480" max="11480" width="8.140625" style="225"/>
    <col min="11481" max="11481" width="5.7109375" style="225" bestFit="1" customWidth="1"/>
    <col min="11482" max="11482" width="24.5703125" style="225" bestFit="1" customWidth="1"/>
    <col min="11483" max="11483" width="13.85546875" style="225" bestFit="1" customWidth="1"/>
    <col min="11484" max="11484" width="13.5703125" style="225" bestFit="1" customWidth="1"/>
    <col min="11485" max="11485" width="8.140625" style="225" customWidth="1"/>
    <col min="11486" max="11716" width="8.140625" style="225"/>
    <col min="11717" max="11717" width="5.85546875" style="225" customWidth="1"/>
    <col min="11718" max="11718" width="40.140625" style="225" customWidth="1"/>
    <col min="11719" max="11719" width="1.5703125" style="225" customWidth="1"/>
    <col min="11720" max="11720" width="9.5703125" style="225" customWidth="1"/>
    <col min="11721" max="11721" width="11.85546875" style="225" customWidth="1"/>
    <col min="11722" max="11722" width="10.42578125" style="225" customWidth="1"/>
    <col min="11723" max="11723" width="10.28515625" style="225" customWidth="1"/>
    <col min="11724" max="11724" width="10.85546875" style="225" customWidth="1"/>
    <col min="11725" max="11725" width="9.140625" style="225" customWidth="1"/>
    <col min="11726" max="11726" width="8.7109375" style="225" customWidth="1"/>
    <col min="11727" max="11727" width="13.5703125" style="225" customWidth="1"/>
    <col min="11728" max="11728" width="12.28515625" style="225" customWidth="1"/>
    <col min="11729" max="11729" width="0.85546875" style="225" customWidth="1"/>
    <col min="11730" max="11730" width="14" style="225" customWidth="1"/>
    <col min="11731" max="11731" width="15.5703125" style="225" bestFit="1" customWidth="1"/>
    <col min="11732" max="11732" width="13.85546875" style="225" bestFit="1" customWidth="1"/>
    <col min="11733" max="11733" width="13.140625" style="225" bestFit="1" customWidth="1"/>
    <col min="11734" max="11734" width="9" style="225" customWidth="1"/>
    <col min="11735" max="11735" width="13.140625" style="225" bestFit="1" customWidth="1"/>
    <col min="11736" max="11736" width="8.140625" style="225"/>
    <col min="11737" max="11737" width="5.7109375" style="225" bestFit="1" customWidth="1"/>
    <col min="11738" max="11738" width="24.5703125" style="225" bestFit="1" customWidth="1"/>
    <col min="11739" max="11739" width="13.85546875" style="225" bestFit="1" customWidth="1"/>
    <col min="11740" max="11740" width="13.5703125" style="225" bestFit="1" customWidth="1"/>
    <col min="11741" max="11741" width="8.140625" style="225" customWidth="1"/>
    <col min="11742" max="11972" width="8.140625" style="225"/>
    <col min="11973" max="11973" width="5.85546875" style="225" customWidth="1"/>
    <col min="11974" max="11974" width="40.140625" style="225" customWidth="1"/>
    <col min="11975" max="11975" width="1.5703125" style="225" customWidth="1"/>
    <col min="11976" max="11976" width="9.5703125" style="225" customWidth="1"/>
    <col min="11977" max="11977" width="11.85546875" style="225" customWidth="1"/>
    <col min="11978" max="11978" width="10.42578125" style="225" customWidth="1"/>
    <col min="11979" max="11979" width="10.28515625" style="225" customWidth="1"/>
    <col min="11980" max="11980" width="10.85546875" style="225" customWidth="1"/>
    <col min="11981" max="11981" width="9.140625" style="225" customWidth="1"/>
    <col min="11982" max="11982" width="8.7109375" style="225" customWidth="1"/>
    <col min="11983" max="11983" width="13.5703125" style="225" customWidth="1"/>
    <col min="11984" max="11984" width="12.28515625" style="225" customWidth="1"/>
    <col min="11985" max="11985" width="0.85546875" style="225" customWidth="1"/>
    <col min="11986" max="11986" width="14" style="225" customWidth="1"/>
    <col min="11987" max="11987" width="15.5703125" style="225" bestFit="1" customWidth="1"/>
    <col min="11988" max="11988" width="13.85546875" style="225" bestFit="1" customWidth="1"/>
    <col min="11989" max="11989" width="13.140625" style="225" bestFit="1" customWidth="1"/>
    <col min="11990" max="11990" width="9" style="225" customWidth="1"/>
    <col min="11991" max="11991" width="13.140625" style="225" bestFit="1" customWidth="1"/>
    <col min="11992" max="11992" width="8.140625" style="225"/>
    <col min="11993" max="11993" width="5.7109375" style="225" bestFit="1" customWidth="1"/>
    <col min="11994" max="11994" width="24.5703125" style="225" bestFit="1" customWidth="1"/>
    <col min="11995" max="11995" width="13.85546875" style="225" bestFit="1" customWidth="1"/>
    <col min="11996" max="11996" width="13.5703125" style="225" bestFit="1" customWidth="1"/>
    <col min="11997" max="11997" width="8.140625" style="225" customWidth="1"/>
    <col min="11998" max="12228" width="8.140625" style="225"/>
    <col min="12229" max="12229" width="5.85546875" style="225" customWidth="1"/>
    <col min="12230" max="12230" width="40.140625" style="225" customWidth="1"/>
    <col min="12231" max="12231" width="1.5703125" style="225" customWidth="1"/>
    <col min="12232" max="12232" width="9.5703125" style="225" customWidth="1"/>
    <col min="12233" max="12233" width="11.85546875" style="225" customWidth="1"/>
    <col min="12234" max="12234" width="10.42578125" style="225" customWidth="1"/>
    <col min="12235" max="12235" width="10.28515625" style="225" customWidth="1"/>
    <col min="12236" max="12236" width="10.85546875" style="225" customWidth="1"/>
    <col min="12237" max="12237" width="9.140625" style="225" customWidth="1"/>
    <col min="12238" max="12238" width="8.7109375" style="225" customWidth="1"/>
    <col min="12239" max="12239" width="13.5703125" style="225" customWidth="1"/>
    <col min="12240" max="12240" width="12.28515625" style="225" customWidth="1"/>
    <col min="12241" max="12241" width="0.85546875" style="225" customWidth="1"/>
    <col min="12242" max="12242" width="14" style="225" customWidth="1"/>
    <col min="12243" max="12243" width="15.5703125" style="225" bestFit="1" customWidth="1"/>
    <col min="12244" max="12244" width="13.85546875" style="225" bestFit="1" customWidth="1"/>
    <col min="12245" max="12245" width="13.140625" style="225" bestFit="1" customWidth="1"/>
    <col min="12246" max="12246" width="9" style="225" customWidth="1"/>
    <col min="12247" max="12247" width="13.140625" style="225" bestFit="1" customWidth="1"/>
    <col min="12248" max="12248" width="8.140625" style="225"/>
    <col min="12249" max="12249" width="5.7109375" style="225" bestFit="1" customWidth="1"/>
    <col min="12250" max="12250" width="24.5703125" style="225" bestFit="1" customWidth="1"/>
    <col min="12251" max="12251" width="13.85546875" style="225" bestFit="1" customWidth="1"/>
    <col min="12252" max="12252" width="13.5703125" style="225" bestFit="1" customWidth="1"/>
    <col min="12253" max="12253" width="8.140625" style="225" customWidth="1"/>
    <col min="12254" max="12484" width="8.140625" style="225"/>
    <col min="12485" max="12485" width="5.85546875" style="225" customWidth="1"/>
    <col min="12486" max="12486" width="40.140625" style="225" customWidth="1"/>
    <col min="12487" max="12487" width="1.5703125" style="225" customWidth="1"/>
    <col min="12488" max="12488" width="9.5703125" style="225" customWidth="1"/>
    <col min="12489" max="12489" width="11.85546875" style="225" customWidth="1"/>
    <col min="12490" max="12490" width="10.42578125" style="225" customWidth="1"/>
    <col min="12491" max="12491" width="10.28515625" style="225" customWidth="1"/>
    <col min="12492" max="12492" width="10.85546875" style="225" customWidth="1"/>
    <col min="12493" max="12493" width="9.140625" style="225" customWidth="1"/>
    <col min="12494" max="12494" width="8.7109375" style="225" customWidth="1"/>
    <col min="12495" max="12495" width="13.5703125" style="225" customWidth="1"/>
    <col min="12496" max="12496" width="12.28515625" style="225" customWidth="1"/>
    <col min="12497" max="12497" width="0.85546875" style="225" customWidth="1"/>
    <col min="12498" max="12498" width="14" style="225" customWidth="1"/>
    <col min="12499" max="12499" width="15.5703125" style="225" bestFit="1" customWidth="1"/>
    <col min="12500" max="12500" width="13.85546875" style="225" bestFit="1" customWidth="1"/>
    <col min="12501" max="12501" width="13.140625" style="225" bestFit="1" customWidth="1"/>
    <col min="12502" max="12502" width="9" style="225" customWidth="1"/>
    <col min="12503" max="12503" width="13.140625" style="225" bestFit="1" customWidth="1"/>
    <col min="12504" max="12504" width="8.140625" style="225"/>
    <col min="12505" max="12505" width="5.7109375" style="225" bestFit="1" customWidth="1"/>
    <col min="12506" max="12506" width="24.5703125" style="225" bestFit="1" customWidth="1"/>
    <col min="12507" max="12507" width="13.85546875" style="225" bestFit="1" customWidth="1"/>
    <col min="12508" max="12508" width="13.5703125" style="225" bestFit="1" customWidth="1"/>
    <col min="12509" max="12509" width="8.140625" style="225" customWidth="1"/>
    <col min="12510" max="12740" width="8.140625" style="225"/>
    <col min="12741" max="12741" width="5.85546875" style="225" customWidth="1"/>
    <col min="12742" max="12742" width="40.140625" style="225" customWidth="1"/>
    <col min="12743" max="12743" width="1.5703125" style="225" customWidth="1"/>
    <col min="12744" max="12744" width="9.5703125" style="225" customWidth="1"/>
    <col min="12745" max="12745" width="11.85546875" style="225" customWidth="1"/>
    <col min="12746" max="12746" width="10.42578125" style="225" customWidth="1"/>
    <col min="12747" max="12747" width="10.28515625" style="225" customWidth="1"/>
    <col min="12748" max="12748" width="10.85546875" style="225" customWidth="1"/>
    <col min="12749" max="12749" width="9.140625" style="225" customWidth="1"/>
    <col min="12750" max="12750" width="8.7109375" style="225" customWidth="1"/>
    <col min="12751" max="12751" width="13.5703125" style="225" customWidth="1"/>
    <col min="12752" max="12752" width="12.28515625" style="225" customWidth="1"/>
    <col min="12753" max="12753" width="0.85546875" style="225" customWidth="1"/>
    <col min="12754" max="12754" width="14" style="225" customWidth="1"/>
    <col min="12755" max="12755" width="15.5703125" style="225" bestFit="1" customWidth="1"/>
    <col min="12756" max="12756" width="13.85546875" style="225" bestFit="1" customWidth="1"/>
    <col min="12757" max="12757" width="13.140625" style="225" bestFit="1" customWidth="1"/>
    <col min="12758" max="12758" width="9" style="225" customWidth="1"/>
    <col min="12759" max="12759" width="13.140625" style="225" bestFit="1" customWidth="1"/>
    <col min="12760" max="12760" width="8.140625" style="225"/>
    <col min="12761" max="12761" width="5.7109375" style="225" bestFit="1" customWidth="1"/>
    <col min="12762" max="12762" width="24.5703125" style="225" bestFit="1" customWidth="1"/>
    <col min="12763" max="12763" width="13.85546875" style="225" bestFit="1" customWidth="1"/>
    <col min="12764" max="12764" width="13.5703125" style="225" bestFit="1" customWidth="1"/>
    <col min="12765" max="12765" width="8.140625" style="225" customWidth="1"/>
    <col min="12766" max="12996" width="8.140625" style="225"/>
    <col min="12997" max="12997" width="5.85546875" style="225" customWidth="1"/>
    <col min="12998" max="12998" width="40.140625" style="225" customWidth="1"/>
    <col min="12999" max="12999" width="1.5703125" style="225" customWidth="1"/>
    <col min="13000" max="13000" width="9.5703125" style="225" customWidth="1"/>
    <col min="13001" max="13001" width="11.85546875" style="225" customWidth="1"/>
    <col min="13002" max="13002" width="10.42578125" style="225" customWidth="1"/>
    <col min="13003" max="13003" width="10.28515625" style="225" customWidth="1"/>
    <col min="13004" max="13004" width="10.85546875" style="225" customWidth="1"/>
    <col min="13005" max="13005" width="9.140625" style="225" customWidth="1"/>
    <col min="13006" max="13006" width="8.7109375" style="225" customWidth="1"/>
    <col min="13007" max="13007" width="13.5703125" style="225" customWidth="1"/>
    <col min="13008" max="13008" width="12.28515625" style="225" customWidth="1"/>
    <col min="13009" max="13009" width="0.85546875" style="225" customWidth="1"/>
    <col min="13010" max="13010" width="14" style="225" customWidth="1"/>
    <col min="13011" max="13011" width="15.5703125" style="225" bestFit="1" customWidth="1"/>
    <col min="13012" max="13012" width="13.85546875" style="225" bestFit="1" customWidth="1"/>
    <col min="13013" max="13013" width="13.140625" style="225" bestFit="1" customWidth="1"/>
    <col min="13014" max="13014" width="9" style="225" customWidth="1"/>
    <col min="13015" max="13015" width="13.140625" style="225" bestFit="1" customWidth="1"/>
    <col min="13016" max="13016" width="8.140625" style="225"/>
    <col min="13017" max="13017" width="5.7109375" style="225" bestFit="1" customWidth="1"/>
    <col min="13018" max="13018" width="24.5703125" style="225" bestFit="1" customWidth="1"/>
    <col min="13019" max="13019" width="13.85546875" style="225" bestFit="1" customWidth="1"/>
    <col min="13020" max="13020" width="13.5703125" style="225" bestFit="1" customWidth="1"/>
    <col min="13021" max="13021" width="8.140625" style="225" customWidth="1"/>
    <col min="13022" max="13252" width="8.140625" style="225"/>
    <col min="13253" max="13253" width="5.85546875" style="225" customWidth="1"/>
    <col min="13254" max="13254" width="40.140625" style="225" customWidth="1"/>
    <col min="13255" max="13255" width="1.5703125" style="225" customWidth="1"/>
    <col min="13256" max="13256" width="9.5703125" style="225" customWidth="1"/>
    <col min="13257" max="13257" width="11.85546875" style="225" customWidth="1"/>
    <col min="13258" max="13258" width="10.42578125" style="225" customWidth="1"/>
    <col min="13259" max="13259" width="10.28515625" style="225" customWidth="1"/>
    <col min="13260" max="13260" width="10.85546875" style="225" customWidth="1"/>
    <col min="13261" max="13261" width="9.140625" style="225" customWidth="1"/>
    <col min="13262" max="13262" width="8.7109375" style="225" customWidth="1"/>
    <col min="13263" max="13263" width="13.5703125" style="225" customWidth="1"/>
    <col min="13264" max="13264" width="12.28515625" style="225" customWidth="1"/>
    <col min="13265" max="13265" width="0.85546875" style="225" customWidth="1"/>
    <col min="13266" max="13266" width="14" style="225" customWidth="1"/>
    <col min="13267" max="13267" width="15.5703125" style="225" bestFit="1" customWidth="1"/>
    <col min="13268" max="13268" width="13.85546875" style="225" bestFit="1" customWidth="1"/>
    <col min="13269" max="13269" width="13.140625" style="225" bestFit="1" customWidth="1"/>
    <col min="13270" max="13270" width="9" style="225" customWidth="1"/>
    <col min="13271" max="13271" width="13.140625" style="225" bestFit="1" customWidth="1"/>
    <col min="13272" max="13272" width="8.140625" style="225"/>
    <col min="13273" max="13273" width="5.7109375" style="225" bestFit="1" customWidth="1"/>
    <col min="13274" max="13274" width="24.5703125" style="225" bestFit="1" customWidth="1"/>
    <col min="13275" max="13275" width="13.85546875" style="225" bestFit="1" customWidth="1"/>
    <col min="13276" max="13276" width="13.5703125" style="225" bestFit="1" customWidth="1"/>
    <col min="13277" max="13277" width="8.140625" style="225" customWidth="1"/>
    <col min="13278" max="13508" width="8.140625" style="225"/>
    <col min="13509" max="13509" width="5.85546875" style="225" customWidth="1"/>
    <col min="13510" max="13510" width="40.140625" style="225" customWidth="1"/>
    <col min="13511" max="13511" width="1.5703125" style="225" customWidth="1"/>
    <col min="13512" max="13512" width="9.5703125" style="225" customWidth="1"/>
    <col min="13513" max="13513" width="11.85546875" style="225" customWidth="1"/>
    <col min="13514" max="13514" width="10.42578125" style="225" customWidth="1"/>
    <col min="13515" max="13515" width="10.28515625" style="225" customWidth="1"/>
    <col min="13516" max="13516" width="10.85546875" style="225" customWidth="1"/>
    <col min="13517" max="13517" width="9.140625" style="225" customWidth="1"/>
    <col min="13518" max="13518" width="8.7109375" style="225" customWidth="1"/>
    <col min="13519" max="13519" width="13.5703125" style="225" customWidth="1"/>
    <col min="13520" max="13520" width="12.28515625" style="225" customWidth="1"/>
    <col min="13521" max="13521" width="0.85546875" style="225" customWidth="1"/>
    <col min="13522" max="13522" width="14" style="225" customWidth="1"/>
    <col min="13523" max="13523" width="15.5703125" style="225" bestFit="1" customWidth="1"/>
    <col min="13524" max="13524" width="13.85546875" style="225" bestFit="1" customWidth="1"/>
    <col min="13525" max="13525" width="13.140625" style="225" bestFit="1" customWidth="1"/>
    <col min="13526" max="13526" width="9" style="225" customWidth="1"/>
    <col min="13527" max="13527" width="13.140625" style="225" bestFit="1" customWidth="1"/>
    <col min="13528" max="13528" width="8.140625" style="225"/>
    <col min="13529" max="13529" width="5.7109375" style="225" bestFit="1" customWidth="1"/>
    <col min="13530" max="13530" width="24.5703125" style="225" bestFit="1" customWidth="1"/>
    <col min="13531" max="13531" width="13.85546875" style="225" bestFit="1" customWidth="1"/>
    <col min="13532" max="13532" width="13.5703125" style="225" bestFit="1" customWidth="1"/>
    <col min="13533" max="13533" width="8.140625" style="225" customWidth="1"/>
    <col min="13534" max="13764" width="8.140625" style="225"/>
    <col min="13765" max="13765" width="5.85546875" style="225" customWidth="1"/>
    <col min="13766" max="13766" width="40.140625" style="225" customWidth="1"/>
    <col min="13767" max="13767" width="1.5703125" style="225" customWidth="1"/>
    <col min="13768" max="13768" width="9.5703125" style="225" customWidth="1"/>
    <col min="13769" max="13769" width="11.85546875" style="225" customWidth="1"/>
    <col min="13770" max="13770" width="10.42578125" style="225" customWidth="1"/>
    <col min="13771" max="13771" width="10.28515625" style="225" customWidth="1"/>
    <col min="13772" max="13772" width="10.85546875" style="225" customWidth="1"/>
    <col min="13773" max="13773" width="9.140625" style="225" customWidth="1"/>
    <col min="13774" max="13774" width="8.7109375" style="225" customWidth="1"/>
    <col min="13775" max="13775" width="13.5703125" style="225" customWidth="1"/>
    <col min="13776" max="13776" width="12.28515625" style="225" customWidth="1"/>
    <col min="13777" max="13777" width="0.85546875" style="225" customWidth="1"/>
    <col min="13778" max="13778" width="14" style="225" customWidth="1"/>
    <col min="13779" max="13779" width="15.5703125" style="225" bestFit="1" customWidth="1"/>
    <col min="13780" max="13780" width="13.85546875" style="225" bestFit="1" customWidth="1"/>
    <col min="13781" max="13781" width="13.140625" style="225" bestFit="1" customWidth="1"/>
    <col min="13782" max="13782" width="9" style="225" customWidth="1"/>
    <col min="13783" max="13783" width="13.140625" style="225" bestFit="1" customWidth="1"/>
    <col min="13784" max="13784" width="8.140625" style="225"/>
    <col min="13785" max="13785" width="5.7109375" style="225" bestFit="1" customWidth="1"/>
    <col min="13786" max="13786" width="24.5703125" style="225" bestFit="1" customWidth="1"/>
    <col min="13787" max="13787" width="13.85546875" style="225" bestFit="1" customWidth="1"/>
    <col min="13788" max="13788" width="13.5703125" style="225" bestFit="1" customWidth="1"/>
    <col min="13789" max="13789" width="8.140625" style="225" customWidth="1"/>
    <col min="13790" max="14020" width="8.140625" style="225"/>
    <col min="14021" max="14021" width="5.85546875" style="225" customWidth="1"/>
    <col min="14022" max="14022" width="40.140625" style="225" customWidth="1"/>
    <col min="14023" max="14023" width="1.5703125" style="225" customWidth="1"/>
    <col min="14024" max="14024" width="9.5703125" style="225" customWidth="1"/>
    <col min="14025" max="14025" width="11.85546875" style="225" customWidth="1"/>
    <col min="14026" max="14026" width="10.42578125" style="225" customWidth="1"/>
    <col min="14027" max="14027" width="10.28515625" style="225" customWidth="1"/>
    <col min="14028" max="14028" width="10.85546875" style="225" customWidth="1"/>
    <col min="14029" max="14029" width="9.140625" style="225" customWidth="1"/>
    <col min="14030" max="14030" width="8.7109375" style="225" customWidth="1"/>
    <col min="14031" max="14031" width="13.5703125" style="225" customWidth="1"/>
    <col min="14032" max="14032" width="12.28515625" style="225" customWidth="1"/>
    <col min="14033" max="14033" width="0.85546875" style="225" customWidth="1"/>
    <col min="14034" max="14034" width="14" style="225" customWidth="1"/>
    <col min="14035" max="14035" width="15.5703125" style="225" bestFit="1" customWidth="1"/>
    <col min="14036" max="14036" width="13.85546875" style="225" bestFit="1" customWidth="1"/>
    <col min="14037" max="14037" width="13.140625" style="225" bestFit="1" customWidth="1"/>
    <col min="14038" max="14038" width="9" style="225" customWidth="1"/>
    <col min="14039" max="14039" width="13.140625" style="225" bestFit="1" customWidth="1"/>
    <col min="14040" max="14040" width="8.140625" style="225"/>
    <col min="14041" max="14041" width="5.7109375" style="225" bestFit="1" customWidth="1"/>
    <col min="14042" max="14042" width="24.5703125" style="225" bestFit="1" customWidth="1"/>
    <col min="14043" max="14043" width="13.85546875" style="225" bestFit="1" customWidth="1"/>
    <col min="14044" max="14044" width="13.5703125" style="225" bestFit="1" customWidth="1"/>
    <col min="14045" max="14045" width="8.140625" style="225" customWidth="1"/>
    <col min="14046" max="14276" width="8.140625" style="225"/>
    <col min="14277" max="14277" width="5.85546875" style="225" customWidth="1"/>
    <col min="14278" max="14278" width="40.140625" style="225" customWidth="1"/>
    <col min="14279" max="14279" width="1.5703125" style="225" customWidth="1"/>
    <col min="14280" max="14280" width="9.5703125" style="225" customWidth="1"/>
    <col min="14281" max="14281" width="11.85546875" style="225" customWidth="1"/>
    <col min="14282" max="14282" width="10.42578125" style="225" customWidth="1"/>
    <col min="14283" max="14283" width="10.28515625" style="225" customWidth="1"/>
    <col min="14284" max="14284" width="10.85546875" style="225" customWidth="1"/>
    <col min="14285" max="14285" width="9.140625" style="225" customWidth="1"/>
    <col min="14286" max="14286" width="8.7109375" style="225" customWidth="1"/>
    <col min="14287" max="14287" width="13.5703125" style="225" customWidth="1"/>
    <col min="14288" max="14288" width="12.28515625" style="225" customWidth="1"/>
    <col min="14289" max="14289" width="0.85546875" style="225" customWidth="1"/>
    <col min="14290" max="14290" width="14" style="225" customWidth="1"/>
    <col min="14291" max="14291" width="15.5703125" style="225" bestFit="1" customWidth="1"/>
    <col min="14292" max="14292" width="13.85546875" style="225" bestFit="1" customWidth="1"/>
    <col min="14293" max="14293" width="13.140625" style="225" bestFit="1" customWidth="1"/>
    <col min="14294" max="14294" width="9" style="225" customWidth="1"/>
    <col min="14295" max="14295" width="13.140625" style="225" bestFit="1" customWidth="1"/>
    <col min="14296" max="14296" width="8.140625" style="225"/>
    <col min="14297" max="14297" width="5.7109375" style="225" bestFit="1" customWidth="1"/>
    <col min="14298" max="14298" width="24.5703125" style="225" bestFit="1" customWidth="1"/>
    <col min="14299" max="14299" width="13.85546875" style="225" bestFit="1" customWidth="1"/>
    <col min="14300" max="14300" width="13.5703125" style="225" bestFit="1" customWidth="1"/>
    <col min="14301" max="14301" width="8.140625" style="225" customWidth="1"/>
    <col min="14302" max="14532" width="8.140625" style="225"/>
    <col min="14533" max="14533" width="5.85546875" style="225" customWidth="1"/>
    <col min="14534" max="14534" width="40.140625" style="225" customWidth="1"/>
    <col min="14535" max="14535" width="1.5703125" style="225" customWidth="1"/>
    <col min="14536" max="14536" width="9.5703125" style="225" customWidth="1"/>
    <col min="14537" max="14537" width="11.85546875" style="225" customWidth="1"/>
    <col min="14538" max="14538" width="10.42578125" style="225" customWidth="1"/>
    <col min="14539" max="14539" width="10.28515625" style="225" customWidth="1"/>
    <col min="14540" max="14540" width="10.85546875" style="225" customWidth="1"/>
    <col min="14541" max="14541" width="9.140625" style="225" customWidth="1"/>
    <col min="14542" max="14542" width="8.7109375" style="225" customWidth="1"/>
    <col min="14543" max="14543" width="13.5703125" style="225" customWidth="1"/>
    <col min="14544" max="14544" width="12.28515625" style="225" customWidth="1"/>
    <col min="14545" max="14545" width="0.85546875" style="225" customWidth="1"/>
    <col min="14546" max="14546" width="14" style="225" customWidth="1"/>
    <col min="14547" max="14547" width="15.5703125" style="225" bestFit="1" customWidth="1"/>
    <col min="14548" max="14548" width="13.85546875" style="225" bestFit="1" customWidth="1"/>
    <col min="14549" max="14549" width="13.140625" style="225" bestFit="1" customWidth="1"/>
    <col min="14550" max="14550" width="9" style="225" customWidth="1"/>
    <col min="14551" max="14551" width="13.140625" style="225" bestFit="1" customWidth="1"/>
    <col min="14552" max="14552" width="8.140625" style="225"/>
    <col min="14553" max="14553" width="5.7109375" style="225" bestFit="1" customWidth="1"/>
    <col min="14554" max="14554" width="24.5703125" style="225" bestFit="1" customWidth="1"/>
    <col min="14555" max="14555" width="13.85546875" style="225" bestFit="1" customWidth="1"/>
    <col min="14556" max="14556" width="13.5703125" style="225" bestFit="1" customWidth="1"/>
    <col min="14557" max="14557" width="8.140625" style="225" customWidth="1"/>
    <col min="14558" max="14788" width="8.140625" style="225"/>
    <col min="14789" max="14789" width="5.85546875" style="225" customWidth="1"/>
    <col min="14790" max="14790" width="40.140625" style="225" customWidth="1"/>
    <col min="14791" max="14791" width="1.5703125" style="225" customWidth="1"/>
    <col min="14792" max="14792" width="9.5703125" style="225" customWidth="1"/>
    <col min="14793" max="14793" width="11.85546875" style="225" customWidth="1"/>
    <col min="14794" max="14794" width="10.42578125" style="225" customWidth="1"/>
    <col min="14795" max="14795" width="10.28515625" style="225" customWidth="1"/>
    <col min="14796" max="14796" width="10.85546875" style="225" customWidth="1"/>
    <col min="14797" max="14797" width="9.140625" style="225" customWidth="1"/>
    <col min="14798" max="14798" width="8.7109375" style="225" customWidth="1"/>
    <col min="14799" max="14799" width="13.5703125" style="225" customWidth="1"/>
    <col min="14800" max="14800" width="12.28515625" style="225" customWidth="1"/>
    <col min="14801" max="14801" width="0.85546875" style="225" customWidth="1"/>
    <col min="14802" max="14802" width="14" style="225" customWidth="1"/>
    <col min="14803" max="14803" width="15.5703125" style="225" bestFit="1" customWidth="1"/>
    <col min="14804" max="14804" width="13.85546875" style="225" bestFit="1" customWidth="1"/>
    <col min="14805" max="14805" width="13.140625" style="225" bestFit="1" customWidth="1"/>
    <col min="14806" max="14806" width="9" style="225" customWidth="1"/>
    <col min="14807" max="14807" width="13.140625" style="225" bestFit="1" customWidth="1"/>
    <col min="14808" max="14808" width="8.140625" style="225"/>
    <col min="14809" max="14809" width="5.7109375" style="225" bestFit="1" customWidth="1"/>
    <col min="14810" max="14810" width="24.5703125" style="225" bestFit="1" customWidth="1"/>
    <col min="14811" max="14811" width="13.85546875" style="225" bestFit="1" customWidth="1"/>
    <col min="14812" max="14812" width="13.5703125" style="225" bestFit="1" customWidth="1"/>
    <col min="14813" max="14813" width="8.140625" style="225" customWidth="1"/>
    <col min="14814" max="15044" width="8.140625" style="225"/>
    <col min="15045" max="15045" width="5.85546875" style="225" customWidth="1"/>
    <col min="15046" max="15046" width="40.140625" style="225" customWidth="1"/>
    <col min="15047" max="15047" width="1.5703125" style="225" customWidth="1"/>
    <col min="15048" max="15048" width="9.5703125" style="225" customWidth="1"/>
    <col min="15049" max="15049" width="11.85546875" style="225" customWidth="1"/>
    <col min="15050" max="15050" width="10.42578125" style="225" customWidth="1"/>
    <col min="15051" max="15051" width="10.28515625" style="225" customWidth="1"/>
    <col min="15052" max="15052" width="10.85546875" style="225" customWidth="1"/>
    <col min="15053" max="15053" width="9.140625" style="225" customWidth="1"/>
    <col min="15054" max="15054" width="8.7109375" style="225" customWidth="1"/>
    <col min="15055" max="15055" width="13.5703125" style="225" customWidth="1"/>
    <col min="15056" max="15056" width="12.28515625" style="225" customWidth="1"/>
    <col min="15057" max="15057" width="0.85546875" style="225" customWidth="1"/>
    <col min="15058" max="15058" width="14" style="225" customWidth="1"/>
    <col min="15059" max="15059" width="15.5703125" style="225" bestFit="1" customWidth="1"/>
    <col min="15060" max="15060" width="13.85546875" style="225" bestFit="1" customWidth="1"/>
    <col min="15061" max="15061" width="13.140625" style="225" bestFit="1" customWidth="1"/>
    <col min="15062" max="15062" width="9" style="225" customWidth="1"/>
    <col min="15063" max="15063" width="13.140625" style="225" bestFit="1" customWidth="1"/>
    <col min="15064" max="15064" width="8.140625" style="225"/>
    <col min="15065" max="15065" width="5.7109375" style="225" bestFit="1" customWidth="1"/>
    <col min="15066" max="15066" width="24.5703125" style="225" bestFit="1" customWidth="1"/>
    <col min="15067" max="15067" width="13.85546875" style="225" bestFit="1" customWidth="1"/>
    <col min="15068" max="15068" width="13.5703125" style="225" bestFit="1" customWidth="1"/>
    <col min="15069" max="15069" width="8.140625" style="225" customWidth="1"/>
    <col min="15070" max="15300" width="8.140625" style="225"/>
    <col min="15301" max="15301" width="5.85546875" style="225" customWidth="1"/>
    <col min="15302" max="15302" width="40.140625" style="225" customWidth="1"/>
    <col min="15303" max="15303" width="1.5703125" style="225" customWidth="1"/>
    <col min="15304" max="15304" width="9.5703125" style="225" customWidth="1"/>
    <col min="15305" max="15305" width="11.85546875" style="225" customWidth="1"/>
    <col min="15306" max="15306" width="10.42578125" style="225" customWidth="1"/>
    <col min="15307" max="15307" width="10.28515625" style="225" customWidth="1"/>
    <col min="15308" max="15308" width="10.85546875" style="225" customWidth="1"/>
    <col min="15309" max="15309" width="9.140625" style="225" customWidth="1"/>
    <col min="15310" max="15310" width="8.7109375" style="225" customWidth="1"/>
    <col min="15311" max="15311" width="13.5703125" style="225" customWidth="1"/>
    <col min="15312" max="15312" width="12.28515625" style="225" customWidth="1"/>
    <col min="15313" max="15313" width="0.85546875" style="225" customWidth="1"/>
    <col min="15314" max="15314" width="14" style="225" customWidth="1"/>
    <col min="15315" max="15315" width="15.5703125" style="225" bestFit="1" customWidth="1"/>
    <col min="15316" max="15316" width="13.85546875" style="225" bestFit="1" customWidth="1"/>
    <col min="15317" max="15317" width="13.140625" style="225" bestFit="1" customWidth="1"/>
    <col min="15318" max="15318" width="9" style="225" customWidth="1"/>
    <col min="15319" max="15319" width="13.140625" style="225" bestFit="1" customWidth="1"/>
    <col min="15320" max="15320" width="8.140625" style="225"/>
    <col min="15321" max="15321" width="5.7109375" style="225" bestFit="1" customWidth="1"/>
    <col min="15322" max="15322" width="24.5703125" style="225" bestFit="1" customWidth="1"/>
    <col min="15323" max="15323" width="13.85546875" style="225" bestFit="1" customWidth="1"/>
    <col min="15324" max="15324" width="13.5703125" style="225" bestFit="1" customWidth="1"/>
    <col min="15325" max="15325" width="8.140625" style="225" customWidth="1"/>
    <col min="15326" max="15556" width="8.140625" style="225"/>
    <col min="15557" max="15557" width="5.85546875" style="225" customWidth="1"/>
    <col min="15558" max="15558" width="40.140625" style="225" customWidth="1"/>
    <col min="15559" max="15559" width="1.5703125" style="225" customWidth="1"/>
    <col min="15560" max="15560" width="9.5703125" style="225" customWidth="1"/>
    <col min="15561" max="15561" width="11.85546875" style="225" customWidth="1"/>
    <col min="15562" max="15562" width="10.42578125" style="225" customWidth="1"/>
    <col min="15563" max="15563" width="10.28515625" style="225" customWidth="1"/>
    <col min="15564" max="15564" width="10.85546875" style="225" customWidth="1"/>
    <col min="15565" max="15565" width="9.140625" style="225" customWidth="1"/>
    <col min="15566" max="15566" width="8.7109375" style="225" customWidth="1"/>
    <col min="15567" max="15567" width="13.5703125" style="225" customWidth="1"/>
    <col min="15568" max="15568" width="12.28515625" style="225" customWidth="1"/>
    <col min="15569" max="15569" width="0.85546875" style="225" customWidth="1"/>
    <col min="15570" max="15570" width="14" style="225" customWidth="1"/>
    <col min="15571" max="15571" width="15.5703125" style="225" bestFit="1" customWidth="1"/>
    <col min="15572" max="15572" width="13.85546875" style="225" bestFit="1" customWidth="1"/>
    <col min="15573" max="15573" width="13.140625" style="225" bestFit="1" customWidth="1"/>
    <col min="15574" max="15574" width="9" style="225" customWidth="1"/>
    <col min="15575" max="15575" width="13.140625" style="225" bestFit="1" customWidth="1"/>
    <col min="15576" max="15576" width="8.140625" style="225"/>
    <col min="15577" max="15577" width="5.7109375" style="225" bestFit="1" customWidth="1"/>
    <col min="15578" max="15578" width="24.5703125" style="225" bestFit="1" customWidth="1"/>
    <col min="15579" max="15579" width="13.85546875" style="225" bestFit="1" customWidth="1"/>
    <col min="15580" max="15580" width="13.5703125" style="225" bestFit="1" customWidth="1"/>
    <col min="15581" max="15581" width="8.140625" style="225" customWidth="1"/>
    <col min="15582" max="15812" width="8.140625" style="225"/>
    <col min="15813" max="15813" width="5.85546875" style="225" customWidth="1"/>
    <col min="15814" max="15814" width="40.140625" style="225" customWidth="1"/>
    <col min="15815" max="15815" width="1.5703125" style="225" customWidth="1"/>
    <col min="15816" max="15816" width="9.5703125" style="225" customWidth="1"/>
    <col min="15817" max="15817" width="11.85546875" style="225" customWidth="1"/>
    <col min="15818" max="15818" width="10.42578125" style="225" customWidth="1"/>
    <col min="15819" max="15819" width="10.28515625" style="225" customWidth="1"/>
    <col min="15820" max="15820" width="10.85546875" style="225" customWidth="1"/>
    <col min="15821" max="15821" width="9.140625" style="225" customWidth="1"/>
    <col min="15822" max="15822" width="8.7109375" style="225" customWidth="1"/>
    <col min="15823" max="15823" width="13.5703125" style="225" customWidth="1"/>
    <col min="15824" max="15824" width="12.28515625" style="225" customWidth="1"/>
    <col min="15825" max="15825" width="0.85546875" style="225" customWidth="1"/>
    <col min="15826" max="15826" width="14" style="225" customWidth="1"/>
    <col min="15827" max="15827" width="15.5703125" style="225" bestFit="1" customWidth="1"/>
    <col min="15828" max="15828" width="13.85546875" style="225" bestFit="1" customWidth="1"/>
    <col min="15829" max="15829" width="13.140625" style="225" bestFit="1" customWidth="1"/>
    <col min="15830" max="15830" width="9" style="225" customWidth="1"/>
    <col min="15831" max="15831" width="13.140625" style="225" bestFit="1" customWidth="1"/>
    <col min="15832" max="15832" width="8.140625" style="225"/>
    <col min="15833" max="15833" width="5.7109375" style="225" bestFit="1" customWidth="1"/>
    <col min="15834" max="15834" width="24.5703125" style="225" bestFit="1" customWidth="1"/>
    <col min="15835" max="15835" width="13.85546875" style="225" bestFit="1" customWidth="1"/>
    <col min="15836" max="15836" width="13.5703125" style="225" bestFit="1" customWidth="1"/>
    <col min="15837" max="15837" width="8.140625" style="225" customWidth="1"/>
    <col min="15838" max="16068" width="8.140625" style="225"/>
    <col min="16069" max="16069" width="5.85546875" style="225" customWidth="1"/>
    <col min="16070" max="16070" width="40.140625" style="225" customWidth="1"/>
    <col min="16071" max="16071" width="1.5703125" style="225" customWidth="1"/>
    <col min="16072" max="16072" width="9.5703125" style="225" customWidth="1"/>
    <col min="16073" max="16073" width="11.85546875" style="225" customWidth="1"/>
    <col min="16074" max="16074" width="10.42578125" style="225" customWidth="1"/>
    <col min="16075" max="16075" width="10.28515625" style="225" customWidth="1"/>
    <col min="16076" max="16076" width="10.85546875" style="225" customWidth="1"/>
    <col min="16077" max="16077" width="9.140625" style="225" customWidth="1"/>
    <col min="16078" max="16078" width="8.7109375" style="225" customWidth="1"/>
    <col min="16079" max="16079" width="13.5703125" style="225" customWidth="1"/>
    <col min="16080" max="16080" width="12.28515625" style="225" customWidth="1"/>
    <col min="16081" max="16081" width="0.85546875" style="225" customWidth="1"/>
    <col min="16082" max="16082" width="14" style="225" customWidth="1"/>
    <col min="16083" max="16083" width="15.5703125" style="225" bestFit="1" customWidth="1"/>
    <col min="16084" max="16084" width="13.85546875" style="225" bestFit="1" customWidth="1"/>
    <col min="16085" max="16085" width="13.140625" style="225" bestFit="1" customWidth="1"/>
    <col min="16086" max="16086" width="9" style="225" customWidth="1"/>
    <col min="16087" max="16087" width="13.140625" style="225" bestFit="1" customWidth="1"/>
    <col min="16088" max="16088" width="8.140625" style="225"/>
    <col min="16089" max="16089" width="5.7109375" style="225" bestFit="1" customWidth="1"/>
    <col min="16090" max="16090" width="24.5703125" style="225" bestFit="1" customWidth="1"/>
    <col min="16091" max="16091" width="13.85546875" style="225" bestFit="1" customWidth="1"/>
    <col min="16092" max="16092" width="13.5703125" style="225" bestFit="1" customWidth="1"/>
    <col min="16093" max="16093" width="8.140625" style="225" customWidth="1"/>
    <col min="16094" max="16384" width="8.140625" style="225"/>
  </cols>
  <sheetData>
    <row r="1" spans="1:17" s="199" customFormat="1" hidden="1">
      <c r="A1" s="286"/>
      <c r="C1" s="287"/>
      <c r="D1" s="287"/>
      <c r="E1" s="287"/>
      <c r="F1" s="287"/>
      <c r="G1" s="287"/>
      <c r="H1" s="288"/>
      <c r="I1" s="288"/>
      <c r="J1" s="288"/>
      <c r="K1" s="289"/>
      <c r="L1" s="289"/>
      <c r="M1" s="289"/>
      <c r="N1" s="289"/>
    </row>
    <row r="2" spans="1:17" s="199" customFormat="1" hidden="1">
      <c r="A2" s="290" t="e">
        <f>+'5.1.2.1 - 5.1.7'!#REF!&amp;".1"</f>
        <v>#REF!</v>
      </c>
      <c r="B2" s="291" t="s">
        <v>1096</v>
      </c>
      <c r="G2" s="289"/>
      <c r="H2" s="289"/>
      <c r="I2" s="289"/>
      <c r="J2" s="292"/>
      <c r="K2" s="292"/>
      <c r="L2" s="292"/>
      <c r="M2" s="292"/>
      <c r="O2" s="293"/>
      <c r="Q2" s="293"/>
    </row>
    <row r="3" spans="1:17" s="199" customFormat="1" hidden="1">
      <c r="A3" s="290"/>
      <c r="B3" s="291"/>
      <c r="G3" s="289"/>
      <c r="H3" s="289"/>
      <c r="I3" s="289"/>
      <c r="J3" s="292"/>
      <c r="K3" s="292"/>
      <c r="L3" s="292"/>
      <c r="M3" s="292"/>
      <c r="O3" s="293"/>
      <c r="Q3" s="293"/>
    </row>
    <row r="4" spans="1:17" s="199" customFormat="1" ht="12" hidden="1" customHeight="1">
      <c r="A4" s="290" t="e">
        <f>+'5.1.2.1 - 5.1.7'!#REF!&amp;".2"</f>
        <v>#REF!</v>
      </c>
      <c r="B4" s="2005" t="s">
        <v>1097</v>
      </c>
      <c r="C4" s="2005"/>
      <c r="D4" s="2005"/>
      <c r="E4" s="2005"/>
      <c r="F4" s="2005"/>
      <c r="G4" s="2005"/>
      <c r="H4" s="2005"/>
      <c r="I4" s="2005"/>
      <c r="J4" s="2005"/>
      <c r="K4" s="2005"/>
      <c r="L4" s="2005"/>
      <c r="M4" s="2005"/>
      <c r="N4" s="2005"/>
      <c r="O4" s="293"/>
      <c r="Q4" s="293"/>
    </row>
    <row r="5" spans="1:17" s="199" customFormat="1" hidden="1">
      <c r="A5" s="290"/>
      <c r="B5" s="2005"/>
      <c r="C5" s="2005"/>
      <c r="D5" s="2005"/>
      <c r="E5" s="2005"/>
      <c r="F5" s="2005"/>
      <c r="G5" s="2005"/>
      <c r="H5" s="2005"/>
      <c r="I5" s="2005"/>
      <c r="J5" s="2005"/>
      <c r="K5" s="2005"/>
      <c r="L5" s="2005"/>
      <c r="M5" s="2005"/>
      <c r="N5" s="2005"/>
      <c r="O5" s="293"/>
      <c r="Q5" s="293"/>
    </row>
    <row r="6" spans="1:17" s="270" customFormat="1" hidden="1">
      <c r="A6" s="243"/>
      <c r="B6" s="2005"/>
      <c r="C6" s="2005"/>
      <c r="D6" s="2005"/>
      <c r="E6" s="2005"/>
      <c r="F6" s="2005"/>
      <c r="G6" s="2005"/>
      <c r="H6" s="2005"/>
      <c r="I6" s="2005"/>
      <c r="J6" s="2005"/>
      <c r="K6" s="2005"/>
      <c r="L6" s="2005"/>
      <c r="M6" s="2005"/>
      <c r="N6" s="2005"/>
      <c r="O6" s="271"/>
      <c r="Q6" s="272"/>
    </row>
    <row r="7" spans="1:17" s="243" customFormat="1" hidden="1">
      <c r="O7" s="271"/>
      <c r="Q7" s="271"/>
    </row>
    <row r="8" spans="1:17" s="270" customFormat="1" hidden="1">
      <c r="A8" s="268">
        <f>'5 - 5.1.2'!A1+0.1</f>
        <v>7.1999999999999993</v>
      </c>
      <c r="B8" s="269" t="s">
        <v>1098</v>
      </c>
      <c r="C8" s="294"/>
      <c r="D8" s="223"/>
      <c r="E8" s="223"/>
      <c r="F8" s="223"/>
      <c r="G8" s="223"/>
      <c r="H8" s="223"/>
      <c r="I8" s="223"/>
      <c r="J8" s="223"/>
      <c r="K8" s="223"/>
      <c r="L8" s="223"/>
      <c r="M8" s="223"/>
      <c r="N8" s="223"/>
    </row>
    <row r="9" spans="1:17" s="270" customFormat="1" hidden="1">
      <c r="A9" s="243"/>
      <c r="B9" s="223"/>
      <c r="C9" s="294"/>
      <c r="D9" s="223"/>
      <c r="E9" s="223"/>
      <c r="F9" s="223"/>
      <c r="G9" s="223"/>
      <c r="H9" s="223"/>
      <c r="I9" s="223"/>
      <c r="J9" s="223"/>
      <c r="K9" s="223"/>
      <c r="L9" s="223"/>
      <c r="M9" s="223"/>
      <c r="N9" s="223"/>
    </row>
    <row r="10" spans="1:17" s="277" customFormat="1" ht="9" hidden="1">
      <c r="A10" s="234"/>
      <c r="B10" s="1957" t="s">
        <v>971</v>
      </c>
      <c r="C10" s="1957" t="s">
        <v>1032</v>
      </c>
      <c r="D10" s="2007" t="s">
        <v>1018</v>
      </c>
      <c r="E10" s="2007"/>
      <c r="F10" s="2007"/>
      <c r="G10" s="2007"/>
      <c r="H10" s="2007"/>
      <c r="I10" s="1957" t="s">
        <v>1019</v>
      </c>
      <c r="J10" s="1957" t="s">
        <v>1020</v>
      </c>
      <c r="K10" s="1957" t="s">
        <v>1033</v>
      </c>
      <c r="L10" s="2008" t="s">
        <v>1021</v>
      </c>
      <c r="M10" s="1953" t="s">
        <v>1022</v>
      </c>
      <c r="N10" s="1939"/>
    </row>
    <row r="11" spans="1:17" s="277" customFormat="1" ht="9" hidden="1">
      <c r="A11" s="234"/>
      <c r="B11" s="1958"/>
      <c r="C11" s="1958"/>
      <c r="D11" s="1956" t="s">
        <v>1023</v>
      </c>
      <c r="E11" s="1956" t="s">
        <v>1024</v>
      </c>
      <c r="F11" s="1956" t="s">
        <v>1025</v>
      </c>
      <c r="G11" s="1956" t="s">
        <v>1026</v>
      </c>
      <c r="H11" s="1956" t="s">
        <v>1027</v>
      </c>
      <c r="I11" s="1958"/>
      <c r="J11" s="1958"/>
      <c r="K11" s="1958"/>
      <c r="L11" s="2009"/>
      <c r="M11" s="1954"/>
      <c r="N11" s="1940"/>
    </row>
    <row r="12" spans="1:17" s="277" customFormat="1" ht="9" hidden="1">
      <c r="A12" s="234"/>
      <c r="B12" s="1958"/>
      <c r="C12" s="1958"/>
      <c r="D12" s="1956"/>
      <c r="E12" s="1956"/>
      <c r="F12" s="1956"/>
      <c r="G12" s="1956"/>
      <c r="H12" s="1956"/>
      <c r="I12" s="1958"/>
      <c r="J12" s="1958"/>
      <c r="K12" s="1958"/>
      <c r="L12" s="2009"/>
      <c r="M12" s="1954"/>
      <c r="N12" s="1940"/>
    </row>
    <row r="13" spans="1:17" s="277" customFormat="1" ht="9" hidden="1">
      <c r="A13" s="234"/>
      <c r="B13" s="1958"/>
      <c r="C13" s="1958"/>
      <c r="D13" s="1956"/>
      <c r="E13" s="1956"/>
      <c r="F13" s="1956"/>
      <c r="G13" s="1956"/>
      <c r="H13" s="1956"/>
      <c r="I13" s="1958"/>
      <c r="J13" s="1958"/>
      <c r="K13" s="1958"/>
      <c r="L13" s="2009"/>
      <c r="M13" s="1954"/>
      <c r="N13" s="1940"/>
    </row>
    <row r="14" spans="1:17" s="277" customFormat="1" ht="18.75" hidden="1" customHeight="1">
      <c r="A14" s="234"/>
      <c r="B14" s="1959"/>
      <c r="C14" s="1959"/>
      <c r="D14" s="1956"/>
      <c r="E14" s="1956"/>
      <c r="F14" s="1956"/>
      <c r="G14" s="1956"/>
      <c r="H14" s="1956"/>
      <c r="I14" s="1959"/>
      <c r="J14" s="1959"/>
      <c r="K14" s="1959"/>
      <c r="L14" s="2010"/>
      <c r="M14" s="1955"/>
      <c r="N14" s="1941"/>
    </row>
    <row r="15" spans="1:17" s="277" customFormat="1" ht="21" hidden="1" customHeight="1">
      <c r="A15" s="234"/>
      <c r="B15" s="235"/>
      <c r="C15" s="295"/>
      <c r="D15" s="1937" t="s">
        <v>1028</v>
      </c>
      <c r="E15" s="1937"/>
      <c r="F15" s="1937"/>
      <c r="G15" s="1937"/>
      <c r="H15" s="1937"/>
      <c r="I15" s="1937"/>
      <c r="J15" s="1937"/>
      <c r="K15" s="1937"/>
      <c r="L15" s="236" t="s">
        <v>1029</v>
      </c>
      <c r="M15" s="236"/>
      <c r="N15" s="236" t="s">
        <v>1029</v>
      </c>
    </row>
    <row r="16" spans="1:17" s="277" customFormat="1" ht="28.5" hidden="1" customHeight="1">
      <c r="A16" s="234"/>
      <c r="B16" s="234"/>
      <c r="C16" s="251"/>
      <c r="D16" s="239"/>
      <c r="E16" s="239"/>
      <c r="F16" s="239"/>
      <c r="G16" s="234"/>
      <c r="H16" s="239"/>
      <c r="I16" s="240"/>
      <c r="J16" s="241"/>
      <c r="K16" s="241"/>
      <c r="L16" s="242"/>
      <c r="M16" s="242"/>
      <c r="N16" s="242"/>
    </row>
    <row r="17" spans="1:17" s="277" customFormat="1" ht="36.75" hidden="1" customHeight="1">
      <c r="A17" s="234"/>
      <c r="B17" s="252" t="s">
        <v>1034</v>
      </c>
      <c r="C17" s="253">
        <v>39690</v>
      </c>
      <c r="D17" s="254">
        <v>7400</v>
      </c>
      <c r="E17" s="254">
        <v>0</v>
      </c>
      <c r="F17" s="254">
        <v>0</v>
      </c>
      <c r="G17" s="254">
        <v>7400</v>
      </c>
      <c r="H17" s="598">
        <f>D17+E17-F17-G17</f>
        <v>0</v>
      </c>
      <c r="I17" s="596">
        <f>7858012/1000*0</f>
        <v>0</v>
      </c>
      <c r="J17" s="596">
        <f>'Lead - 2020'!K65</f>
        <v>0</v>
      </c>
      <c r="K17" s="596">
        <f>J17-I17</f>
        <v>0</v>
      </c>
      <c r="L17" s="231">
        <f>ROUND(J17/SOAL!$F$31,4)</f>
        <v>0</v>
      </c>
      <c r="M17" s="296"/>
      <c r="N17" s="231">
        <f>ROUND(J17/SOAL!$F$12,4)</f>
        <v>0</v>
      </c>
      <c r="O17" s="281">
        <v>38</v>
      </c>
      <c r="P17" s="281">
        <v>7424</v>
      </c>
      <c r="Q17" s="277" t="s">
        <v>1099</v>
      </c>
    </row>
    <row r="18" spans="1:17" s="277" customFormat="1" ht="29.25" hidden="1" customHeight="1" thickBot="1">
      <c r="A18" s="234"/>
      <c r="B18" s="256" t="str">
        <f>+'5 - 5.1.2'!B36</f>
        <v>Total as at September 30, 2021</v>
      </c>
      <c r="C18" s="257"/>
      <c r="D18" s="252"/>
      <c r="E18" s="258"/>
      <c r="F18" s="252"/>
      <c r="G18" s="258"/>
      <c r="H18" s="258"/>
      <c r="I18" s="597">
        <f>SUM(I17:I17)</f>
        <v>0</v>
      </c>
      <c r="J18" s="597">
        <f>SUM(J17:J17)</f>
        <v>0</v>
      </c>
      <c r="K18" s="597">
        <f>SUM(K17:K17)</f>
        <v>0</v>
      </c>
      <c r="L18" s="279">
        <f>L17</f>
        <v>0</v>
      </c>
      <c r="M18" s="297"/>
      <c r="N18" s="279">
        <f>N17</f>
        <v>0</v>
      </c>
    </row>
    <row r="19" spans="1:17" s="277" customFormat="1" ht="77.25" hidden="1" customHeight="1" thickTop="1">
      <c r="A19" s="234"/>
      <c r="B19" s="259"/>
      <c r="C19" s="257"/>
      <c r="D19" s="254"/>
      <c r="E19" s="258"/>
      <c r="F19" s="252"/>
      <c r="G19" s="258"/>
      <c r="H19" s="258"/>
      <c r="I19" s="260"/>
      <c r="J19" s="260"/>
      <c r="K19" s="260"/>
      <c r="L19" s="252"/>
      <c r="M19" s="226"/>
      <c r="N19" s="252"/>
    </row>
    <row r="20" spans="1:17" s="277" customFormat="1" ht="43.5" hidden="1" customHeight="1" thickBot="1">
      <c r="A20" s="234"/>
      <c r="B20" s="256" t="str">
        <f>+'5 - 5.1.2'!B38</f>
        <v>Total as at June 30, 2021</v>
      </c>
      <c r="C20" s="257"/>
      <c r="D20" s="252"/>
      <c r="E20" s="258"/>
      <c r="F20" s="252"/>
      <c r="G20" s="258"/>
      <c r="H20" s="258"/>
      <c r="I20" s="261">
        <v>7424</v>
      </c>
      <c r="J20" s="261">
        <v>7462</v>
      </c>
      <c r="K20" s="261">
        <v>38</v>
      </c>
      <c r="L20" s="298">
        <v>4.8999999999999998E-3</v>
      </c>
      <c r="M20" s="299"/>
      <c r="N20" s="298">
        <v>1.29E-2</v>
      </c>
      <c r="O20" s="300">
        <f>I20</f>
        <v>7424</v>
      </c>
    </row>
    <row r="21" spans="1:17" s="270" customFormat="1" ht="53.25" hidden="1" customHeight="1" thickTop="1">
      <c r="A21" s="243"/>
      <c r="B21" s="301"/>
      <c r="C21" s="302"/>
      <c r="D21" s="243"/>
      <c r="E21" s="244"/>
      <c r="F21" s="243"/>
      <c r="G21" s="244"/>
      <c r="H21" s="244"/>
      <c r="I21" s="303"/>
      <c r="J21" s="303"/>
      <c r="K21" s="303"/>
      <c r="L21" s="304"/>
      <c r="M21" s="304"/>
      <c r="N21" s="304"/>
      <c r="O21" s="270" t="e">
        <f>#REF!</f>
        <v>#REF!</v>
      </c>
    </row>
    <row r="22" spans="1:17" s="270" customFormat="1" ht="33" hidden="1" customHeight="1">
      <c r="A22" s="268" t="str">
        <f>+$A$8&amp;".1"</f>
        <v>7.2.1</v>
      </c>
      <c r="B22" s="2006" t="s">
        <v>1100</v>
      </c>
      <c r="C22" s="2006"/>
      <c r="D22" s="2006"/>
      <c r="E22" s="2006"/>
      <c r="F22" s="2006"/>
      <c r="G22" s="2006"/>
      <c r="H22" s="2006"/>
      <c r="I22" s="2006"/>
      <c r="J22" s="2006"/>
      <c r="K22" s="2006"/>
      <c r="L22" s="2006"/>
      <c r="M22" s="2006"/>
      <c r="N22" s="2006"/>
      <c r="O22" s="305" t="e">
        <f>O20-O21</f>
        <v>#REF!</v>
      </c>
    </row>
    <row r="23" spans="1:17" s="270" customFormat="1" ht="30" hidden="1" customHeight="1">
      <c r="A23" s="243"/>
      <c r="B23" s="2006"/>
      <c r="C23" s="2006"/>
      <c r="D23" s="2006"/>
      <c r="E23" s="2006"/>
      <c r="F23" s="2006"/>
      <c r="G23" s="2006"/>
      <c r="H23" s="2006"/>
      <c r="I23" s="2006"/>
      <c r="J23" s="2006"/>
      <c r="K23" s="2006"/>
      <c r="L23" s="2006"/>
      <c r="M23" s="2006"/>
      <c r="N23" s="2006"/>
    </row>
    <row r="24" spans="1:17" s="270" customFormat="1" ht="48.75" hidden="1" customHeight="1">
      <c r="A24" s="243"/>
      <c r="B24" s="2006"/>
      <c r="C24" s="2006"/>
      <c r="D24" s="2006"/>
      <c r="E24" s="2006"/>
      <c r="F24" s="2006"/>
      <c r="G24" s="2006"/>
      <c r="H24" s="2006"/>
      <c r="I24" s="2006"/>
      <c r="J24" s="2006"/>
      <c r="K24" s="2006"/>
      <c r="L24" s="2006"/>
      <c r="M24" s="2006"/>
      <c r="N24" s="2006"/>
    </row>
    <row r="25" spans="1:17" s="270" customFormat="1"/>
    <row r="26" spans="1:17" s="306" customFormat="1" ht="12.95" customHeight="1"/>
    <row r="27" spans="1:17" s="306" customFormat="1" ht="12.95" customHeight="1"/>
    <row r="28" spans="1:17" s="306" customFormat="1" ht="12.95" customHeight="1"/>
    <row r="29" spans="1:17" s="306" customFormat="1" ht="12.95" customHeight="1"/>
    <row r="30" spans="1:17" s="306" customFormat="1" ht="12.95" customHeight="1"/>
    <row r="31" spans="1:17" s="306" customFormat="1" ht="12.95" customHeight="1"/>
    <row r="32" spans="1:17" s="306" customFormat="1" ht="12.95" customHeight="1"/>
    <row r="33" spans="15:18" s="306" customFormat="1" ht="12.95" customHeight="1"/>
    <row r="34" spans="15:18" s="306" customFormat="1" ht="12.95" customHeight="1"/>
    <row r="35" spans="15:18" s="306" customFormat="1" ht="12.95" customHeight="1"/>
    <row r="36" spans="15:18" s="306" customFormat="1" ht="12.95" hidden="1" customHeight="1"/>
    <row r="37" spans="15:18" s="306" customFormat="1" ht="12.95" hidden="1" customHeight="1"/>
    <row r="38" spans="15:18" s="306" customFormat="1" ht="12.95" hidden="1" customHeight="1"/>
    <row r="39" spans="15:18" s="306" customFormat="1" ht="12.95" hidden="1" customHeight="1"/>
    <row r="40" spans="15:18" s="306" customFormat="1" ht="12.95" hidden="1" customHeight="1">
      <c r="O40" s="306" t="e">
        <f>'5.2 - 25'!J8-'5.2 - 25'!J16</f>
        <v>#REF!</v>
      </c>
    </row>
    <row r="41" spans="15:18" s="306" customFormat="1" ht="12.95" hidden="1" customHeight="1"/>
    <row r="42" spans="15:18" s="306" customFormat="1" ht="12.95" hidden="1" customHeight="1"/>
    <row r="43" spans="15:18" s="306" customFormat="1" ht="12.95" hidden="1" customHeight="1">
      <c r="R43" s="306" t="s">
        <v>1105</v>
      </c>
    </row>
    <row r="44" spans="15:18" s="306" customFormat="1" ht="12.95" hidden="1" customHeight="1" thickBot="1">
      <c r="P44" s="306">
        <f>P45+P46</f>
        <v>217</v>
      </c>
    </row>
    <row r="45" spans="15:18" s="306" customFormat="1" ht="9">
      <c r="P45" s="306">
        <f>'5.2 - 25'!J19</f>
        <v>0</v>
      </c>
    </row>
    <row r="46" spans="15:18" s="306" customFormat="1" ht="12" hidden="1" customHeight="1">
      <c r="P46" s="306">
        <v>217</v>
      </c>
      <c r="R46" s="306" t="s">
        <v>1106</v>
      </c>
    </row>
    <row r="47" spans="15:18" s="306" customFormat="1" ht="12" hidden="1" customHeight="1"/>
    <row r="48" spans="15:18" s="306" customFormat="1" ht="12" customHeight="1"/>
    <row r="49" s="306" customFormat="1" ht="12" customHeight="1"/>
    <row r="50" s="306" customFormat="1" ht="12" customHeight="1"/>
    <row r="51" s="306" customFormat="1" ht="12" customHeight="1"/>
    <row r="52" s="306" customFormat="1" ht="12" customHeight="1"/>
    <row r="53" s="306" customFormat="1" ht="12" customHeight="1"/>
    <row r="54" s="306" customFormat="1" ht="12" customHeight="1"/>
    <row r="55" s="306" customFormat="1" ht="9"/>
    <row r="56" s="306" customFormat="1" ht="9"/>
    <row r="57" s="306" customFormat="1" ht="9"/>
    <row r="58" s="306" customFormat="1" ht="9"/>
    <row r="59" s="306" customFormat="1" ht="9"/>
    <row r="60" s="306" customFormat="1" ht="9"/>
    <row r="61" s="308" customFormat="1" ht="9.75"/>
    <row r="62" s="308" customFormat="1" ht="9.75"/>
    <row r="63" s="308" customFormat="1" ht="9.75"/>
    <row r="64" s="306" customFormat="1" ht="9"/>
    <row r="65" spans="16:19" s="306" customFormat="1" ht="9"/>
    <row r="68" spans="16:19">
      <c r="P68" s="709">
        <v>2019</v>
      </c>
      <c r="R68" s="709">
        <v>2019</v>
      </c>
    </row>
    <row r="69" spans="16:19">
      <c r="P69" s="623" t="s">
        <v>1352</v>
      </c>
      <c r="R69" s="623" t="s">
        <v>1352</v>
      </c>
    </row>
    <row r="70" spans="16:19">
      <c r="P70" s="706">
        <f>-SUM('Lead - 2020'!K245:K248)</f>
        <v>13008.9717</v>
      </c>
      <c r="R70" s="706">
        <f>-SUM('Lead - 2020'!M245:M248)</f>
        <v>58972</v>
      </c>
    </row>
    <row r="71" spans="16:19">
      <c r="P71" s="225" t="s">
        <v>1048</v>
      </c>
      <c r="Q71" s="225" t="s">
        <v>1351</v>
      </c>
      <c r="R71" s="225" t="s">
        <v>1048</v>
      </c>
      <c r="S71" s="225" t="s">
        <v>1351</v>
      </c>
    </row>
    <row r="72" spans="16:19">
      <c r="P72" s="705">
        <v>36714</v>
      </c>
      <c r="Q72" s="705">
        <f>P70-P72</f>
        <v>-23705.028299999998</v>
      </c>
      <c r="R72" s="705">
        <v>16711</v>
      </c>
      <c r="S72" s="705">
        <f>R70-R72</f>
        <v>42261</v>
      </c>
    </row>
    <row r="75" spans="16:19" hidden="1"/>
    <row r="76" spans="16:19" hidden="1"/>
    <row r="77" spans="16:19" hidden="1"/>
    <row r="90" spans="1:20" s="255" customFormat="1" ht="9">
      <c r="A90" s="309"/>
      <c r="B90" s="310"/>
      <c r="C90" s="311"/>
      <c r="D90" s="311"/>
      <c r="E90" s="311"/>
      <c r="F90" s="311"/>
      <c r="G90" s="311"/>
      <c r="H90" s="311"/>
      <c r="I90" s="311"/>
      <c r="J90" s="312"/>
      <c r="K90" s="312"/>
      <c r="L90" s="313"/>
      <c r="M90" s="313"/>
      <c r="N90" s="313"/>
      <c r="O90" s="313"/>
      <c r="P90" s="313"/>
      <c r="Q90" s="313"/>
      <c r="R90" s="314"/>
      <c r="S90" s="315"/>
      <c r="T90" s="314"/>
    </row>
  </sheetData>
  <mergeCells count="16">
    <mergeCell ref="D15:K15"/>
    <mergeCell ref="B4:N6"/>
    <mergeCell ref="B22:N24"/>
    <mergeCell ref="B10:B14"/>
    <mergeCell ref="C10:C14"/>
    <mergeCell ref="D10:H10"/>
    <mergeCell ref="I10:I14"/>
    <mergeCell ref="J10:J14"/>
    <mergeCell ref="K10:K14"/>
    <mergeCell ref="L10:L14"/>
    <mergeCell ref="M10:N14"/>
    <mergeCell ref="D11:D14"/>
    <mergeCell ref="E11:E14"/>
    <mergeCell ref="F11:F14"/>
    <mergeCell ref="G11:G14"/>
    <mergeCell ref="H11:H14"/>
  </mergeCells>
  <printOptions horizontalCentered="1"/>
  <pageMargins left="0.6" right="0.35" top="0.7" bottom="0.4" header="0.45" footer="0.5"/>
  <pageSetup scale="91" firstPageNumber="11" orientation="portrait" useFirstPageNumber="1"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WTV301"/>
  <sheetViews>
    <sheetView showGridLines="0" view="pageBreakPreview" topLeftCell="A106" zoomScaleNormal="85" zoomScaleSheetLayoutView="100" workbookViewId="0">
      <selection activeCell="N3" sqref="N1:XFD1048576"/>
    </sheetView>
  </sheetViews>
  <sheetFormatPr defaultColWidth="0" defaultRowHeight="12"/>
  <cols>
    <col min="1" max="1" width="5.85546875" style="223" customWidth="1"/>
    <col min="2" max="2" width="37.42578125" style="1580" customWidth="1"/>
    <col min="3" max="3" width="11.28515625" style="1579" bestFit="1" customWidth="1"/>
    <col min="4" max="4" width="11.28515625" style="1580" bestFit="1" customWidth="1"/>
    <col min="5" max="5" width="10.140625" style="1580" bestFit="1" customWidth="1"/>
    <col min="6" max="6" width="11.28515625" style="1580" bestFit="1" customWidth="1"/>
    <col min="7" max="7" width="11.7109375" style="1579" bestFit="1" customWidth="1"/>
    <col min="8" max="8" width="11" style="1544" customWidth="1"/>
    <col min="9" max="9" width="11.5703125" style="1544" customWidth="1"/>
    <col min="10" max="10" width="8.7109375" style="1544" customWidth="1"/>
    <col min="11" max="12" width="8.7109375" style="223" customWidth="1"/>
    <col min="13" max="13" width="11.5703125" style="223" bestFit="1" customWidth="1"/>
    <col min="14" max="14" width="9.5703125" style="223" hidden="1"/>
    <col min="15" max="15" width="8.5703125" style="223" hidden="1"/>
    <col min="16" max="16" width="13.42578125" style="223" hidden="1"/>
    <col min="17" max="17" width="10" style="223" hidden="1"/>
    <col min="18" max="194" width="8.140625" style="223" hidden="1"/>
    <col min="195" max="195" width="5.85546875" style="223" hidden="1"/>
    <col min="196" max="196" width="40.140625" style="223" hidden="1"/>
    <col min="197" max="197" width="1.5703125" style="223" hidden="1"/>
    <col min="198" max="198" width="9.5703125" style="223" hidden="1"/>
    <col min="199" max="199" width="11.85546875" style="223" hidden="1"/>
    <col min="200" max="200" width="10.42578125" style="223" hidden="1"/>
    <col min="201" max="201" width="10.28515625" style="223" hidden="1"/>
    <col min="202" max="202" width="10.85546875" style="223" hidden="1"/>
    <col min="203" max="203" width="9.140625" style="223" hidden="1"/>
    <col min="204" max="204" width="8.7109375" style="223" hidden="1"/>
    <col min="205" max="205" width="13.5703125" style="223" hidden="1"/>
    <col min="206" max="206" width="12.28515625" style="223" hidden="1"/>
    <col min="207" max="207" width="0.85546875" style="223" hidden="1"/>
    <col min="208" max="208" width="14" style="223" hidden="1"/>
    <col min="209" max="209" width="15.5703125" style="223" hidden="1"/>
    <col min="210" max="210" width="13.85546875" style="223" hidden="1"/>
    <col min="211" max="211" width="13.140625" style="223" hidden="1"/>
    <col min="212" max="212" width="9" style="223" hidden="1"/>
    <col min="213" max="213" width="13.140625" style="223" hidden="1"/>
    <col min="214" max="214" width="8.140625" style="223" hidden="1"/>
    <col min="215" max="215" width="5.7109375" style="223" hidden="1"/>
    <col min="216" max="216" width="24.5703125" style="223" hidden="1"/>
    <col min="217" max="217" width="13.85546875" style="223" hidden="1"/>
    <col min="218" max="218" width="13.5703125" style="223" hidden="1"/>
    <col min="219" max="450" width="8.140625" style="223" hidden="1"/>
    <col min="451" max="451" width="5.85546875" style="223" hidden="1"/>
    <col min="452" max="452" width="40.140625" style="223" hidden="1"/>
    <col min="453" max="453" width="1.5703125" style="223" hidden="1"/>
    <col min="454" max="454" width="9.5703125" style="223" hidden="1"/>
    <col min="455" max="455" width="11.85546875" style="223" hidden="1"/>
    <col min="456" max="456" width="10.42578125" style="223" hidden="1"/>
    <col min="457" max="457" width="10.28515625" style="223" hidden="1"/>
    <col min="458" max="458" width="10.85546875" style="223" hidden="1"/>
    <col min="459" max="459" width="9.140625" style="223" hidden="1"/>
    <col min="460" max="460" width="8.7109375" style="223" hidden="1"/>
    <col min="461" max="461" width="13.5703125" style="223" hidden="1"/>
    <col min="462" max="462" width="12.28515625" style="223" hidden="1"/>
    <col min="463" max="463" width="0.85546875" style="223" hidden="1"/>
    <col min="464" max="464" width="14" style="223" hidden="1"/>
    <col min="465" max="465" width="15.5703125" style="223" hidden="1"/>
    <col min="466" max="466" width="13.85546875" style="223" hidden="1"/>
    <col min="467" max="467" width="13.140625" style="223" hidden="1"/>
    <col min="468" max="468" width="9" style="223" hidden="1"/>
    <col min="469" max="469" width="13.140625" style="223" hidden="1"/>
    <col min="470" max="470" width="8.140625" style="223" hidden="1"/>
    <col min="471" max="471" width="5.7109375" style="223" hidden="1"/>
    <col min="472" max="472" width="24.5703125" style="223" hidden="1"/>
    <col min="473" max="473" width="13.85546875" style="223" hidden="1"/>
    <col min="474" max="474" width="13.5703125" style="223" hidden="1"/>
    <col min="475" max="706" width="8.140625" style="223" hidden="1"/>
    <col min="707" max="707" width="5.85546875" style="223" hidden="1"/>
    <col min="708" max="708" width="40.140625" style="223" hidden="1"/>
    <col min="709" max="709" width="1.5703125" style="223" hidden="1"/>
    <col min="710" max="710" width="9.5703125" style="223" hidden="1"/>
    <col min="711" max="711" width="11.85546875" style="223" hidden="1"/>
    <col min="712" max="712" width="10.42578125" style="223" hidden="1"/>
    <col min="713" max="713" width="10.28515625" style="223" hidden="1"/>
    <col min="714" max="714" width="10.85546875" style="223" hidden="1"/>
    <col min="715" max="715" width="9.140625" style="223" hidden="1"/>
    <col min="716" max="716" width="8.7109375" style="223" hidden="1"/>
    <col min="717" max="717" width="13.5703125" style="223" hidden="1"/>
    <col min="718" max="718" width="12.28515625" style="223" hidden="1"/>
    <col min="719" max="719" width="0.85546875" style="223" hidden="1"/>
    <col min="720" max="720" width="14" style="223" hidden="1"/>
    <col min="721" max="721" width="15.5703125" style="223" hidden="1"/>
    <col min="722" max="722" width="13.85546875" style="223" hidden="1"/>
    <col min="723" max="723" width="13.140625" style="223" hidden="1"/>
    <col min="724" max="724" width="9" style="223" hidden="1"/>
    <col min="725" max="725" width="13.140625" style="223" hidden="1"/>
    <col min="726" max="726" width="8.140625" style="223" hidden="1"/>
    <col min="727" max="727" width="5.7109375" style="223" hidden="1"/>
    <col min="728" max="728" width="24.5703125" style="223" hidden="1"/>
    <col min="729" max="729" width="13.85546875" style="223" hidden="1"/>
    <col min="730" max="730" width="13.5703125" style="223" hidden="1"/>
    <col min="731" max="962" width="8.140625" style="223" hidden="1"/>
    <col min="963" max="963" width="5.85546875" style="223" hidden="1"/>
    <col min="964" max="964" width="40.140625" style="223" hidden="1"/>
    <col min="965" max="965" width="1.5703125" style="223" hidden="1"/>
    <col min="966" max="966" width="9.5703125" style="223" hidden="1"/>
    <col min="967" max="967" width="11.85546875" style="223" hidden="1"/>
    <col min="968" max="968" width="10.42578125" style="223" hidden="1"/>
    <col min="969" max="969" width="10.28515625" style="223" hidden="1"/>
    <col min="970" max="970" width="10.85546875" style="223" hidden="1"/>
    <col min="971" max="971" width="9.140625" style="223" hidden="1"/>
    <col min="972" max="972" width="8.7109375" style="223" hidden="1"/>
    <col min="973" max="973" width="13.5703125" style="223" hidden="1"/>
    <col min="974" max="974" width="12.28515625" style="223" hidden="1"/>
    <col min="975" max="975" width="0.85546875" style="223" hidden="1"/>
    <col min="976" max="976" width="14" style="223" hidden="1"/>
    <col min="977" max="977" width="15.5703125" style="223" hidden="1"/>
    <col min="978" max="978" width="13.85546875" style="223" hidden="1"/>
    <col min="979" max="979" width="13.140625" style="223" hidden="1"/>
    <col min="980" max="980" width="9" style="223" hidden="1"/>
    <col min="981" max="981" width="13.140625" style="223" hidden="1"/>
    <col min="982" max="982" width="8.140625" style="223" hidden="1"/>
    <col min="983" max="983" width="5.7109375" style="223" hidden="1"/>
    <col min="984" max="984" width="24.5703125" style="223" hidden="1"/>
    <col min="985" max="985" width="13.85546875" style="223" hidden="1"/>
    <col min="986" max="986" width="13.5703125" style="223" hidden="1"/>
    <col min="987" max="1218" width="8.140625" style="223" hidden="1"/>
    <col min="1219" max="1219" width="5.85546875" style="223" hidden="1"/>
    <col min="1220" max="1220" width="40.140625" style="223" hidden="1"/>
    <col min="1221" max="1221" width="1.5703125" style="223" hidden="1"/>
    <col min="1222" max="1222" width="9.5703125" style="223" hidden="1"/>
    <col min="1223" max="1223" width="11.85546875" style="223" hidden="1"/>
    <col min="1224" max="1224" width="10.42578125" style="223" hidden="1"/>
    <col min="1225" max="1225" width="10.28515625" style="223" hidden="1"/>
    <col min="1226" max="1226" width="10.85546875" style="223" hidden="1"/>
    <col min="1227" max="1227" width="9.140625" style="223" hidden="1"/>
    <col min="1228" max="1228" width="8.7109375" style="223" hidden="1"/>
    <col min="1229" max="1229" width="13.5703125" style="223" hidden="1"/>
    <col min="1230" max="1230" width="12.28515625" style="223" hidden="1"/>
    <col min="1231" max="1231" width="0.85546875" style="223" hidden="1"/>
    <col min="1232" max="1232" width="14" style="223" hidden="1"/>
    <col min="1233" max="1233" width="15.5703125" style="223" hidden="1"/>
    <col min="1234" max="1234" width="13.85546875" style="223" hidden="1"/>
    <col min="1235" max="1235" width="13.140625" style="223" hidden="1"/>
    <col min="1236" max="1236" width="9" style="223" hidden="1"/>
    <col min="1237" max="1237" width="13.140625" style="223" hidden="1"/>
    <col min="1238" max="1238" width="8.140625" style="223" hidden="1"/>
    <col min="1239" max="1239" width="5.7109375" style="223" hidden="1"/>
    <col min="1240" max="1240" width="24.5703125" style="223" hidden="1"/>
    <col min="1241" max="1241" width="13.85546875" style="223" hidden="1"/>
    <col min="1242" max="1242" width="13.5703125" style="223" hidden="1"/>
    <col min="1243" max="1474" width="8.140625" style="223" hidden="1"/>
    <col min="1475" max="1475" width="5.85546875" style="223" hidden="1"/>
    <col min="1476" max="1476" width="40.140625" style="223" hidden="1"/>
    <col min="1477" max="1477" width="1.5703125" style="223" hidden="1"/>
    <col min="1478" max="1478" width="9.5703125" style="223" hidden="1"/>
    <col min="1479" max="1479" width="11.85546875" style="223" hidden="1"/>
    <col min="1480" max="1480" width="10.42578125" style="223" hidden="1"/>
    <col min="1481" max="1481" width="10.28515625" style="223" hidden="1"/>
    <col min="1482" max="1482" width="10.85546875" style="223" hidden="1"/>
    <col min="1483" max="1483" width="9.140625" style="223" hidden="1"/>
    <col min="1484" max="1484" width="8.7109375" style="223" hidden="1"/>
    <col min="1485" max="1485" width="13.5703125" style="223" hidden="1"/>
    <col min="1486" max="1486" width="12.28515625" style="223" hidden="1"/>
    <col min="1487" max="1487" width="0.85546875" style="223" hidden="1"/>
    <col min="1488" max="1488" width="14" style="223" hidden="1"/>
    <col min="1489" max="1489" width="15.5703125" style="223" hidden="1"/>
    <col min="1490" max="1490" width="13.85546875" style="223" hidden="1"/>
    <col min="1491" max="1491" width="13.140625" style="223" hidden="1"/>
    <col min="1492" max="1492" width="9" style="223" hidden="1"/>
    <col min="1493" max="1493" width="13.140625" style="223" hidden="1"/>
    <col min="1494" max="1494" width="8.140625" style="223" hidden="1"/>
    <col min="1495" max="1495" width="5.7109375" style="223" hidden="1"/>
    <col min="1496" max="1496" width="24.5703125" style="223" hidden="1"/>
    <col min="1497" max="1497" width="13.85546875" style="223" hidden="1"/>
    <col min="1498" max="1498" width="13.5703125" style="223" hidden="1"/>
    <col min="1499" max="1730" width="8.140625" style="223" hidden="1"/>
    <col min="1731" max="1731" width="5.85546875" style="223" hidden="1"/>
    <col min="1732" max="1732" width="40.140625" style="223" hidden="1"/>
    <col min="1733" max="1733" width="1.5703125" style="223" hidden="1"/>
    <col min="1734" max="1734" width="9.5703125" style="223" hidden="1"/>
    <col min="1735" max="1735" width="11.85546875" style="223" hidden="1"/>
    <col min="1736" max="1736" width="10.42578125" style="223" hidden="1"/>
    <col min="1737" max="1737" width="10.28515625" style="223" hidden="1"/>
    <col min="1738" max="1738" width="10.85546875" style="223" hidden="1"/>
    <col min="1739" max="1739" width="9.140625" style="223" hidden="1"/>
    <col min="1740" max="1740" width="8.7109375" style="223" hidden="1"/>
    <col min="1741" max="1741" width="13.5703125" style="223" hidden="1"/>
    <col min="1742" max="1742" width="12.28515625" style="223" hidden="1"/>
    <col min="1743" max="1743" width="0.85546875" style="223" hidden="1"/>
    <col min="1744" max="1744" width="14" style="223" hidden="1"/>
    <col min="1745" max="1745" width="15.5703125" style="223" hidden="1"/>
    <col min="1746" max="1746" width="13.85546875" style="223" hidden="1"/>
    <col min="1747" max="1747" width="13.140625" style="223" hidden="1"/>
    <col min="1748" max="1748" width="9" style="223" hidden="1"/>
    <col min="1749" max="1749" width="13.140625" style="223" hidden="1"/>
    <col min="1750" max="1750" width="8.140625" style="223" hidden="1"/>
    <col min="1751" max="1751" width="5.7109375" style="223" hidden="1"/>
    <col min="1752" max="1752" width="24.5703125" style="223" hidden="1"/>
    <col min="1753" max="1753" width="13.85546875" style="223" hidden="1"/>
    <col min="1754" max="1754" width="13.5703125" style="223" hidden="1"/>
    <col min="1755" max="1986" width="8.140625" style="223" hidden="1"/>
    <col min="1987" max="1987" width="5.85546875" style="223" hidden="1"/>
    <col min="1988" max="1988" width="40.140625" style="223" hidden="1"/>
    <col min="1989" max="1989" width="1.5703125" style="223" hidden="1"/>
    <col min="1990" max="1990" width="9.5703125" style="223" hidden="1"/>
    <col min="1991" max="1991" width="11.85546875" style="223" hidden="1"/>
    <col min="1992" max="1992" width="10.42578125" style="223" hidden="1"/>
    <col min="1993" max="1993" width="10.28515625" style="223" hidden="1"/>
    <col min="1994" max="1994" width="10.85546875" style="223" hidden="1"/>
    <col min="1995" max="1995" width="9.140625" style="223" hidden="1"/>
    <col min="1996" max="1996" width="8.7109375" style="223" hidden="1"/>
    <col min="1997" max="1997" width="13.5703125" style="223" hidden="1"/>
    <col min="1998" max="1998" width="12.28515625" style="223" hidden="1"/>
    <col min="1999" max="1999" width="0.85546875" style="223" hidden="1"/>
    <col min="2000" max="2000" width="14" style="223" hidden="1"/>
    <col min="2001" max="2001" width="15.5703125" style="223" hidden="1"/>
    <col min="2002" max="2002" width="13.85546875" style="223" hidden="1"/>
    <col min="2003" max="2003" width="13.140625" style="223" hidden="1"/>
    <col min="2004" max="2004" width="9" style="223" hidden="1"/>
    <col min="2005" max="2005" width="13.140625" style="223" hidden="1"/>
    <col min="2006" max="2006" width="8.140625" style="223" hidden="1"/>
    <col min="2007" max="2007" width="5.7109375" style="223" hidden="1"/>
    <col min="2008" max="2008" width="24.5703125" style="223" hidden="1"/>
    <col min="2009" max="2009" width="13.85546875" style="223" hidden="1"/>
    <col min="2010" max="2010" width="13.5703125" style="223" hidden="1"/>
    <col min="2011" max="2242" width="8.140625" style="223" hidden="1"/>
    <col min="2243" max="2243" width="5.85546875" style="223" hidden="1"/>
    <col min="2244" max="2244" width="40.140625" style="223" hidden="1"/>
    <col min="2245" max="2245" width="1.5703125" style="223" hidden="1"/>
    <col min="2246" max="2246" width="9.5703125" style="223" hidden="1"/>
    <col min="2247" max="2247" width="11.85546875" style="223" hidden="1"/>
    <col min="2248" max="2248" width="10.42578125" style="223" hidden="1"/>
    <col min="2249" max="2249" width="10.28515625" style="223" hidden="1"/>
    <col min="2250" max="2250" width="10.85546875" style="223" hidden="1"/>
    <col min="2251" max="2251" width="9.140625" style="223" hidden="1"/>
    <col min="2252" max="2252" width="8.7109375" style="223" hidden="1"/>
    <col min="2253" max="2253" width="13.5703125" style="223" hidden="1"/>
    <col min="2254" max="2254" width="12.28515625" style="223" hidden="1"/>
    <col min="2255" max="2255" width="0.85546875" style="223" hidden="1"/>
    <col min="2256" max="2256" width="14" style="223" hidden="1"/>
    <col min="2257" max="2257" width="15.5703125" style="223" hidden="1"/>
    <col min="2258" max="2258" width="13.85546875" style="223" hidden="1"/>
    <col min="2259" max="2259" width="13.140625" style="223" hidden="1"/>
    <col min="2260" max="2260" width="9" style="223" hidden="1"/>
    <col min="2261" max="2261" width="13.140625" style="223" hidden="1"/>
    <col min="2262" max="2262" width="8.140625" style="223" hidden="1"/>
    <col min="2263" max="2263" width="5.7109375" style="223" hidden="1"/>
    <col min="2264" max="2264" width="24.5703125" style="223" hidden="1"/>
    <col min="2265" max="2265" width="13.85546875" style="223" hidden="1"/>
    <col min="2266" max="2266" width="13.5703125" style="223" hidden="1"/>
    <col min="2267" max="2498" width="8.140625" style="223" hidden="1"/>
    <col min="2499" max="2499" width="5.85546875" style="223" hidden="1"/>
    <col min="2500" max="2500" width="40.140625" style="223" hidden="1"/>
    <col min="2501" max="2501" width="1.5703125" style="223" hidden="1"/>
    <col min="2502" max="2502" width="9.5703125" style="223" hidden="1"/>
    <col min="2503" max="2503" width="11.85546875" style="223" hidden="1"/>
    <col min="2504" max="2504" width="10.42578125" style="223" hidden="1"/>
    <col min="2505" max="2505" width="10.28515625" style="223" hidden="1"/>
    <col min="2506" max="2506" width="10.85546875" style="223" hidden="1"/>
    <col min="2507" max="2507" width="9.140625" style="223" hidden="1"/>
    <col min="2508" max="2508" width="8.7109375" style="223" hidden="1"/>
    <col min="2509" max="2509" width="13.5703125" style="223" hidden="1"/>
    <col min="2510" max="2510" width="12.28515625" style="223" hidden="1"/>
    <col min="2511" max="2511" width="0.85546875" style="223" hidden="1"/>
    <col min="2512" max="2512" width="14" style="223" hidden="1"/>
    <col min="2513" max="2513" width="15.5703125" style="223" hidden="1"/>
    <col min="2514" max="2514" width="13.85546875" style="223" hidden="1"/>
    <col min="2515" max="2515" width="13.140625" style="223" hidden="1"/>
    <col min="2516" max="2516" width="9" style="223" hidden="1"/>
    <col min="2517" max="2517" width="13.140625" style="223" hidden="1"/>
    <col min="2518" max="2518" width="8.140625" style="223" hidden="1"/>
    <col min="2519" max="2519" width="5.7109375" style="223" hidden="1"/>
    <col min="2520" max="2520" width="24.5703125" style="223" hidden="1"/>
    <col min="2521" max="2521" width="13.85546875" style="223" hidden="1"/>
    <col min="2522" max="2522" width="13.5703125" style="223" hidden="1"/>
    <col min="2523" max="2754" width="8.140625" style="223" hidden="1"/>
    <col min="2755" max="2755" width="5.85546875" style="223" hidden="1"/>
    <col min="2756" max="2756" width="40.140625" style="223" hidden="1"/>
    <col min="2757" max="2757" width="1.5703125" style="223" hidden="1"/>
    <col min="2758" max="2758" width="9.5703125" style="223" hidden="1"/>
    <col min="2759" max="2759" width="11.85546875" style="223" hidden="1"/>
    <col min="2760" max="2760" width="10.42578125" style="223" hidden="1"/>
    <col min="2761" max="2761" width="10.28515625" style="223" hidden="1"/>
    <col min="2762" max="2762" width="10.85546875" style="223" hidden="1"/>
    <col min="2763" max="2763" width="9.140625" style="223" hidden="1"/>
    <col min="2764" max="2764" width="8.7109375" style="223" hidden="1"/>
    <col min="2765" max="2765" width="13.5703125" style="223" hidden="1"/>
    <col min="2766" max="2766" width="12.28515625" style="223" hidden="1"/>
    <col min="2767" max="2767" width="0.85546875" style="223" hidden="1"/>
    <col min="2768" max="2768" width="14" style="223" hidden="1"/>
    <col min="2769" max="2769" width="15.5703125" style="223" hidden="1"/>
    <col min="2770" max="2770" width="13.85546875" style="223" hidden="1"/>
    <col min="2771" max="2771" width="13.140625" style="223" hidden="1"/>
    <col min="2772" max="2772" width="9" style="223" hidden="1"/>
    <col min="2773" max="2773" width="13.140625" style="223" hidden="1"/>
    <col min="2774" max="2774" width="8.140625" style="223" hidden="1"/>
    <col min="2775" max="2775" width="5.7109375" style="223" hidden="1"/>
    <col min="2776" max="2776" width="24.5703125" style="223" hidden="1"/>
    <col min="2777" max="2777" width="13.85546875" style="223" hidden="1"/>
    <col min="2778" max="2778" width="13.5703125" style="223" hidden="1"/>
    <col min="2779" max="3010" width="8.140625" style="223" hidden="1"/>
    <col min="3011" max="3011" width="5.85546875" style="223" hidden="1"/>
    <col min="3012" max="3012" width="40.140625" style="223" hidden="1"/>
    <col min="3013" max="3013" width="1.5703125" style="223" hidden="1"/>
    <col min="3014" max="3014" width="9.5703125" style="223" hidden="1"/>
    <col min="3015" max="3015" width="11.85546875" style="223" hidden="1"/>
    <col min="3016" max="3016" width="10.42578125" style="223" hidden="1"/>
    <col min="3017" max="3017" width="10.28515625" style="223" hidden="1"/>
    <col min="3018" max="3018" width="10.85546875" style="223" hidden="1"/>
    <col min="3019" max="3019" width="9.140625" style="223" hidden="1"/>
    <col min="3020" max="3020" width="8.7109375" style="223" hidden="1"/>
    <col min="3021" max="3021" width="13.5703125" style="223" hidden="1"/>
    <col min="3022" max="3022" width="12.28515625" style="223" hidden="1"/>
    <col min="3023" max="3023" width="0.85546875" style="223" hidden="1"/>
    <col min="3024" max="3024" width="14" style="223" hidden="1"/>
    <col min="3025" max="3025" width="15.5703125" style="223" hidden="1"/>
    <col min="3026" max="3026" width="13.85546875" style="223" hidden="1"/>
    <col min="3027" max="3027" width="13.140625" style="223" hidden="1"/>
    <col min="3028" max="3028" width="9" style="223" hidden="1"/>
    <col min="3029" max="3029" width="13.140625" style="223" hidden="1"/>
    <col min="3030" max="3030" width="8.140625" style="223" hidden="1"/>
    <col min="3031" max="3031" width="5.7109375" style="223" hidden="1"/>
    <col min="3032" max="3032" width="24.5703125" style="223" hidden="1"/>
    <col min="3033" max="3033" width="13.85546875" style="223" hidden="1"/>
    <col min="3034" max="3034" width="13.5703125" style="223" hidden="1"/>
    <col min="3035" max="3266" width="8.140625" style="223" hidden="1"/>
    <col min="3267" max="3267" width="5.85546875" style="223" hidden="1"/>
    <col min="3268" max="3268" width="40.140625" style="223" hidden="1"/>
    <col min="3269" max="3269" width="1.5703125" style="223" hidden="1"/>
    <col min="3270" max="3270" width="9.5703125" style="223" hidden="1"/>
    <col min="3271" max="3271" width="11.85546875" style="223" hidden="1"/>
    <col min="3272" max="3272" width="10.42578125" style="223" hidden="1"/>
    <col min="3273" max="3273" width="10.28515625" style="223" hidden="1"/>
    <col min="3274" max="3274" width="10.85546875" style="223" hidden="1"/>
    <col min="3275" max="3275" width="9.140625" style="223" hidden="1"/>
    <col min="3276" max="3276" width="8.7109375" style="223" hidden="1"/>
    <col min="3277" max="3277" width="13.5703125" style="223" hidden="1"/>
    <col min="3278" max="3278" width="12.28515625" style="223" hidden="1"/>
    <col min="3279" max="3279" width="0.85546875" style="223" hidden="1"/>
    <col min="3280" max="3280" width="14" style="223" hidden="1"/>
    <col min="3281" max="3281" width="15.5703125" style="223" hidden="1"/>
    <col min="3282" max="3282" width="13.85546875" style="223" hidden="1"/>
    <col min="3283" max="3283" width="13.140625" style="223" hidden="1"/>
    <col min="3284" max="3284" width="9" style="223" hidden="1"/>
    <col min="3285" max="3285" width="13.140625" style="223" hidden="1"/>
    <col min="3286" max="3286" width="8.140625" style="223" hidden="1"/>
    <col min="3287" max="3287" width="5.7109375" style="223" hidden="1"/>
    <col min="3288" max="3288" width="24.5703125" style="223" hidden="1"/>
    <col min="3289" max="3289" width="13.85546875" style="223" hidden="1"/>
    <col min="3290" max="3290" width="13.5703125" style="223" hidden="1"/>
    <col min="3291" max="3522" width="8.140625" style="223" hidden="1"/>
    <col min="3523" max="3523" width="5.85546875" style="223" hidden="1"/>
    <col min="3524" max="3524" width="40.140625" style="223" hidden="1"/>
    <col min="3525" max="3525" width="1.5703125" style="223" hidden="1"/>
    <col min="3526" max="3526" width="9.5703125" style="223" hidden="1"/>
    <col min="3527" max="3527" width="11.85546875" style="223" hidden="1"/>
    <col min="3528" max="3528" width="10.42578125" style="223" hidden="1"/>
    <col min="3529" max="3529" width="10.28515625" style="223" hidden="1"/>
    <col min="3530" max="3530" width="10.85546875" style="223" hidden="1"/>
    <col min="3531" max="3531" width="9.140625" style="223" hidden="1"/>
    <col min="3532" max="3532" width="8.7109375" style="223" hidden="1"/>
    <col min="3533" max="3533" width="13.5703125" style="223" hidden="1"/>
    <col min="3534" max="3534" width="12.28515625" style="223" hidden="1"/>
    <col min="3535" max="3535" width="0.85546875" style="223" hidden="1"/>
    <col min="3536" max="3536" width="14" style="223" hidden="1"/>
    <col min="3537" max="3537" width="15.5703125" style="223" hidden="1"/>
    <col min="3538" max="3538" width="13.85546875" style="223" hidden="1"/>
    <col min="3539" max="3539" width="13.140625" style="223" hidden="1"/>
    <col min="3540" max="3540" width="9" style="223" hidden="1"/>
    <col min="3541" max="3541" width="13.140625" style="223" hidden="1"/>
    <col min="3542" max="3542" width="8.140625" style="223" hidden="1"/>
    <col min="3543" max="3543" width="5.7109375" style="223" hidden="1"/>
    <col min="3544" max="3544" width="24.5703125" style="223" hidden="1"/>
    <col min="3545" max="3545" width="13.85546875" style="223" hidden="1"/>
    <col min="3546" max="3546" width="13.5703125" style="223" hidden="1"/>
    <col min="3547" max="3778" width="8.140625" style="223" hidden="1"/>
    <col min="3779" max="3779" width="5.85546875" style="223" hidden="1"/>
    <col min="3780" max="3780" width="40.140625" style="223" hidden="1"/>
    <col min="3781" max="3781" width="1.5703125" style="223" hidden="1"/>
    <col min="3782" max="3782" width="9.5703125" style="223" hidden="1"/>
    <col min="3783" max="3783" width="11.85546875" style="223" hidden="1"/>
    <col min="3784" max="3784" width="10.42578125" style="223" hidden="1"/>
    <col min="3785" max="3785" width="10.28515625" style="223" hidden="1"/>
    <col min="3786" max="3786" width="10.85546875" style="223" hidden="1"/>
    <col min="3787" max="3787" width="9.140625" style="223" hidden="1"/>
    <col min="3788" max="3788" width="8.7109375" style="223" hidden="1"/>
    <col min="3789" max="3789" width="13.5703125" style="223" hidden="1"/>
    <col min="3790" max="3790" width="12.28515625" style="223" hidden="1"/>
    <col min="3791" max="3791" width="0.85546875" style="223" hidden="1"/>
    <col min="3792" max="3792" width="14" style="223" hidden="1"/>
    <col min="3793" max="3793" width="15.5703125" style="223" hidden="1"/>
    <col min="3794" max="3794" width="13.85546875" style="223" hidden="1"/>
    <col min="3795" max="3795" width="13.140625" style="223" hidden="1"/>
    <col min="3796" max="3796" width="9" style="223" hidden="1"/>
    <col min="3797" max="3797" width="13.140625" style="223" hidden="1"/>
    <col min="3798" max="3798" width="8.140625" style="223" hidden="1"/>
    <col min="3799" max="3799" width="5.7109375" style="223" hidden="1"/>
    <col min="3800" max="3800" width="24.5703125" style="223" hidden="1"/>
    <col min="3801" max="3801" width="13.85546875" style="223" hidden="1"/>
    <col min="3802" max="3802" width="13.5703125" style="223" hidden="1"/>
    <col min="3803" max="4034" width="8.140625" style="223" hidden="1"/>
    <col min="4035" max="4035" width="5.85546875" style="223" hidden="1"/>
    <col min="4036" max="4036" width="40.140625" style="223" hidden="1"/>
    <col min="4037" max="4037" width="1.5703125" style="223" hidden="1"/>
    <col min="4038" max="4038" width="9.5703125" style="223" hidden="1"/>
    <col min="4039" max="4039" width="11.85546875" style="223" hidden="1"/>
    <col min="4040" max="4040" width="10.42578125" style="223" hidden="1"/>
    <col min="4041" max="4041" width="10.28515625" style="223" hidden="1"/>
    <col min="4042" max="4042" width="10.85546875" style="223" hidden="1"/>
    <col min="4043" max="4043" width="9.140625" style="223" hidden="1"/>
    <col min="4044" max="4044" width="8.7109375" style="223" hidden="1"/>
    <col min="4045" max="4045" width="13.5703125" style="223" hidden="1"/>
    <col min="4046" max="4046" width="12.28515625" style="223" hidden="1"/>
    <col min="4047" max="4047" width="0.85546875" style="223" hidden="1"/>
    <col min="4048" max="4048" width="14" style="223" hidden="1"/>
    <col min="4049" max="4049" width="15.5703125" style="223" hidden="1"/>
    <col min="4050" max="4050" width="13.85546875" style="223" hidden="1"/>
    <col min="4051" max="4051" width="13.140625" style="223" hidden="1"/>
    <col min="4052" max="4052" width="9" style="223" hidden="1"/>
    <col min="4053" max="4053" width="13.140625" style="223" hidden="1"/>
    <col min="4054" max="4054" width="8.140625" style="223" hidden="1"/>
    <col min="4055" max="4055" width="5.7109375" style="223" hidden="1"/>
    <col min="4056" max="4056" width="24.5703125" style="223" hidden="1"/>
    <col min="4057" max="4057" width="13.85546875" style="223" hidden="1"/>
    <col min="4058" max="4058" width="13.5703125" style="223" hidden="1"/>
    <col min="4059" max="4290" width="8.140625" style="223" hidden="1"/>
    <col min="4291" max="4291" width="5.85546875" style="223" hidden="1"/>
    <col min="4292" max="4292" width="40.140625" style="223" hidden="1"/>
    <col min="4293" max="4293" width="1.5703125" style="223" hidden="1"/>
    <col min="4294" max="4294" width="9.5703125" style="223" hidden="1"/>
    <col min="4295" max="4295" width="11.85546875" style="223" hidden="1"/>
    <col min="4296" max="4296" width="10.42578125" style="223" hidden="1"/>
    <col min="4297" max="4297" width="10.28515625" style="223" hidden="1"/>
    <col min="4298" max="4298" width="10.85546875" style="223" hidden="1"/>
    <col min="4299" max="4299" width="9.140625" style="223" hidden="1"/>
    <col min="4300" max="4300" width="8.7109375" style="223" hidden="1"/>
    <col min="4301" max="4301" width="13.5703125" style="223" hidden="1"/>
    <col min="4302" max="4302" width="12.28515625" style="223" hidden="1"/>
    <col min="4303" max="4303" width="0.85546875" style="223" hidden="1"/>
    <col min="4304" max="4304" width="14" style="223" hidden="1"/>
    <col min="4305" max="4305" width="15.5703125" style="223" hidden="1"/>
    <col min="4306" max="4306" width="13.85546875" style="223" hidden="1"/>
    <col min="4307" max="4307" width="13.140625" style="223" hidden="1"/>
    <col min="4308" max="4308" width="9" style="223" hidden="1"/>
    <col min="4309" max="4309" width="13.140625" style="223" hidden="1"/>
    <col min="4310" max="4310" width="8.140625" style="223" hidden="1"/>
    <col min="4311" max="4311" width="5.7109375" style="223" hidden="1"/>
    <col min="4312" max="4312" width="24.5703125" style="223" hidden="1"/>
    <col min="4313" max="4313" width="13.85546875" style="223" hidden="1"/>
    <col min="4314" max="4314" width="13.5703125" style="223" hidden="1"/>
    <col min="4315" max="4546" width="8.140625" style="223" hidden="1"/>
    <col min="4547" max="4547" width="5.85546875" style="223" hidden="1"/>
    <col min="4548" max="4548" width="40.140625" style="223" hidden="1"/>
    <col min="4549" max="4549" width="1.5703125" style="223" hidden="1"/>
    <col min="4550" max="4550" width="9.5703125" style="223" hidden="1"/>
    <col min="4551" max="4551" width="11.85546875" style="223" hidden="1"/>
    <col min="4552" max="4552" width="10.42578125" style="223" hidden="1"/>
    <col min="4553" max="4553" width="10.28515625" style="223" hidden="1"/>
    <col min="4554" max="4554" width="10.85546875" style="223" hidden="1"/>
    <col min="4555" max="4555" width="9.140625" style="223" hidden="1"/>
    <col min="4556" max="4556" width="8.7109375" style="223" hidden="1"/>
    <col min="4557" max="4557" width="13.5703125" style="223" hidden="1"/>
    <col min="4558" max="4558" width="12.28515625" style="223" hidden="1"/>
    <col min="4559" max="4559" width="0.85546875" style="223" hidden="1"/>
    <col min="4560" max="4560" width="14" style="223" hidden="1"/>
    <col min="4561" max="4561" width="15.5703125" style="223" hidden="1"/>
    <col min="4562" max="4562" width="13.85546875" style="223" hidden="1"/>
    <col min="4563" max="4563" width="13.140625" style="223" hidden="1"/>
    <col min="4564" max="4564" width="9" style="223" hidden="1"/>
    <col min="4565" max="4565" width="13.140625" style="223" hidden="1"/>
    <col min="4566" max="4566" width="8.140625" style="223" hidden="1"/>
    <col min="4567" max="4567" width="5.7109375" style="223" hidden="1"/>
    <col min="4568" max="4568" width="24.5703125" style="223" hidden="1"/>
    <col min="4569" max="4569" width="13.85546875" style="223" hidden="1"/>
    <col min="4570" max="4570" width="13.5703125" style="223" hidden="1"/>
    <col min="4571" max="4802" width="8.140625" style="223" hidden="1"/>
    <col min="4803" max="4803" width="5.85546875" style="223" hidden="1"/>
    <col min="4804" max="4804" width="40.140625" style="223" hidden="1"/>
    <col min="4805" max="4805" width="1.5703125" style="223" hidden="1"/>
    <col min="4806" max="4806" width="9.5703125" style="223" hidden="1"/>
    <col min="4807" max="4807" width="11.85546875" style="223" hidden="1"/>
    <col min="4808" max="4808" width="10.42578125" style="223" hidden="1"/>
    <col min="4809" max="4809" width="10.28515625" style="223" hidden="1"/>
    <col min="4810" max="4810" width="10.85546875" style="223" hidden="1"/>
    <col min="4811" max="4811" width="9.140625" style="223" hidden="1"/>
    <col min="4812" max="4812" width="8.7109375" style="223" hidden="1"/>
    <col min="4813" max="4813" width="13.5703125" style="223" hidden="1"/>
    <col min="4814" max="4814" width="12.28515625" style="223" hidden="1"/>
    <col min="4815" max="4815" width="0.85546875" style="223" hidden="1"/>
    <col min="4816" max="4816" width="14" style="223" hidden="1"/>
    <col min="4817" max="4817" width="15.5703125" style="223" hidden="1"/>
    <col min="4818" max="4818" width="13.85546875" style="223" hidden="1"/>
    <col min="4819" max="4819" width="13.140625" style="223" hidden="1"/>
    <col min="4820" max="4820" width="9" style="223" hidden="1"/>
    <col min="4821" max="4821" width="13.140625" style="223" hidden="1"/>
    <col min="4822" max="4822" width="8.140625" style="223" hidden="1"/>
    <col min="4823" max="4823" width="5.7109375" style="223" hidden="1"/>
    <col min="4824" max="4824" width="24.5703125" style="223" hidden="1"/>
    <col min="4825" max="4825" width="13.85546875" style="223" hidden="1"/>
    <col min="4826" max="4826" width="13.5703125" style="223" hidden="1"/>
    <col min="4827" max="5058" width="8.140625" style="223" hidden="1"/>
    <col min="5059" max="5059" width="5.85546875" style="223" hidden="1"/>
    <col min="5060" max="5060" width="40.140625" style="223" hidden="1"/>
    <col min="5061" max="5061" width="1.5703125" style="223" hidden="1"/>
    <col min="5062" max="5062" width="9.5703125" style="223" hidden="1"/>
    <col min="5063" max="5063" width="11.85546875" style="223" hidden="1"/>
    <col min="5064" max="5064" width="10.42578125" style="223" hidden="1"/>
    <col min="5065" max="5065" width="10.28515625" style="223" hidden="1"/>
    <col min="5066" max="5066" width="10.85546875" style="223" hidden="1"/>
    <col min="5067" max="5067" width="9.140625" style="223" hidden="1"/>
    <col min="5068" max="5068" width="8.7109375" style="223" hidden="1"/>
    <col min="5069" max="5069" width="13.5703125" style="223" hidden="1"/>
    <col min="5070" max="5070" width="12.28515625" style="223" hidden="1"/>
    <col min="5071" max="5071" width="0.85546875" style="223" hidden="1"/>
    <col min="5072" max="5072" width="14" style="223" hidden="1"/>
    <col min="5073" max="5073" width="15.5703125" style="223" hidden="1"/>
    <col min="5074" max="5074" width="13.85546875" style="223" hidden="1"/>
    <col min="5075" max="5075" width="13.140625" style="223" hidden="1"/>
    <col min="5076" max="5076" width="9" style="223" hidden="1"/>
    <col min="5077" max="5077" width="13.140625" style="223" hidden="1"/>
    <col min="5078" max="5078" width="8.140625" style="223" hidden="1"/>
    <col min="5079" max="5079" width="5.7109375" style="223" hidden="1"/>
    <col min="5080" max="5080" width="24.5703125" style="223" hidden="1"/>
    <col min="5081" max="5081" width="13.85546875" style="223" hidden="1"/>
    <col min="5082" max="5082" width="13.5703125" style="223" hidden="1"/>
    <col min="5083" max="5314" width="8.140625" style="223" hidden="1"/>
    <col min="5315" max="5315" width="5.85546875" style="223" hidden="1"/>
    <col min="5316" max="5316" width="40.140625" style="223" hidden="1"/>
    <col min="5317" max="5317" width="1.5703125" style="223" hidden="1"/>
    <col min="5318" max="5318" width="9.5703125" style="223" hidden="1"/>
    <col min="5319" max="5319" width="11.85546875" style="223" hidden="1"/>
    <col min="5320" max="5320" width="10.42578125" style="223" hidden="1"/>
    <col min="5321" max="5321" width="10.28515625" style="223" hidden="1"/>
    <col min="5322" max="5322" width="10.85546875" style="223" hidden="1"/>
    <col min="5323" max="5323" width="9.140625" style="223" hidden="1"/>
    <col min="5324" max="5324" width="8.7109375" style="223" hidden="1"/>
    <col min="5325" max="5325" width="13.5703125" style="223" hidden="1"/>
    <col min="5326" max="5326" width="12.28515625" style="223" hidden="1"/>
    <col min="5327" max="5327" width="0.85546875" style="223" hidden="1"/>
    <col min="5328" max="5328" width="14" style="223" hidden="1"/>
    <col min="5329" max="5329" width="15.5703125" style="223" hidden="1"/>
    <col min="5330" max="5330" width="13.85546875" style="223" hidden="1"/>
    <col min="5331" max="5331" width="13.140625" style="223" hidden="1"/>
    <col min="5332" max="5332" width="9" style="223" hidden="1"/>
    <col min="5333" max="5333" width="13.140625" style="223" hidden="1"/>
    <col min="5334" max="5334" width="8.140625" style="223" hidden="1"/>
    <col min="5335" max="5335" width="5.7109375" style="223" hidden="1"/>
    <col min="5336" max="5336" width="24.5703125" style="223" hidden="1"/>
    <col min="5337" max="5337" width="13.85546875" style="223" hidden="1"/>
    <col min="5338" max="5338" width="13.5703125" style="223" hidden="1"/>
    <col min="5339" max="5570" width="8.140625" style="223" hidden="1"/>
    <col min="5571" max="5571" width="5.85546875" style="223" hidden="1"/>
    <col min="5572" max="5572" width="40.140625" style="223" hidden="1"/>
    <col min="5573" max="5573" width="1.5703125" style="223" hidden="1"/>
    <col min="5574" max="5574" width="9.5703125" style="223" hidden="1"/>
    <col min="5575" max="5575" width="11.85546875" style="223" hidden="1"/>
    <col min="5576" max="5576" width="10.42578125" style="223" hidden="1"/>
    <col min="5577" max="5577" width="10.28515625" style="223" hidden="1"/>
    <col min="5578" max="5578" width="10.85546875" style="223" hidden="1"/>
    <col min="5579" max="5579" width="9.140625" style="223" hidden="1"/>
    <col min="5580" max="5580" width="8.7109375" style="223" hidden="1"/>
    <col min="5581" max="5581" width="13.5703125" style="223" hidden="1"/>
    <col min="5582" max="5582" width="12.28515625" style="223" hidden="1"/>
    <col min="5583" max="5583" width="0.85546875" style="223" hidden="1"/>
    <col min="5584" max="5584" width="14" style="223" hidden="1"/>
    <col min="5585" max="5585" width="15.5703125" style="223" hidden="1"/>
    <col min="5586" max="5586" width="13.85546875" style="223" hidden="1"/>
    <col min="5587" max="5587" width="13.140625" style="223" hidden="1"/>
    <col min="5588" max="5588" width="9" style="223" hidden="1"/>
    <col min="5589" max="5589" width="13.140625" style="223" hidden="1"/>
    <col min="5590" max="5590" width="8.140625" style="223" hidden="1"/>
    <col min="5591" max="5591" width="5.7109375" style="223" hidden="1"/>
    <col min="5592" max="5592" width="24.5703125" style="223" hidden="1"/>
    <col min="5593" max="5593" width="13.85546875" style="223" hidden="1"/>
    <col min="5594" max="5594" width="13.5703125" style="223" hidden="1"/>
    <col min="5595" max="5826" width="8.140625" style="223" hidden="1"/>
    <col min="5827" max="5827" width="5.85546875" style="223" hidden="1"/>
    <col min="5828" max="5828" width="40.140625" style="223" hidden="1"/>
    <col min="5829" max="5829" width="1.5703125" style="223" hidden="1"/>
    <col min="5830" max="5830" width="9.5703125" style="223" hidden="1"/>
    <col min="5831" max="5831" width="11.85546875" style="223" hidden="1"/>
    <col min="5832" max="5832" width="10.42578125" style="223" hidden="1"/>
    <col min="5833" max="5833" width="10.28515625" style="223" hidden="1"/>
    <col min="5834" max="5834" width="10.85546875" style="223" hidden="1"/>
    <col min="5835" max="5835" width="9.140625" style="223" hidden="1"/>
    <col min="5836" max="5836" width="8.7109375" style="223" hidden="1"/>
    <col min="5837" max="5837" width="13.5703125" style="223" hidden="1"/>
    <col min="5838" max="5838" width="12.28515625" style="223" hidden="1"/>
    <col min="5839" max="5839" width="0.85546875" style="223" hidden="1"/>
    <col min="5840" max="5840" width="14" style="223" hidden="1"/>
    <col min="5841" max="5841" width="15.5703125" style="223" hidden="1"/>
    <col min="5842" max="5842" width="13.85546875" style="223" hidden="1"/>
    <col min="5843" max="5843" width="13.140625" style="223" hidden="1"/>
    <col min="5844" max="5844" width="9" style="223" hidden="1"/>
    <col min="5845" max="5845" width="13.140625" style="223" hidden="1"/>
    <col min="5846" max="5846" width="8.140625" style="223" hidden="1"/>
    <col min="5847" max="5847" width="5.7109375" style="223" hidden="1"/>
    <col min="5848" max="5848" width="24.5703125" style="223" hidden="1"/>
    <col min="5849" max="5849" width="13.85546875" style="223" hidden="1"/>
    <col min="5850" max="5850" width="13.5703125" style="223" hidden="1"/>
    <col min="5851" max="6082" width="8.140625" style="223" hidden="1"/>
    <col min="6083" max="6083" width="5.85546875" style="223" hidden="1"/>
    <col min="6084" max="6084" width="40.140625" style="223" hidden="1"/>
    <col min="6085" max="6085" width="1.5703125" style="223" hidden="1"/>
    <col min="6086" max="6086" width="9.5703125" style="223" hidden="1"/>
    <col min="6087" max="6087" width="11.85546875" style="223" hidden="1"/>
    <col min="6088" max="6088" width="10.42578125" style="223" hidden="1"/>
    <col min="6089" max="6089" width="10.28515625" style="223" hidden="1"/>
    <col min="6090" max="6090" width="10.85546875" style="223" hidden="1"/>
    <col min="6091" max="6091" width="9.140625" style="223" hidden="1"/>
    <col min="6092" max="6092" width="8.7109375" style="223" hidden="1"/>
    <col min="6093" max="6093" width="13.5703125" style="223" hidden="1"/>
    <col min="6094" max="6094" width="12.28515625" style="223" hidden="1"/>
    <col min="6095" max="6095" width="0.85546875" style="223" hidden="1"/>
    <col min="6096" max="6096" width="14" style="223" hidden="1"/>
    <col min="6097" max="6097" width="15.5703125" style="223" hidden="1"/>
    <col min="6098" max="6098" width="13.85546875" style="223" hidden="1"/>
    <col min="6099" max="6099" width="13.140625" style="223" hidden="1"/>
    <col min="6100" max="6100" width="9" style="223" hidden="1"/>
    <col min="6101" max="6101" width="13.140625" style="223" hidden="1"/>
    <col min="6102" max="6102" width="8.140625" style="223" hidden="1"/>
    <col min="6103" max="6103" width="5.7109375" style="223" hidden="1"/>
    <col min="6104" max="6104" width="24.5703125" style="223" hidden="1"/>
    <col min="6105" max="6105" width="13.85546875" style="223" hidden="1"/>
    <col min="6106" max="6106" width="13.5703125" style="223" hidden="1"/>
    <col min="6107" max="6338" width="8.140625" style="223" hidden="1"/>
    <col min="6339" max="6339" width="5.85546875" style="223" hidden="1"/>
    <col min="6340" max="6340" width="40.140625" style="223" hidden="1"/>
    <col min="6341" max="6341" width="1.5703125" style="223" hidden="1"/>
    <col min="6342" max="6342" width="9.5703125" style="223" hidden="1"/>
    <col min="6343" max="6343" width="11.85546875" style="223" hidden="1"/>
    <col min="6344" max="6344" width="10.42578125" style="223" hidden="1"/>
    <col min="6345" max="6345" width="10.28515625" style="223" hidden="1"/>
    <col min="6346" max="6346" width="10.85546875" style="223" hidden="1"/>
    <col min="6347" max="6347" width="9.140625" style="223" hidden="1"/>
    <col min="6348" max="6348" width="8.7109375" style="223" hidden="1"/>
    <col min="6349" max="6349" width="13.5703125" style="223" hidden="1"/>
    <col min="6350" max="6350" width="12.28515625" style="223" hidden="1"/>
    <col min="6351" max="6351" width="0.85546875" style="223" hidden="1"/>
    <col min="6352" max="6352" width="14" style="223" hidden="1"/>
    <col min="6353" max="6353" width="15.5703125" style="223" hidden="1"/>
    <col min="6354" max="6354" width="13.85546875" style="223" hidden="1"/>
    <col min="6355" max="6355" width="13.140625" style="223" hidden="1"/>
    <col min="6356" max="6356" width="9" style="223" hidden="1"/>
    <col min="6357" max="6357" width="13.140625" style="223" hidden="1"/>
    <col min="6358" max="6358" width="8.140625" style="223" hidden="1"/>
    <col min="6359" max="6359" width="5.7109375" style="223" hidden="1"/>
    <col min="6360" max="6360" width="24.5703125" style="223" hidden="1"/>
    <col min="6361" max="6361" width="13.85546875" style="223" hidden="1"/>
    <col min="6362" max="6362" width="13.5703125" style="223" hidden="1"/>
    <col min="6363" max="6594" width="8.140625" style="223" hidden="1"/>
    <col min="6595" max="6595" width="5.85546875" style="223" hidden="1"/>
    <col min="6596" max="6596" width="40.140625" style="223" hidden="1"/>
    <col min="6597" max="6597" width="1.5703125" style="223" hidden="1"/>
    <col min="6598" max="6598" width="9.5703125" style="223" hidden="1"/>
    <col min="6599" max="6599" width="11.85546875" style="223" hidden="1"/>
    <col min="6600" max="6600" width="10.42578125" style="223" hidden="1"/>
    <col min="6601" max="6601" width="10.28515625" style="223" hidden="1"/>
    <col min="6602" max="6602" width="10.85546875" style="223" hidden="1"/>
    <col min="6603" max="6603" width="9.140625" style="223" hidden="1"/>
    <col min="6604" max="6604" width="8.7109375" style="223" hidden="1"/>
    <col min="6605" max="6605" width="13.5703125" style="223" hidden="1"/>
    <col min="6606" max="6606" width="12.28515625" style="223" hidden="1"/>
    <col min="6607" max="6607" width="0.85546875" style="223" hidden="1"/>
    <col min="6608" max="6608" width="14" style="223" hidden="1"/>
    <col min="6609" max="6609" width="15.5703125" style="223" hidden="1"/>
    <col min="6610" max="6610" width="13.85546875" style="223" hidden="1"/>
    <col min="6611" max="6611" width="13.140625" style="223" hidden="1"/>
    <col min="6612" max="6612" width="9" style="223" hidden="1"/>
    <col min="6613" max="6613" width="13.140625" style="223" hidden="1"/>
    <col min="6614" max="6614" width="8.140625" style="223" hidden="1"/>
    <col min="6615" max="6615" width="5.7109375" style="223" hidden="1"/>
    <col min="6616" max="6616" width="24.5703125" style="223" hidden="1"/>
    <col min="6617" max="6617" width="13.85546875" style="223" hidden="1"/>
    <col min="6618" max="6618" width="13.5703125" style="223" hidden="1"/>
    <col min="6619" max="6850" width="8.140625" style="223" hidden="1"/>
    <col min="6851" max="6851" width="5.85546875" style="223" hidden="1"/>
    <col min="6852" max="6852" width="40.140625" style="223" hidden="1"/>
    <col min="6853" max="6853" width="1.5703125" style="223" hidden="1"/>
    <col min="6854" max="6854" width="9.5703125" style="223" hidden="1"/>
    <col min="6855" max="6855" width="11.85546875" style="223" hidden="1"/>
    <col min="6856" max="6856" width="10.42578125" style="223" hidden="1"/>
    <col min="6857" max="6857" width="10.28515625" style="223" hidden="1"/>
    <col min="6858" max="6858" width="10.85546875" style="223" hidden="1"/>
    <col min="6859" max="6859" width="9.140625" style="223" hidden="1"/>
    <col min="6860" max="6860" width="8.7109375" style="223" hidden="1"/>
    <col min="6861" max="6861" width="13.5703125" style="223" hidden="1"/>
    <col min="6862" max="6862" width="12.28515625" style="223" hidden="1"/>
    <col min="6863" max="6863" width="0.85546875" style="223" hidden="1"/>
    <col min="6864" max="6864" width="14" style="223" hidden="1"/>
    <col min="6865" max="6865" width="15.5703125" style="223" hidden="1"/>
    <col min="6866" max="6866" width="13.85546875" style="223" hidden="1"/>
    <col min="6867" max="6867" width="13.140625" style="223" hidden="1"/>
    <col min="6868" max="6868" width="9" style="223" hidden="1"/>
    <col min="6869" max="6869" width="13.140625" style="223" hidden="1"/>
    <col min="6870" max="6870" width="8.140625" style="223" hidden="1"/>
    <col min="6871" max="6871" width="5.7109375" style="223" hidden="1"/>
    <col min="6872" max="6872" width="24.5703125" style="223" hidden="1"/>
    <col min="6873" max="6873" width="13.85546875" style="223" hidden="1"/>
    <col min="6874" max="6874" width="13.5703125" style="223" hidden="1"/>
    <col min="6875" max="7106" width="8.140625" style="223" hidden="1"/>
    <col min="7107" max="7107" width="5.85546875" style="223" hidden="1"/>
    <col min="7108" max="7108" width="40.140625" style="223" hidden="1"/>
    <col min="7109" max="7109" width="1.5703125" style="223" hidden="1"/>
    <col min="7110" max="7110" width="9.5703125" style="223" hidden="1"/>
    <col min="7111" max="7111" width="11.85546875" style="223" hidden="1"/>
    <col min="7112" max="7112" width="10.42578125" style="223" hidden="1"/>
    <col min="7113" max="7113" width="10.28515625" style="223" hidden="1"/>
    <col min="7114" max="7114" width="10.85546875" style="223" hidden="1"/>
    <col min="7115" max="7115" width="9.140625" style="223" hidden="1"/>
    <col min="7116" max="7116" width="8.7109375" style="223" hidden="1"/>
    <col min="7117" max="7117" width="13.5703125" style="223" hidden="1"/>
    <col min="7118" max="7118" width="12.28515625" style="223" hidden="1"/>
    <col min="7119" max="7119" width="0.85546875" style="223" hidden="1"/>
    <col min="7120" max="7120" width="14" style="223" hidden="1"/>
    <col min="7121" max="7121" width="15.5703125" style="223" hidden="1"/>
    <col min="7122" max="7122" width="13.85546875" style="223" hidden="1"/>
    <col min="7123" max="7123" width="13.140625" style="223" hidden="1"/>
    <col min="7124" max="7124" width="9" style="223" hidden="1"/>
    <col min="7125" max="7125" width="13.140625" style="223" hidden="1"/>
    <col min="7126" max="7126" width="8.140625" style="223" hidden="1"/>
    <col min="7127" max="7127" width="5.7109375" style="223" hidden="1"/>
    <col min="7128" max="7128" width="24.5703125" style="223" hidden="1"/>
    <col min="7129" max="7129" width="13.85546875" style="223" hidden="1"/>
    <col min="7130" max="7130" width="13.5703125" style="223" hidden="1"/>
    <col min="7131" max="7362" width="8.140625" style="223" hidden="1"/>
    <col min="7363" max="7363" width="5.85546875" style="223" hidden="1"/>
    <col min="7364" max="7364" width="40.140625" style="223" hidden="1"/>
    <col min="7365" max="7365" width="1.5703125" style="223" hidden="1"/>
    <col min="7366" max="7366" width="9.5703125" style="223" hidden="1"/>
    <col min="7367" max="7367" width="11.85546875" style="223" hidden="1"/>
    <col min="7368" max="7368" width="10.42578125" style="223" hidden="1"/>
    <col min="7369" max="7369" width="10.28515625" style="223" hidden="1"/>
    <col min="7370" max="7370" width="10.85546875" style="223" hidden="1"/>
    <col min="7371" max="7371" width="9.140625" style="223" hidden="1"/>
    <col min="7372" max="7372" width="8.7109375" style="223" hidden="1"/>
    <col min="7373" max="7373" width="13.5703125" style="223" hidden="1"/>
    <col min="7374" max="7374" width="12.28515625" style="223" hidden="1"/>
    <col min="7375" max="7375" width="0.85546875" style="223" hidden="1"/>
    <col min="7376" max="7376" width="14" style="223" hidden="1"/>
    <col min="7377" max="7377" width="15.5703125" style="223" hidden="1"/>
    <col min="7378" max="7378" width="13.85546875" style="223" hidden="1"/>
    <col min="7379" max="7379" width="13.140625" style="223" hidden="1"/>
    <col min="7380" max="7380" width="9" style="223" hidden="1"/>
    <col min="7381" max="7381" width="13.140625" style="223" hidden="1"/>
    <col min="7382" max="7382" width="8.140625" style="223" hidden="1"/>
    <col min="7383" max="7383" width="5.7109375" style="223" hidden="1"/>
    <col min="7384" max="7384" width="24.5703125" style="223" hidden="1"/>
    <col min="7385" max="7385" width="13.85546875" style="223" hidden="1"/>
    <col min="7386" max="7386" width="13.5703125" style="223" hidden="1"/>
    <col min="7387" max="7618" width="8.140625" style="223" hidden="1"/>
    <col min="7619" max="7619" width="5.85546875" style="223" hidden="1"/>
    <col min="7620" max="7620" width="40.140625" style="223" hidden="1"/>
    <col min="7621" max="7621" width="1.5703125" style="223" hidden="1"/>
    <col min="7622" max="7622" width="9.5703125" style="223" hidden="1"/>
    <col min="7623" max="7623" width="11.85546875" style="223" hidden="1"/>
    <col min="7624" max="7624" width="10.42578125" style="223" hidden="1"/>
    <col min="7625" max="7625" width="10.28515625" style="223" hidden="1"/>
    <col min="7626" max="7626" width="10.85546875" style="223" hidden="1"/>
    <col min="7627" max="7627" width="9.140625" style="223" hidden="1"/>
    <col min="7628" max="7628" width="8.7109375" style="223" hidden="1"/>
    <col min="7629" max="7629" width="13.5703125" style="223" hidden="1"/>
    <col min="7630" max="7630" width="12.28515625" style="223" hidden="1"/>
    <col min="7631" max="7631" width="0.85546875" style="223" hidden="1"/>
    <col min="7632" max="7632" width="14" style="223" hidden="1"/>
    <col min="7633" max="7633" width="15.5703125" style="223" hidden="1"/>
    <col min="7634" max="7634" width="13.85546875" style="223" hidden="1"/>
    <col min="7635" max="7635" width="13.140625" style="223" hidden="1"/>
    <col min="7636" max="7636" width="9" style="223" hidden="1"/>
    <col min="7637" max="7637" width="13.140625" style="223" hidden="1"/>
    <col min="7638" max="7638" width="8.140625" style="223" hidden="1"/>
    <col min="7639" max="7639" width="5.7109375" style="223" hidden="1"/>
    <col min="7640" max="7640" width="24.5703125" style="223" hidden="1"/>
    <col min="7641" max="7641" width="13.85546875" style="223" hidden="1"/>
    <col min="7642" max="7642" width="13.5703125" style="223" hidden="1"/>
    <col min="7643" max="7874" width="8.140625" style="223" hidden="1"/>
    <col min="7875" max="7875" width="5.85546875" style="223" hidden="1"/>
    <col min="7876" max="7876" width="40.140625" style="223" hidden="1"/>
    <col min="7877" max="7877" width="1.5703125" style="223" hidden="1"/>
    <col min="7878" max="7878" width="9.5703125" style="223" hidden="1"/>
    <col min="7879" max="7879" width="11.85546875" style="223" hidden="1"/>
    <col min="7880" max="7880" width="10.42578125" style="223" hidden="1"/>
    <col min="7881" max="7881" width="10.28515625" style="223" hidden="1"/>
    <col min="7882" max="7882" width="10.85546875" style="223" hidden="1"/>
    <col min="7883" max="7883" width="9.140625" style="223" hidden="1"/>
    <col min="7884" max="7884" width="8.7109375" style="223" hidden="1"/>
    <col min="7885" max="7885" width="13.5703125" style="223" hidden="1"/>
    <col min="7886" max="7886" width="12.28515625" style="223" hidden="1"/>
    <col min="7887" max="7887" width="0.85546875" style="223" hidden="1"/>
    <col min="7888" max="7888" width="14" style="223" hidden="1"/>
    <col min="7889" max="7889" width="15.5703125" style="223" hidden="1"/>
    <col min="7890" max="7890" width="13.85546875" style="223" hidden="1"/>
    <col min="7891" max="7891" width="13.140625" style="223" hidden="1"/>
    <col min="7892" max="7892" width="9" style="223" hidden="1"/>
    <col min="7893" max="7893" width="13.140625" style="223" hidden="1"/>
    <col min="7894" max="7894" width="8.140625" style="223" hidden="1"/>
    <col min="7895" max="7895" width="5.7109375" style="223" hidden="1"/>
    <col min="7896" max="7896" width="24.5703125" style="223" hidden="1"/>
    <col min="7897" max="7897" width="13.85546875" style="223" hidden="1"/>
    <col min="7898" max="7898" width="13.5703125" style="223" hidden="1"/>
    <col min="7899" max="8130" width="8.140625" style="223" hidden="1"/>
    <col min="8131" max="8131" width="5.85546875" style="223" hidden="1"/>
    <col min="8132" max="8132" width="40.140625" style="223" hidden="1"/>
    <col min="8133" max="8133" width="1.5703125" style="223" hidden="1"/>
    <col min="8134" max="8134" width="9.5703125" style="223" hidden="1"/>
    <col min="8135" max="8135" width="11.85546875" style="223" hidden="1"/>
    <col min="8136" max="8136" width="10.42578125" style="223" hidden="1"/>
    <col min="8137" max="8137" width="10.28515625" style="223" hidden="1"/>
    <col min="8138" max="8138" width="10.85546875" style="223" hidden="1"/>
    <col min="8139" max="8139" width="9.140625" style="223" hidden="1"/>
    <col min="8140" max="8140" width="8.7109375" style="223" hidden="1"/>
    <col min="8141" max="8141" width="13.5703125" style="223" hidden="1"/>
    <col min="8142" max="8142" width="12.28515625" style="223" hidden="1"/>
    <col min="8143" max="8143" width="0.85546875" style="223" hidden="1"/>
    <col min="8144" max="8144" width="14" style="223" hidden="1"/>
    <col min="8145" max="8145" width="15.5703125" style="223" hidden="1"/>
    <col min="8146" max="8146" width="13.85546875" style="223" hidden="1"/>
    <col min="8147" max="8147" width="13.140625" style="223" hidden="1"/>
    <col min="8148" max="8148" width="9" style="223" hidden="1"/>
    <col min="8149" max="8149" width="13.140625" style="223" hidden="1"/>
    <col min="8150" max="8150" width="8.140625" style="223" hidden="1"/>
    <col min="8151" max="8151" width="5.7109375" style="223" hidden="1"/>
    <col min="8152" max="8152" width="24.5703125" style="223" hidden="1"/>
    <col min="8153" max="8153" width="13.85546875" style="223" hidden="1"/>
    <col min="8154" max="8154" width="13.5703125" style="223" hidden="1"/>
    <col min="8155" max="8386" width="8.140625" style="223" hidden="1"/>
    <col min="8387" max="8387" width="5.85546875" style="223" hidden="1"/>
    <col min="8388" max="8388" width="40.140625" style="223" hidden="1"/>
    <col min="8389" max="8389" width="1.5703125" style="223" hidden="1"/>
    <col min="8390" max="8390" width="9.5703125" style="223" hidden="1"/>
    <col min="8391" max="8391" width="11.85546875" style="223" hidden="1"/>
    <col min="8392" max="8392" width="10.42578125" style="223" hidden="1"/>
    <col min="8393" max="8393" width="10.28515625" style="223" hidden="1"/>
    <col min="8394" max="8394" width="10.85546875" style="223" hidden="1"/>
    <col min="8395" max="8395" width="9.140625" style="223" hidden="1"/>
    <col min="8396" max="8396" width="8.7109375" style="223" hidden="1"/>
    <col min="8397" max="8397" width="13.5703125" style="223" hidden="1"/>
    <col min="8398" max="8398" width="12.28515625" style="223" hidden="1"/>
    <col min="8399" max="8399" width="0.85546875" style="223" hidden="1"/>
    <col min="8400" max="8400" width="14" style="223" hidden="1"/>
    <col min="8401" max="8401" width="15.5703125" style="223" hidden="1"/>
    <col min="8402" max="8402" width="13.85546875" style="223" hidden="1"/>
    <col min="8403" max="8403" width="13.140625" style="223" hidden="1"/>
    <col min="8404" max="8404" width="9" style="223" hidden="1"/>
    <col min="8405" max="8405" width="13.140625" style="223" hidden="1"/>
    <col min="8406" max="8406" width="8.140625" style="223" hidden="1"/>
    <col min="8407" max="8407" width="5.7109375" style="223" hidden="1"/>
    <col min="8408" max="8408" width="24.5703125" style="223" hidden="1"/>
    <col min="8409" max="8409" width="13.85546875" style="223" hidden="1"/>
    <col min="8410" max="8410" width="13.5703125" style="223" hidden="1"/>
    <col min="8411" max="8642" width="8.140625" style="223" hidden="1"/>
    <col min="8643" max="8643" width="5.85546875" style="223" hidden="1"/>
    <col min="8644" max="8644" width="40.140625" style="223" hidden="1"/>
    <col min="8645" max="8645" width="1.5703125" style="223" hidden="1"/>
    <col min="8646" max="8646" width="9.5703125" style="223" hidden="1"/>
    <col min="8647" max="8647" width="11.85546875" style="223" hidden="1"/>
    <col min="8648" max="8648" width="10.42578125" style="223" hidden="1"/>
    <col min="8649" max="8649" width="10.28515625" style="223" hidden="1"/>
    <col min="8650" max="8650" width="10.85546875" style="223" hidden="1"/>
    <col min="8651" max="8651" width="9.140625" style="223" hidden="1"/>
    <col min="8652" max="8652" width="8.7109375" style="223" hidden="1"/>
    <col min="8653" max="8653" width="13.5703125" style="223" hidden="1"/>
    <col min="8654" max="8654" width="12.28515625" style="223" hidden="1"/>
    <col min="8655" max="8655" width="0.85546875" style="223" hidden="1"/>
    <col min="8656" max="8656" width="14" style="223" hidden="1"/>
    <col min="8657" max="8657" width="15.5703125" style="223" hidden="1"/>
    <col min="8658" max="8658" width="13.85546875" style="223" hidden="1"/>
    <col min="8659" max="8659" width="13.140625" style="223" hidden="1"/>
    <col min="8660" max="8660" width="9" style="223" hidden="1"/>
    <col min="8661" max="8661" width="13.140625" style="223" hidden="1"/>
    <col min="8662" max="8662" width="8.140625" style="223" hidden="1"/>
    <col min="8663" max="8663" width="5.7109375" style="223" hidden="1"/>
    <col min="8664" max="8664" width="24.5703125" style="223" hidden="1"/>
    <col min="8665" max="8665" width="13.85546875" style="223" hidden="1"/>
    <col min="8666" max="8666" width="13.5703125" style="223" hidden="1"/>
    <col min="8667" max="8898" width="8.140625" style="223" hidden="1"/>
    <col min="8899" max="8899" width="5.85546875" style="223" hidden="1"/>
    <col min="8900" max="8900" width="40.140625" style="223" hidden="1"/>
    <col min="8901" max="8901" width="1.5703125" style="223" hidden="1"/>
    <col min="8902" max="8902" width="9.5703125" style="223" hidden="1"/>
    <col min="8903" max="8903" width="11.85546875" style="223" hidden="1"/>
    <col min="8904" max="8904" width="10.42578125" style="223" hidden="1"/>
    <col min="8905" max="8905" width="10.28515625" style="223" hidden="1"/>
    <col min="8906" max="8906" width="10.85546875" style="223" hidden="1"/>
    <col min="8907" max="8907" width="9.140625" style="223" hidden="1"/>
    <col min="8908" max="8908" width="8.7109375" style="223" hidden="1"/>
    <col min="8909" max="8909" width="13.5703125" style="223" hidden="1"/>
    <col min="8910" max="8910" width="12.28515625" style="223" hidden="1"/>
    <col min="8911" max="8911" width="0.85546875" style="223" hidden="1"/>
    <col min="8912" max="8912" width="14" style="223" hidden="1"/>
    <col min="8913" max="8913" width="15.5703125" style="223" hidden="1"/>
    <col min="8914" max="8914" width="13.85546875" style="223" hidden="1"/>
    <col min="8915" max="8915" width="13.140625" style="223" hidden="1"/>
    <col min="8916" max="8916" width="9" style="223" hidden="1"/>
    <col min="8917" max="8917" width="13.140625" style="223" hidden="1"/>
    <col min="8918" max="8918" width="8.140625" style="223" hidden="1"/>
    <col min="8919" max="8919" width="5.7109375" style="223" hidden="1"/>
    <col min="8920" max="8920" width="24.5703125" style="223" hidden="1"/>
    <col min="8921" max="8921" width="13.85546875" style="223" hidden="1"/>
    <col min="8922" max="8922" width="13.5703125" style="223" hidden="1"/>
    <col min="8923" max="9154" width="8.140625" style="223" hidden="1"/>
    <col min="9155" max="9155" width="5.85546875" style="223" hidden="1"/>
    <col min="9156" max="9156" width="40.140625" style="223" hidden="1"/>
    <col min="9157" max="9157" width="1.5703125" style="223" hidden="1"/>
    <col min="9158" max="9158" width="9.5703125" style="223" hidden="1"/>
    <col min="9159" max="9159" width="11.85546875" style="223" hidden="1"/>
    <col min="9160" max="9160" width="10.42578125" style="223" hidden="1"/>
    <col min="9161" max="9161" width="10.28515625" style="223" hidden="1"/>
    <col min="9162" max="9162" width="10.85546875" style="223" hidden="1"/>
    <col min="9163" max="9163" width="9.140625" style="223" hidden="1"/>
    <col min="9164" max="9164" width="8.7109375" style="223" hidden="1"/>
    <col min="9165" max="9165" width="13.5703125" style="223" hidden="1"/>
    <col min="9166" max="9166" width="12.28515625" style="223" hidden="1"/>
    <col min="9167" max="9167" width="0.85546875" style="223" hidden="1"/>
    <col min="9168" max="9168" width="14" style="223" hidden="1"/>
    <col min="9169" max="9169" width="15.5703125" style="223" hidden="1"/>
    <col min="9170" max="9170" width="13.85546875" style="223" hidden="1"/>
    <col min="9171" max="9171" width="13.140625" style="223" hidden="1"/>
    <col min="9172" max="9172" width="9" style="223" hidden="1"/>
    <col min="9173" max="9173" width="13.140625" style="223" hidden="1"/>
    <col min="9174" max="9174" width="8.140625" style="223" hidden="1"/>
    <col min="9175" max="9175" width="5.7109375" style="223" hidden="1"/>
    <col min="9176" max="9176" width="24.5703125" style="223" hidden="1"/>
    <col min="9177" max="9177" width="13.85546875" style="223" hidden="1"/>
    <col min="9178" max="9178" width="13.5703125" style="223" hidden="1"/>
    <col min="9179" max="9410" width="8.140625" style="223" hidden="1"/>
    <col min="9411" max="9411" width="5.85546875" style="223" hidden="1"/>
    <col min="9412" max="9412" width="40.140625" style="223" hidden="1"/>
    <col min="9413" max="9413" width="1.5703125" style="223" hidden="1"/>
    <col min="9414" max="9414" width="9.5703125" style="223" hidden="1"/>
    <col min="9415" max="9415" width="11.85546875" style="223" hidden="1"/>
    <col min="9416" max="9416" width="10.42578125" style="223" hidden="1"/>
    <col min="9417" max="9417" width="10.28515625" style="223" hidden="1"/>
    <col min="9418" max="9418" width="10.85546875" style="223" hidden="1"/>
    <col min="9419" max="9419" width="9.140625" style="223" hidden="1"/>
    <col min="9420" max="9420" width="8.7109375" style="223" hidden="1"/>
    <col min="9421" max="9421" width="13.5703125" style="223" hidden="1"/>
    <col min="9422" max="9422" width="12.28515625" style="223" hidden="1"/>
    <col min="9423" max="9423" width="0.85546875" style="223" hidden="1"/>
    <col min="9424" max="9424" width="14" style="223" hidden="1"/>
    <col min="9425" max="9425" width="15.5703125" style="223" hidden="1"/>
    <col min="9426" max="9426" width="13.85546875" style="223" hidden="1"/>
    <col min="9427" max="9427" width="13.140625" style="223" hidden="1"/>
    <col min="9428" max="9428" width="9" style="223" hidden="1"/>
    <col min="9429" max="9429" width="13.140625" style="223" hidden="1"/>
    <col min="9430" max="9430" width="8.140625" style="223" hidden="1"/>
    <col min="9431" max="9431" width="5.7109375" style="223" hidden="1"/>
    <col min="9432" max="9432" width="24.5703125" style="223" hidden="1"/>
    <col min="9433" max="9433" width="13.85546875" style="223" hidden="1"/>
    <col min="9434" max="9434" width="13.5703125" style="223" hidden="1"/>
    <col min="9435" max="9666" width="8.140625" style="223" hidden="1"/>
    <col min="9667" max="9667" width="5.85546875" style="223" hidden="1"/>
    <col min="9668" max="9668" width="40.140625" style="223" hidden="1"/>
    <col min="9669" max="9669" width="1.5703125" style="223" hidden="1"/>
    <col min="9670" max="9670" width="9.5703125" style="223" hidden="1"/>
    <col min="9671" max="9671" width="11.85546875" style="223" hidden="1"/>
    <col min="9672" max="9672" width="10.42578125" style="223" hidden="1"/>
    <col min="9673" max="9673" width="10.28515625" style="223" hidden="1"/>
    <col min="9674" max="9674" width="10.85546875" style="223" hidden="1"/>
    <col min="9675" max="9675" width="9.140625" style="223" hidden="1"/>
    <col min="9676" max="9676" width="8.7109375" style="223" hidden="1"/>
    <col min="9677" max="9677" width="13.5703125" style="223" hidden="1"/>
    <col min="9678" max="9678" width="12.28515625" style="223" hidden="1"/>
    <col min="9679" max="9679" width="0.85546875" style="223" hidden="1"/>
    <col min="9680" max="9680" width="14" style="223" hidden="1"/>
    <col min="9681" max="9681" width="15.5703125" style="223" hidden="1"/>
    <col min="9682" max="9682" width="13.85546875" style="223" hidden="1"/>
    <col min="9683" max="9683" width="13.140625" style="223" hidden="1"/>
    <col min="9684" max="9684" width="9" style="223" hidden="1"/>
    <col min="9685" max="9685" width="13.140625" style="223" hidden="1"/>
    <col min="9686" max="9686" width="8.140625" style="223" hidden="1"/>
    <col min="9687" max="9687" width="5.7109375" style="223" hidden="1"/>
    <col min="9688" max="9688" width="24.5703125" style="223" hidden="1"/>
    <col min="9689" max="9689" width="13.85546875" style="223" hidden="1"/>
    <col min="9690" max="9690" width="13.5703125" style="223" hidden="1"/>
    <col min="9691" max="9922" width="8.140625" style="223" hidden="1"/>
    <col min="9923" max="9923" width="5.85546875" style="223" hidden="1"/>
    <col min="9924" max="9924" width="40.140625" style="223" hidden="1"/>
    <col min="9925" max="9925" width="1.5703125" style="223" hidden="1"/>
    <col min="9926" max="9926" width="9.5703125" style="223" hidden="1"/>
    <col min="9927" max="9927" width="11.85546875" style="223" hidden="1"/>
    <col min="9928" max="9928" width="10.42578125" style="223" hidden="1"/>
    <col min="9929" max="9929" width="10.28515625" style="223" hidden="1"/>
    <col min="9930" max="9930" width="10.85546875" style="223" hidden="1"/>
    <col min="9931" max="9931" width="9.140625" style="223" hidden="1"/>
    <col min="9932" max="9932" width="8.7109375" style="223" hidden="1"/>
    <col min="9933" max="9933" width="13.5703125" style="223" hidden="1"/>
    <col min="9934" max="9934" width="12.28515625" style="223" hidden="1"/>
    <col min="9935" max="9935" width="0.85546875" style="223" hidden="1"/>
    <col min="9936" max="9936" width="14" style="223" hidden="1"/>
    <col min="9937" max="9937" width="15.5703125" style="223" hidden="1"/>
    <col min="9938" max="9938" width="13.85546875" style="223" hidden="1"/>
    <col min="9939" max="9939" width="13.140625" style="223" hidden="1"/>
    <col min="9940" max="9940" width="9" style="223" hidden="1"/>
    <col min="9941" max="9941" width="13.140625" style="223" hidden="1"/>
    <col min="9942" max="9942" width="8.140625" style="223" hidden="1"/>
    <col min="9943" max="9943" width="5.7109375" style="223" hidden="1"/>
    <col min="9944" max="9944" width="24.5703125" style="223" hidden="1"/>
    <col min="9945" max="9945" width="13.85546875" style="223" hidden="1"/>
    <col min="9946" max="9946" width="13.5703125" style="223" hidden="1"/>
    <col min="9947" max="10178" width="8.140625" style="223" hidden="1"/>
    <col min="10179" max="10179" width="5.85546875" style="223" hidden="1"/>
    <col min="10180" max="10180" width="40.140625" style="223" hidden="1"/>
    <col min="10181" max="10181" width="1.5703125" style="223" hidden="1"/>
    <col min="10182" max="10182" width="9.5703125" style="223" hidden="1"/>
    <col min="10183" max="10183" width="11.85546875" style="223" hidden="1"/>
    <col min="10184" max="10184" width="10.42578125" style="223" hidden="1"/>
    <col min="10185" max="10185" width="10.28515625" style="223" hidden="1"/>
    <col min="10186" max="10186" width="10.85546875" style="223" hidden="1"/>
    <col min="10187" max="10187" width="9.140625" style="223" hidden="1"/>
    <col min="10188" max="10188" width="8.7109375" style="223" hidden="1"/>
    <col min="10189" max="10189" width="13.5703125" style="223" hidden="1"/>
    <col min="10190" max="10190" width="12.28515625" style="223" hidden="1"/>
    <col min="10191" max="10191" width="0.85546875" style="223" hidden="1"/>
    <col min="10192" max="10192" width="14" style="223" hidden="1"/>
    <col min="10193" max="10193" width="15.5703125" style="223" hidden="1"/>
    <col min="10194" max="10194" width="13.85546875" style="223" hidden="1"/>
    <col min="10195" max="10195" width="13.140625" style="223" hidden="1"/>
    <col min="10196" max="10196" width="9" style="223" hidden="1"/>
    <col min="10197" max="10197" width="13.140625" style="223" hidden="1"/>
    <col min="10198" max="10198" width="8.140625" style="223" hidden="1"/>
    <col min="10199" max="10199" width="5.7109375" style="223" hidden="1"/>
    <col min="10200" max="10200" width="24.5703125" style="223" hidden="1"/>
    <col min="10201" max="10201" width="13.85546875" style="223" hidden="1"/>
    <col min="10202" max="10202" width="13.5703125" style="223" hidden="1"/>
    <col min="10203" max="10434" width="8.140625" style="223" hidden="1"/>
    <col min="10435" max="10435" width="5.85546875" style="223" hidden="1"/>
    <col min="10436" max="10436" width="40.140625" style="223" hidden="1"/>
    <col min="10437" max="10437" width="1.5703125" style="223" hidden="1"/>
    <col min="10438" max="10438" width="9.5703125" style="223" hidden="1"/>
    <col min="10439" max="10439" width="11.85546875" style="223" hidden="1"/>
    <col min="10440" max="10440" width="10.42578125" style="223" hidden="1"/>
    <col min="10441" max="10441" width="10.28515625" style="223" hidden="1"/>
    <col min="10442" max="10442" width="10.85546875" style="223" hidden="1"/>
    <col min="10443" max="10443" width="9.140625" style="223" hidden="1"/>
    <col min="10444" max="10444" width="8.7109375" style="223" hidden="1"/>
    <col min="10445" max="10445" width="13.5703125" style="223" hidden="1"/>
    <col min="10446" max="10446" width="12.28515625" style="223" hidden="1"/>
    <col min="10447" max="10447" width="0.85546875" style="223" hidden="1"/>
    <col min="10448" max="10448" width="14" style="223" hidden="1"/>
    <col min="10449" max="10449" width="15.5703125" style="223" hidden="1"/>
    <col min="10450" max="10450" width="13.85546875" style="223" hidden="1"/>
    <col min="10451" max="10451" width="13.140625" style="223" hidden="1"/>
    <col min="10452" max="10452" width="9" style="223" hidden="1"/>
    <col min="10453" max="10453" width="13.140625" style="223" hidden="1"/>
    <col min="10454" max="10454" width="8.140625" style="223" hidden="1"/>
    <col min="10455" max="10455" width="5.7109375" style="223" hidden="1"/>
    <col min="10456" max="10456" width="24.5703125" style="223" hidden="1"/>
    <col min="10457" max="10457" width="13.85546875" style="223" hidden="1"/>
    <col min="10458" max="10458" width="13.5703125" style="223" hidden="1"/>
    <col min="10459" max="10690" width="8.140625" style="223" hidden="1"/>
    <col min="10691" max="10691" width="5.85546875" style="223" hidden="1"/>
    <col min="10692" max="10692" width="40.140625" style="223" hidden="1"/>
    <col min="10693" max="10693" width="1.5703125" style="223" hidden="1"/>
    <col min="10694" max="10694" width="9.5703125" style="223" hidden="1"/>
    <col min="10695" max="10695" width="11.85546875" style="223" hidden="1"/>
    <col min="10696" max="10696" width="10.42578125" style="223" hidden="1"/>
    <col min="10697" max="10697" width="10.28515625" style="223" hidden="1"/>
    <col min="10698" max="10698" width="10.85546875" style="223" hidden="1"/>
    <col min="10699" max="10699" width="9.140625" style="223" hidden="1"/>
    <col min="10700" max="10700" width="8.7109375" style="223" hidden="1"/>
    <col min="10701" max="10701" width="13.5703125" style="223" hidden="1"/>
    <col min="10702" max="10702" width="12.28515625" style="223" hidden="1"/>
    <col min="10703" max="10703" width="0.85546875" style="223" hidden="1"/>
    <col min="10704" max="10704" width="14" style="223" hidden="1"/>
    <col min="10705" max="10705" width="15.5703125" style="223" hidden="1"/>
    <col min="10706" max="10706" width="13.85546875" style="223" hidden="1"/>
    <col min="10707" max="10707" width="13.140625" style="223" hidden="1"/>
    <col min="10708" max="10708" width="9" style="223" hidden="1"/>
    <col min="10709" max="10709" width="13.140625" style="223" hidden="1"/>
    <col min="10710" max="10710" width="8.140625" style="223" hidden="1"/>
    <col min="10711" max="10711" width="5.7109375" style="223" hidden="1"/>
    <col min="10712" max="10712" width="24.5703125" style="223" hidden="1"/>
    <col min="10713" max="10713" width="13.85546875" style="223" hidden="1"/>
    <col min="10714" max="10714" width="13.5703125" style="223" hidden="1"/>
    <col min="10715" max="10946" width="8.140625" style="223" hidden="1"/>
    <col min="10947" max="10947" width="5.85546875" style="223" hidden="1"/>
    <col min="10948" max="10948" width="40.140625" style="223" hidden="1"/>
    <col min="10949" max="10949" width="1.5703125" style="223" hidden="1"/>
    <col min="10950" max="10950" width="9.5703125" style="223" hidden="1"/>
    <col min="10951" max="10951" width="11.85546875" style="223" hidden="1"/>
    <col min="10952" max="10952" width="10.42578125" style="223" hidden="1"/>
    <col min="10953" max="10953" width="10.28515625" style="223" hidden="1"/>
    <col min="10954" max="10954" width="10.85546875" style="223" hidden="1"/>
    <col min="10955" max="10955" width="9.140625" style="223" hidden="1"/>
    <col min="10956" max="10956" width="8.7109375" style="223" hidden="1"/>
    <col min="10957" max="10957" width="13.5703125" style="223" hidden="1"/>
    <col min="10958" max="10958" width="12.28515625" style="223" hidden="1"/>
    <col min="10959" max="10959" width="0.85546875" style="223" hidden="1"/>
    <col min="10960" max="10960" width="14" style="223" hidden="1"/>
    <col min="10961" max="10961" width="15.5703125" style="223" hidden="1"/>
    <col min="10962" max="10962" width="13.85546875" style="223" hidden="1"/>
    <col min="10963" max="10963" width="13.140625" style="223" hidden="1"/>
    <col min="10964" max="10964" width="9" style="223" hidden="1"/>
    <col min="10965" max="10965" width="13.140625" style="223" hidden="1"/>
    <col min="10966" max="10966" width="8.140625" style="223" hidden="1"/>
    <col min="10967" max="10967" width="5.7109375" style="223" hidden="1"/>
    <col min="10968" max="10968" width="24.5703125" style="223" hidden="1"/>
    <col min="10969" max="10969" width="13.85546875" style="223" hidden="1"/>
    <col min="10970" max="10970" width="13.5703125" style="223" hidden="1"/>
    <col min="10971" max="11202" width="8.140625" style="223" hidden="1"/>
    <col min="11203" max="11203" width="5.85546875" style="223" hidden="1"/>
    <col min="11204" max="11204" width="40.140625" style="223" hidden="1"/>
    <col min="11205" max="11205" width="1.5703125" style="223" hidden="1"/>
    <col min="11206" max="11206" width="9.5703125" style="223" hidden="1"/>
    <col min="11207" max="11207" width="11.85546875" style="223" hidden="1"/>
    <col min="11208" max="11208" width="10.42578125" style="223" hidden="1"/>
    <col min="11209" max="11209" width="10.28515625" style="223" hidden="1"/>
    <col min="11210" max="11210" width="10.85546875" style="223" hidden="1"/>
    <col min="11211" max="11211" width="9.140625" style="223" hidden="1"/>
    <col min="11212" max="11212" width="8.7109375" style="223" hidden="1"/>
    <col min="11213" max="11213" width="13.5703125" style="223" hidden="1"/>
    <col min="11214" max="11214" width="12.28515625" style="223" hidden="1"/>
    <col min="11215" max="11215" width="0.85546875" style="223" hidden="1"/>
    <col min="11216" max="11216" width="14" style="223" hidden="1"/>
    <col min="11217" max="11217" width="15.5703125" style="223" hidden="1"/>
    <col min="11218" max="11218" width="13.85546875" style="223" hidden="1"/>
    <col min="11219" max="11219" width="13.140625" style="223" hidden="1"/>
    <col min="11220" max="11220" width="9" style="223" hidden="1"/>
    <col min="11221" max="11221" width="13.140625" style="223" hidden="1"/>
    <col min="11222" max="11222" width="8.140625" style="223" hidden="1"/>
    <col min="11223" max="11223" width="5.7109375" style="223" hidden="1"/>
    <col min="11224" max="11224" width="24.5703125" style="223" hidden="1"/>
    <col min="11225" max="11225" width="13.85546875" style="223" hidden="1"/>
    <col min="11226" max="11226" width="13.5703125" style="223" hidden="1"/>
    <col min="11227" max="11458" width="8.140625" style="223" hidden="1"/>
    <col min="11459" max="11459" width="5.85546875" style="223" hidden="1"/>
    <col min="11460" max="11460" width="40.140625" style="223" hidden="1"/>
    <col min="11461" max="11461" width="1.5703125" style="223" hidden="1"/>
    <col min="11462" max="11462" width="9.5703125" style="223" hidden="1"/>
    <col min="11463" max="11463" width="11.85546875" style="223" hidden="1"/>
    <col min="11464" max="11464" width="10.42578125" style="223" hidden="1"/>
    <col min="11465" max="11465" width="10.28515625" style="223" hidden="1"/>
    <col min="11466" max="11466" width="10.85546875" style="223" hidden="1"/>
    <col min="11467" max="11467" width="9.140625" style="223" hidden="1"/>
    <col min="11468" max="11468" width="8.7109375" style="223" hidden="1"/>
    <col min="11469" max="11469" width="13.5703125" style="223" hidden="1"/>
    <col min="11470" max="11470" width="12.28515625" style="223" hidden="1"/>
    <col min="11471" max="11471" width="0.85546875" style="223" hidden="1"/>
    <col min="11472" max="11472" width="14" style="223" hidden="1"/>
    <col min="11473" max="11473" width="15.5703125" style="223" hidden="1"/>
    <col min="11474" max="11474" width="13.85546875" style="223" hidden="1"/>
    <col min="11475" max="11475" width="13.140625" style="223" hidden="1"/>
    <col min="11476" max="11476" width="9" style="223" hidden="1"/>
    <col min="11477" max="11477" width="13.140625" style="223" hidden="1"/>
    <col min="11478" max="11478" width="8.140625" style="223" hidden="1"/>
    <col min="11479" max="11479" width="5.7109375" style="223" hidden="1"/>
    <col min="11480" max="11480" width="24.5703125" style="223" hidden="1"/>
    <col min="11481" max="11481" width="13.85546875" style="223" hidden="1"/>
    <col min="11482" max="11482" width="13.5703125" style="223" hidden="1"/>
    <col min="11483" max="11714" width="8.140625" style="223" hidden="1"/>
    <col min="11715" max="11715" width="5.85546875" style="223" hidden="1"/>
    <col min="11716" max="11716" width="40.140625" style="223" hidden="1"/>
    <col min="11717" max="11717" width="1.5703125" style="223" hidden="1"/>
    <col min="11718" max="11718" width="9.5703125" style="223" hidden="1"/>
    <col min="11719" max="11719" width="11.85546875" style="223" hidden="1"/>
    <col min="11720" max="11720" width="10.42578125" style="223" hidden="1"/>
    <col min="11721" max="11721" width="10.28515625" style="223" hidden="1"/>
    <col min="11722" max="11722" width="10.85546875" style="223" hidden="1"/>
    <col min="11723" max="11723" width="9.140625" style="223" hidden="1"/>
    <col min="11724" max="11724" width="8.7109375" style="223" hidden="1"/>
    <col min="11725" max="11725" width="13.5703125" style="223" hidden="1"/>
    <col min="11726" max="11726" width="12.28515625" style="223" hidden="1"/>
    <col min="11727" max="11727" width="0.85546875" style="223" hidden="1"/>
    <col min="11728" max="11728" width="14" style="223" hidden="1"/>
    <col min="11729" max="11729" width="15.5703125" style="223" hidden="1"/>
    <col min="11730" max="11730" width="13.85546875" style="223" hidden="1"/>
    <col min="11731" max="11731" width="13.140625" style="223" hidden="1"/>
    <col min="11732" max="11732" width="9" style="223" hidden="1"/>
    <col min="11733" max="11733" width="13.140625" style="223" hidden="1"/>
    <col min="11734" max="11734" width="8.140625" style="223" hidden="1"/>
    <col min="11735" max="11735" width="5.7109375" style="223" hidden="1"/>
    <col min="11736" max="11736" width="24.5703125" style="223" hidden="1"/>
    <col min="11737" max="11737" width="13.85546875" style="223" hidden="1"/>
    <col min="11738" max="11738" width="13.5703125" style="223" hidden="1"/>
    <col min="11739" max="11970" width="8.140625" style="223" hidden="1"/>
    <col min="11971" max="11971" width="5.85546875" style="223" hidden="1"/>
    <col min="11972" max="11972" width="40.140625" style="223" hidden="1"/>
    <col min="11973" max="11973" width="1.5703125" style="223" hidden="1"/>
    <col min="11974" max="11974" width="9.5703125" style="223" hidden="1"/>
    <col min="11975" max="11975" width="11.85546875" style="223" hidden="1"/>
    <col min="11976" max="11976" width="10.42578125" style="223" hidden="1"/>
    <col min="11977" max="11977" width="10.28515625" style="223" hidden="1"/>
    <col min="11978" max="11978" width="10.85546875" style="223" hidden="1"/>
    <col min="11979" max="11979" width="9.140625" style="223" hidden="1"/>
    <col min="11980" max="11980" width="8.7109375" style="223" hidden="1"/>
    <col min="11981" max="11981" width="13.5703125" style="223" hidden="1"/>
    <col min="11982" max="11982" width="12.28515625" style="223" hidden="1"/>
    <col min="11983" max="11983" width="0.85546875" style="223" hidden="1"/>
    <col min="11984" max="11984" width="14" style="223" hidden="1"/>
    <col min="11985" max="11985" width="15.5703125" style="223" hidden="1"/>
    <col min="11986" max="11986" width="13.85546875" style="223" hidden="1"/>
    <col min="11987" max="11987" width="13.140625" style="223" hidden="1"/>
    <col min="11988" max="11988" width="9" style="223" hidden="1"/>
    <col min="11989" max="11989" width="13.140625" style="223" hidden="1"/>
    <col min="11990" max="11990" width="8.140625" style="223" hidden="1"/>
    <col min="11991" max="11991" width="5.7109375" style="223" hidden="1"/>
    <col min="11992" max="11992" width="24.5703125" style="223" hidden="1"/>
    <col min="11993" max="11993" width="13.85546875" style="223" hidden="1"/>
    <col min="11994" max="11994" width="13.5703125" style="223" hidden="1"/>
    <col min="11995" max="12226" width="8.140625" style="223" hidden="1"/>
    <col min="12227" max="12227" width="5.85546875" style="223" hidden="1"/>
    <col min="12228" max="12228" width="40.140625" style="223" hidden="1"/>
    <col min="12229" max="12229" width="1.5703125" style="223" hidden="1"/>
    <col min="12230" max="12230" width="9.5703125" style="223" hidden="1"/>
    <col min="12231" max="12231" width="11.85546875" style="223" hidden="1"/>
    <col min="12232" max="12232" width="10.42578125" style="223" hidden="1"/>
    <col min="12233" max="12233" width="10.28515625" style="223" hidden="1"/>
    <col min="12234" max="12234" width="10.85546875" style="223" hidden="1"/>
    <col min="12235" max="12235" width="9.140625" style="223" hidden="1"/>
    <col min="12236" max="12236" width="8.7109375" style="223" hidden="1"/>
    <col min="12237" max="12237" width="13.5703125" style="223" hidden="1"/>
    <col min="12238" max="12238" width="12.28515625" style="223" hidden="1"/>
    <col min="12239" max="12239" width="0.85546875" style="223" hidden="1"/>
    <col min="12240" max="12240" width="14" style="223" hidden="1"/>
    <col min="12241" max="12241" width="15.5703125" style="223" hidden="1"/>
    <col min="12242" max="12242" width="13.85546875" style="223" hidden="1"/>
    <col min="12243" max="12243" width="13.140625" style="223" hidden="1"/>
    <col min="12244" max="12244" width="9" style="223" hidden="1"/>
    <col min="12245" max="12245" width="13.140625" style="223" hidden="1"/>
    <col min="12246" max="12246" width="8.140625" style="223" hidden="1"/>
    <col min="12247" max="12247" width="5.7109375" style="223" hidden="1"/>
    <col min="12248" max="12248" width="24.5703125" style="223" hidden="1"/>
    <col min="12249" max="12249" width="13.85546875" style="223" hidden="1"/>
    <col min="12250" max="12250" width="13.5703125" style="223" hidden="1"/>
    <col min="12251" max="12482" width="8.140625" style="223" hidden="1"/>
    <col min="12483" max="12483" width="5.85546875" style="223" hidden="1"/>
    <col min="12484" max="12484" width="40.140625" style="223" hidden="1"/>
    <col min="12485" max="12485" width="1.5703125" style="223" hidden="1"/>
    <col min="12486" max="12486" width="9.5703125" style="223" hidden="1"/>
    <col min="12487" max="12487" width="11.85546875" style="223" hidden="1"/>
    <col min="12488" max="12488" width="10.42578125" style="223" hidden="1"/>
    <col min="12489" max="12489" width="10.28515625" style="223" hidden="1"/>
    <col min="12490" max="12490" width="10.85546875" style="223" hidden="1"/>
    <col min="12491" max="12491" width="9.140625" style="223" hidden="1"/>
    <col min="12492" max="12492" width="8.7109375" style="223" hidden="1"/>
    <col min="12493" max="12493" width="13.5703125" style="223" hidden="1"/>
    <col min="12494" max="12494" width="12.28515625" style="223" hidden="1"/>
    <col min="12495" max="12495" width="0.85546875" style="223" hidden="1"/>
    <col min="12496" max="12496" width="14" style="223" hidden="1"/>
    <col min="12497" max="12497" width="15.5703125" style="223" hidden="1"/>
    <col min="12498" max="12498" width="13.85546875" style="223" hidden="1"/>
    <col min="12499" max="12499" width="13.140625" style="223" hidden="1"/>
    <col min="12500" max="12500" width="9" style="223" hidden="1"/>
    <col min="12501" max="12501" width="13.140625" style="223" hidden="1"/>
    <col min="12502" max="12502" width="8.140625" style="223" hidden="1"/>
    <col min="12503" max="12503" width="5.7109375" style="223" hidden="1"/>
    <col min="12504" max="12504" width="24.5703125" style="223" hidden="1"/>
    <col min="12505" max="12505" width="13.85546875" style="223" hidden="1"/>
    <col min="12506" max="12506" width="13.5703125" style="223" hidden="1"/>
    <col min="12507" max="12738" width="8.140625" style="223" hidden="1"/>
    <col min="12739" max="12739" width="5.85546875" style="223" hidden="1"/>
    <col min="12740" max="12740" width="40.140625" style="223" hidden="1"/>
    <col min="12741" max="12741" width="1.5703125" style="223" hidden="1"/>
    <col min="12742" max="12742" width="9.5703125" style="223" hidden="1"/>
    <col min="12743" max="12743" width="11.85546875" style="223" hidden="1"/>
    <col min="12744" max="12744" width="10.42578125" style="223" hidden="1"/>
    <col min="12745" max="12745" width="10.28515625" style="223" hidden="1"/>
    <col min="12746" max="12746" width="10.85546875" style="223" hidden="1"/>
    <col min="12747" max="12747" width="9.140625" style="223" hidden="1"/>
    <col min="12748" max="12748" width="8.7109375" style="223" hidden="1"/>
    <col min="12749" max="12749" width="13.5703125" style="223" hidden="1"/>
    <col min="12750" max="12750" width="12.28515625" style="223" hidden="1"/>
    <col min="12751" max="12751" width="0.85546875" style="223" hidden="1"/>
    <col min="12752" max="12752" width="14" style="223" hidden="1"/>
    <col min="12753" max="12753" width="15.5703125" style="223" hidden="1"/>
    <col min="12754" max="12754" width="13.85546875" style="223" hidden="1"/>
    <col min="12755" max="12755" width="13.140625" style="223" hidden="1"/>
    <col min="12756" max="12756" width="9" style="223" hidden="1"/>
    <col min="12757" max="12757" width="13.140625" style="223" hidden="1"/>
    <col min="12758" max="12758" width="8.140625" style="223" hidden="1"/>
    <col min="12759" max="12759" width="5.7109375" style="223" hidden="1"/>
    <col min="12760" max="12760" width="24.5703125" style="223" hidden="1"/>
    <col min="12761" max="12761" width="13.85546875" style="223" hidden="1"/>
    <col min="12762" max="12762" width="13.5703125" style="223" hidden="1"/>
    <col min="12763" max="12994" width="8.140625" style="223" hidden="1"/>
    <col min="12995" max="12995" width="5.85546875" style="223" hidden="1"/>
    <col min="12996" max="12996" width="40.140625" style="223" hidden="1"/>
    <col min="12997" max="12997" width="1.5703125" style="223" hidden="1"/>
    <col min="12998" max="12998" width="9.5703125" style="223" hidden="1"/>
    <col min="12999" max="12999" width="11.85546875" style="223" hidden="1"/>
    <col min="13000" max="13000" width="10.42578125" style="223" hidden="1"/>
    <col min="13001" max="13001" width="10.28515625" style="223" hidden="1"/>
    <col min="13002" max="13002" width="10.85546875" style="223" hidden="1"/>
    <col min="13003" max="13003" width="9.140625" style="223" hidden="1"/>
    <col min="13004" max="13004" width="8.7109375" style="223" hidden="1"/>
    <col min="13005" max="13005" width="13.5703125" style="223" hidden="1"/>
    <col min="13006" max="13006" width="12.28515625" style="223" hidden="1"/>
    <col min="13007" max="13007" width="0.85546875" style="223" hidden="1"/>
    <col min="13008" max="13008" width="14" style="223" hidden="1"/>
    <col min="13009" max="13009" width="15.5703125" style="223" hidden="1"/>
    <col min="13010" max="13010" width="13.85546875" style="223" hidden="1"/>
    <col min="13011" max="13011" width="13.140625" style="223" hidden="1"/>
    <col min="13012" max="13012" width="9" style="223" hidden="1"/>
    <col min="13013" max="13013" width="13.140625" style="223" hidden="1"/>
    <col min="13014" max="13014" width="8.140625" style="223" hidden="1"/>
    <col min="13015" max="13015" width="5.7109375" style="223" hidden="1"/>
    <col min="13016" max="13016" width="24.5703125" style="223" hidden="1"/>
    <col min="13017" max="13017" width="13.85546875" style="223" hidden="1"/>
    <col min="13018" max="13018" width="13.5703125" style="223" hidden="1"/>
    <col min="13019" max="13250" width="8.140625" style="223" hidden="1"/>
    <col min="13251" max="13251" width="5.85546875" style="223" hidden="1"/>
    <col min="13252" max="13252" width="40.140625" style="223" hidden="1"/>
    <col min="13253" max="13253" width="1.5703125" style="223" hidden="1"/>
    <col min="13254" max="13254" width="9.5703125" style="223" hidden="1"/>
    <col min="13255" max="13255" width="11.85546875" style="223" hidden="1"/>
    <col min="13256" max="13256" width="10.42578125" style="223" hidden="1"/>
    <col min="13257" max="13257" width="10.28515625" style="223" hidden="1"/>
    <col min="13258" max="13258" width="10.85546875" style="223" hidden="1"/>
    <col min="13259" max="13259" width="9.140625" style="223" hidden="1"/>
    <col min="13260" max="13260" width="8.7109375" style="223" hidden="1"/>
    <col min="13261" max="13261" width="13.5703125" style="223" hidden="1"/>
    <col min="13262" max="13262" width="12.28515625" style="223" hidden="1"/>
    <col min="13263" max="13263" width="0.85546875" style="223" hidden="1"/>
    <col min="13264" max="13264" width="14" style="223" hidden="1"/>
    <col min="13265" max="13265" width="15.5703125" style="223" hidden="1"/>
    <col min="13266" max="13266" width="13.85546875" style="223" hidden="1"/>
    <col min="13267" max="13267" width="13.140625" style="223" hidden="1"/>
    <col min="13268" max="13268" width="9" style="223" hidden="1"/>
    <col min="13269" max="13269" width="13.140625" style="223" hidden="1"/>
    <col min="13270" max="13270" width="8.140625" style="223" hidden="1"/>
    <col min="13271" max="13271" width="5.7109375" style="223" hidden="1"/>
    <col min="13272" max="13272" width="24.5703125" style="223" hidden="1"/>
    <col min="13273" max="13273" width="13.85546875" style="223" hidden="1"/>
    <col min="13274" max="13274" width="13.5703125" style="223" hidden="1"/>
    <col min="13275" max="13506" width="8.140625" style="223" hidden="1"/>
    <col min="13507" max="13507" width="5.85546875" style="223" hidden="1"/>
    <col min="13508" max="13508" width="40.140625" style="223" hidden="1"/>
    <col min="13509" max="13509" width="1.5703125" style="223" hidden="1"/>
    <col min="13510" max="13510" width="9.5703125" style="223" hidden="1"/>
    <col min="13511" max="13511" width="11.85546875" style="223" hidden="1"/>
    <col min="13512" max="13512" width="10.42578125" style="223" hidden="1"/>
    <col min="13513" max="13513" width="10.28515625" style="223" hidden="1"/>
    <col min="13514" max="13514" width="10.85546875" style="223" hidden="1"/>
    <col min="13515" max="13515" width="9.140625" style="223" hidden="1"/>
    <col min="13516" max="13516" width="8.7109375" style="223" hidden="1"/>
    <col min="13517" max="13517" width="13.5703125" style="223" hidden="1"/>
    <col min="13518" max="13518" width="12.28515625" style="223" hidden="1"/>
    <col min="13519" max="13519" width="0.85546875" style="223" hidden="1"/>
    <col min="13520" max="13520" width="14" style="223" hidden="1"/>
    <col min="13521" max="13521" width="15.5703125" style="223" hidden="1"/>
    <col min="13522" max="13522" width="13.85546875" style="223" hidden="1"/>
    <col min="13523" max="13523" width="13.140625" style="223" hidden="1"/>
    <col min="13524" max="13524" width="9" style="223" hidden="1"/>
    <col min="13525" max="13525" width="13.140625" style="223" hidden="1"/>
    <col min="13526" max="13526" width="8.140625" style="223" hidden="1"/>
    <col min="13527" max="13527" width="5.7109375" style="223" hidden="1"/>
    <col min="13528" max="13528" width="24.5703125" style="223" hidden="1"/>
    <col min="13529" max="13529" width="13.85546875" style="223" hidden="1"/>
    <col min="13530" max="13530" width="13.5703125" style="223" hidden="1"/>
    <col min="13531" max="13762" width="8.140625" style="223" hidden="1"/>
    <col min="13763" max="13763" width="5.85546875" style="223" hidden="1"/>
    <col min="13764" max="13764" width="40.140625" style="223" hidden="1"/>
    <col min="13765" max="13765" width="1.5703125" style="223" hidden="1"/>
    <col min="13766" max="13766" width="9.5703125" style="223" hidden="1"/>
    <col min="13767" max="13767" width="11.85546875" style="223" hidden="1"/>
    <col min="13768" max="13768" width="10.42578125" style="223" hidden="1"/>
    <col min="13769" max="13769" width="10.28515625" style="223" hidden="1"/>
    <col min="13770" max="13770" width="10.85546875" style="223" hidden="1"/>
    <col min="13771" max="13771" width="9.140625" style="223" hidden="1"/>
    <col min="13772" max="13772" width="8.7109375" style="223" hidden="1"/>
    <col min="13773" max="13773" width="13.5703125" style="223" hidden="1"/>
    <col min="13774" max="13774" width="12.28515625" style="223" hidden="1"/>
    <col min="13775" max="13775" width="0.85546875" style="223" hidden="1"/>
    <col min="13776" max="13776" width="14" style="223" hidden="1"/>
    <col min="13777" max="13777" width="15.5703125" style="223" hidden="1"/>
    <col min="13778" max="13778" width="13.85546875" style="223" hidden="1"/>
    <col min="13779" max="13779" width="13.140625" style="223" hidden="1"/>
    <col min="13780" max="13780" width="9" style="223" hidden="1"/>
    <col min="13781" max="13781" width="13.140625" style="223" hidden="1"/>
    <col min="13782" max="13782" width="8.140625" style="223" hidden="1"/>
    <col min="13783" max="13783" width="5.7109375" style="223" hidden="1"/>
    <col min="13784" max="13784" width="24.5703125" style="223" hidden="1"/>
    <col min="13785" max="13785" width="13.85546875" style="223" hidden="1"/>
    <col min="13786" max="13786" width="13.5703125" style="223" hidden="1"/>
    <col min="13787" max="14018" width="8.140625" style="223" hidden="1"/>
    <col min="14019" max="14019" width="5.85546875" style="223" hidden="1"/>
    <col min="14020" max="14020" width="40.140625" style="223" hidden="1"/>
    <col min="14021" max="14021" width="1.5703125" style="223" hidden="1"/>
    <col min="14022" max="14022" width="9.5703125" style="223" hidden="1"/>
    <col min="14023" max="14023" width="11.85546875" style="223" hidden="1"/>
    <col min="14024" max="14024" width="10.42578125" style="223" hidden="1"/>
    <col min="14025" max="14025" width="10.28515625" style="223" hidden="1"/>
    <col min="14026" max="14026" width="10.85546875" style="223" hidden="1"/>
    <col min="14027" max="14027" width="9.140625" style="223" hidden="1"/>
    <col min="14028" max="14028" width="8.7109375" style="223" hidden="1"/>
    <col min="14029" max="14029" width="13.5703125" style="223" hidden="1"/>
    <col min="14030" max="14030" width="12.28515625" style="223" hidden="1"/>
    <col min="14031" max="14031" width="0.85546875" style="223" hidden="1"/>
    <col min="14032" max="14032" width="14" style="223" hidden="1"/>
    <col min="14033" max="14033" width="15.5703125" style="223" hidden="1"/>
    <col min="14034" max="14034" width="13.85546875" style="223" hidden="1"/>
    <col min="14035" max="14035" width="13.140625" style="223" hidden="1"/>
    <col min="14036" max="14036" width="9" style="223" hidden="1"/>
    <col min="14037" max="14037" width="13.140625" style="223" hidden="1"/>
    <col min="14038" max="14038" width="8.140625" style="223" hidden="1"/>
    <col min="14039" max="14039" width="5.7109375" style="223" hidden="1"/>
    <col min="14040" max="14040" width="24.5703125" style="223" hidden="1"/>
    <col min="14041" max="14041" width="13.85546875" style="223" hidden="1"/>
    <col min="14042" max="14042" width="13.5703125" style="223" hidden="1"/>
    <col min="14043" max="14274" width="8.140625" style="223" hidden="1"/>
    <col min="14275" max="14275" width="5.85546875" style="223" hidden="1"/>
    <col min="14276" max="14276" width="40.140625" style="223" hidden="1"/>
    <col min="14277" max="14277" width="1.5703125" style="223" hidden="1"/>
    <col min="14278" max="14278" width="9.5703125" style="223" hidden="1"/>
    <col min="14279" max="14279" width="11.85546875" style="223" hidden="1"/>
    <col min="14280" max="14280" width="10.42578125" style="223" hidden="1"/>
    <col min="14281" max="14281" width="10.28515625" style="223" hidden="1"/>
    <col min="14282" max="14282" width="10.85546875" style="223" hidden="1"/>
    <col min="14283" max="14283" width="9.140625" style="223" hidden="1"/>
    <col min="14284" max="14284" width="8.7109375" style="223" hidden="1"/>
    <col min="14285" max="14285" width="13.5703125" style="223" hidden="1"/>
    <col min="14286" max="14286" width="12.28515625" style="223" hidden="1"/>
    <col min="14287" max="14287" width="0.85546875" style="223" hidden="1"/>
    <col min="14288" max="14288" width="14" style="223" hidden="1"/>
    <col min="14289" max="14289" width="15.5703125" style="223" hidden="1"/>
    <col min="14290" max="14290" width="13.85546875" style="223" hidden="1"/>
    <col min="14291" max="14291" width="13.140625" style="223" hidden="1"/>
    <col min="14292" max="14292" width="9" style="223" hidden="1"/>
    <col min="14293" max="14293" width="13.140625" style="223" hidden="1"/>
    <col min="14294" max="14294" width="8.140625" style="223" hidden="1"/>
    <col min="14295" max="14295" width="5.7109375" style="223" hidden="1"/>
    <col min="14296" max="14296" width="24.5703125" style="223" hidden="1"/>
    <col min="14297" max="14297" width="13.85546875" style="223" hidden="1"/>
    <col min="14298" max="14298" width="13.5703125" style="223" hidden="1"/>
    <col min="14299" max="14530" width="8.140625" style="223" hidden="1"/>
    <col min="14531" max="14531" width="5.85546875" style="223" hidden="1"/>
    <col min="14532" max="14532" width="40.140625" style="223" hidden="1"/>
    <col min="14533" max="14533" width="1.5703125" style="223" hidden="1"/>
    <col min="14534" max="14534" width="9.5703125" style="223" hidden="1"/>
    <col min="14535" max="14535" width="11.85546875" style="223" hidden="1"/>
    <col min="14536" max="14536" width="10.42578125" style="223" hidden="1"/>
    <col min="14537" max="14537" width="10.28515625" style="223" hidden="1"/>
    <col min="14538" max="14538" width="10.85546875" style="223" hidden="1"/>
    <col min="14539" max="14539" width="9.140625" style="223" hidden="1"/>
    <col min="14540" max="14540" width="8.7109375" style="223" hidden="1"/>
    <col min="14541" max="14541" width="13.5703125" style="223" hidden="1"/>
    <col min="14542" max="14542" width="12.28515625" style="223" hidden="1"/>
    <col min="14543" max="14543" width="0.85546875" style="223" hidden="1"/>
    <col min="14544" max="14544" width="14" style="223" hidden="1"/>
    <col min="14545" max="14545" width="15.5703125" style="223" hidden="1"/>
    <col min="14546" max="14546" width="13.85546875" style="223" hidden="1"/>
    <col min="14547" max="14547" width="13.140625" style="223" hidden="1"/>
    <col min="14548" max="14548" width="9" style="223" hidden="1"/>
    <col min="14549" max="14549" width="13.140625" style="223" hidden="1"/>
    <col min="14550" max="14550" width="8.140625" style="223" hidden="1"/>
    <col min="14551" max="14551" width="5.7109375" style="223" hidden="1"/>
    <col min="14552" max="14552" width="24.5703125" style="223" hidden="1"/>
    <col min="14553" max="14553" width="13.85546875" style="223" hidden="1"/>
    <col min="14554" max="14554" width="13.5703125" style="223" hidden="1"/>
    <col min="14555" max="14786" width="8.140625" style="223" hidden="1"/>
    <col min="14787" max="14787" width="5.85546875" style="223" hidden="1"/>
    <col min="14788" max="14788" width="40.140625" style="223" hidden="1"/>
    <col min="14789" max="14789" width="1.5703125" style="223" hidden="1"/>
    <col min="14790" max="14790" width="9.5703125" style="223" hidden="1"/>
    <col min="14791" max="14791" width="11.85546875" style="223" hidden="1"/>
    <col min="14792" max="14792" width="10.42578125" style="223" hidden="1"/>
    <col min="14793" max="14793" width="10.28515625" style="223" hidden="1"/>
    <col min="14794" max="14794" width="10.85546875" style="223" hidden="1"/>
    <col min="14795" max="14795" width="9.140625" style="223" hidden="1"/>
    <col min="14796" max="14796" width="8.7109375" style="223" hidden="1"/>
    <col min="14797" max="14797" width="13.5703125" style="223" hidden="1"/>
    <col min="14798" max="14798" width="12.28515625" style="223" hidden="1"/>
    <col min="14799" max="14799" width="0.85546875" style="223" hidden="1"/>
    <col min="14800" max="14800" width="14" style="223" hidden="1"/>
    <col min="14801" max="14801" width="15.5703125" style="223" hidden="1"/>
    <col min="14802" max="14802" width="13.85546875" style="223" hidden="1"/>
    <col min="14803" max="14803" width="13.140625" style="223" hidden="1"/>
    <col min="14804" max="14804" width="9" style="223" hidden="1"/>
    <col min="14805" max="14805" width="13.140625" style="223" hidden="1"/>
    <col min="14806" max="14806" width="8.140625" style="223" hidden="1"/>
    <col min="14807" max="14807" width="5.7109375" style="223" hidden="1"/>
    <col min="14808" max="14808" width="24.5703125" style="223" hidden="1"/>
    <col min="14809" max="14809" width="13.85546875" style="223" hidden="1"/>
    <col min="14810" max="14810" width="13.5703125" style="223" hidden="1"/>
    <col min="14811" max="15042" width="8.140625" style="223" hidden="1"/>
    <col min="15043" max="15043" width="5.85546875" style="223" hidden="1"/>
    <col min="15044" max="15044" width="40.140625" style="223" hidden="1"/>
    <col min="15045" max="15045" width="1.5703125" style="223" hidden="1"/>
    <col min="15046" max="15046" width="9.5703125" style="223" hidden="1"/>
    <col min="15047" max="15047" width="11.85546875" style="223" hidden="1"/>
    <col min="15048" max="15048" width="10.42578125" style="223" hidden="1"/>
    <col min="15049" max="15049" width="10.28515625" style="223" hidden="1"/>
    <col min="15050" max="15050" width="10.85546875" style="223" hidden="1"/>
    <col min="15051" max="15051" width="9.140625" style="223" hidden="1"/>
    <col min="15052" max="15052" width="8.7109375" style="223" hidden="1"/>
    <col min="15053" max="15053" width="13.5703125" style="223" hidden="1"/>
    <col min="15054" max="15054" width="12.28515625" style="223" hidden="1"/>
    <col min="15055" max="15055" width="0.85546875" style="223" hidden="1"/>
    <col min="15056" max="15056" width="14" style="223" hidden="1"/>
    <col min="15057" max="15057" width="15.5703125" style="223" hidden="1"/>
    <col min="15058" max="15058" width="13.85546875" style="223" hidden="1"/>
    <col min="15059" max="15059" width="13.140625" style="223" hidden="1"/>
    <col min="15060" max="15060" width="9" style="223" hidden="1"/>
    <col min="15061" max="15061" width="13.140625" style="223" hidden="1"/>
    <col min="15062" max="15062" width="8.140625" style="223" hidden="1"/>
    <col min="15063" max="15063" width="5.7109375" style="223" hidden="1"/>
    <col min="15064" max="15064" width="24.5703125" style="223" hidden="1"/>
    <col min="15065" max="15065" width="13.85546875" style="223" hidden="1"/>
    <col min="15066" max="15066" width="13.5703125" style="223" hidden="1"/>
    <col min="15067" max="15298" width="8.140625" style="223" hidden="1"/>
    <col min="15299" max="15299" width="5.85546875" style="223" hidden="1"/>
    <col min="15300" max="15300" width="40.140625" style="223" hidden="1"/>
    <col min="15301" max="15301" width="1.5703125" style="223" hidden="1"/>
    <col min="15302" max="15302" width="9.5703125" style="223" hidden="1"/>
    <col min="15303" max="15303" width="11.85546875" style="223" hidden="1"/>
    <col min="15304" max="15304" width="10.42578125" style="223" hidden="1"/>
    <col min="15305" max="15305" width="10.28515625" style="223" hidden="1"/>
    <col min="15306" max="15306" width="10.85546875" style="223" hidden="1"/>
    <col min="15307" max="15307" width="9.140625" style="223" hidden="1"/>
    <col min="15308" max="15308" width="8.7109375" style="223" hidden="1"/>
    <col min="15309" max="15309" width="13.5703125" style="223" hidden="1"/>
    <col min="15310" max="15310" width="12.28515625" style="223" hidden="1"/>
    <col min="15311" max="15311" width="0.85546875" style="223" hidden="1"/>
    <col min="15312" max="15312" width="14" style="223" hidden="1"/>
    <col min="15313" max="15313" width="15.5703125" style="223" hidden="1"/>
    <col min="15314" max="15314" width="13.85546875" style="223" hidden="1"/>
    <col min="15315" max="15315" width="13.140625" style="223" hidden="1"/>
    <col min="15316" max="15316" width="9" style="223" hidden="1"/>
    <col min="15317" max="15317" width="13.140625" style="223" hidden="1"/>
    <col min="15318" max="15318" width="8.140625" style="223" hidden="1"/>
    <col min="15319" max="15319" width="5.7109375" style="223" hidden="1"/>
    <col min="15320" max="15320" width="24.5703125" style="223" hidden="1"/>
    <col min="15321" max="15321" width="13.85546875" style="223" hidden="1"/>
    <col min="15322" max="15322" width="13.5703125" style="223" hidden="1"/>
    <col min="15323" max="15554" width="8.140625" style="223" hidden="1"/>
    <col min="15555" max="15555" width="5.85546875" style="223" hidden="1"/>
    <col min="15556" max="15556" width="40.140625" style="223" hidden="1"/>
    <col min="15557" max="15557" width="1.5703125" style="223" hidden="1"/>
    <col min="15558" max="15558" width="9.5703125" style="223" hidden="1"/>
    <col min="15559" max="15559" width="11.85546875" style="223" hidden="1"/>
    <col min="15560" max="15560" width="10.42578125" style="223" hidden="1"/>
    <col min="15561" max="15561" width="10.28515625" style="223" hidden="1"/>
    <col min="15562" max="15562" width="10.85546875" style="223" hidden="1"/>
    <col min="15563" max="15563" width="9.140625" style="223" hidden="1"/>
    <col min="15564" max="15564" width="8.7109375" style="223" hidden="1"/>
    <col min="15565" max="15565" width="13.5703125" style="223" hidden="1"/>
    <col min="15566" max="15566" width="12.28515625" style="223" hidden="1"/>
    <col min="15567" max="15567" width="0.85546875" style="223" hidden="1"/>
    <col min="15568" max="15568" width="14" style="223" hidden="1"/>
    <col min="15569" max="15569" width="15.5703125" style="223" hidden="1"/>
    <col min="15570" max="15570" width="13.85546875" style="223" hidden="1"/>
    <col min="15571" max="15571" width="13.140625" style="223" hidden="1"/>
    <col min="15572" max="15572" width="9" style="223" hidden="1"/>
    <col min="15573" max="15573" width="13.140625" style="223" hidden="1"/>
    <col min="15574" max="15574" width="8.140625" style="223" hidden="1"/>
    <col min="15575" max="15575" width="5.7109375" style="223" hidden="1"/>
    <col min="15576" max="15576" width="24.5703125" style="223" hidden="1"/>
    <col min="15577" max="15577" width="13.85546875" style="223" hidden="1"/>
    <col min="15578" max="15578" width="13.5703125" style="223" hidden="1"/>
    <col min="15579" max="15810" width="8.140625" style="223" hidden="1"/>
    <col min="15811" max="15811" width="5.85546875" style="223" hidden="1"/>
    <col min="15812" max="15812" width="40.140625" style="223" hidden="1"/>
    <col min="15813" max="15813" width="1.5703125" style="223" hidden="1"/>
    <col min="15814" max="15814" width="9.5703125" style="223" hidden="1"/>
    <col min="15815" max="15815" width="11.85546875" style="223" hidden="1"/>
    <col min="15816" max="15816" width="10.42578125" style="223" hidden="1"/>
    <col min="15817" max="15817" width="10.28515625" style="223" hidden="1"/>
    <col min="15818" max="15818" width="10.85546875" style="223" hidden="1"/>
    <col min="15819" max="15819" width="9.140625" style="223" hidden="1"/>
    <col min="15820" max="15820" width="8.7109375" style="223" hidden="1"/>
    <col min="15821" max="15821" width="13.5703125" style="223" hidden="1"/>
    <col min="15822" max="15822" width="12.28515625" style="223" hidden="1"/>
    <col min="15823" max="15823" width="0.85546875" style="223" hidden="1"/>
    <col min="15824" max="15824" width="14" style="223" hidden="1"/>
    <col min="15825" max="15825" width="15.5703125" style="223" hidden="1"/>
    <col min="15826" max="15826" width="13.85546875" style="223" hidden="1"/>
    <col min="15827" max="15827" width="13.140625" style="223" hidden="1"/>
    <col min="15828" max="15828" width="9" style="223" hidden="1"/>
    <col min="15829" max="15829" width="13.140625" style="223" hidden="1"/>
    <col min="15830" max="15830" width="8.140625" style="223" hidden="1"/>
    <col min="15831" max="15831" width="5.7109375" style="223" hidden="1"/>
    <col min="15832" max="15832" width="24.5703125" style="223" hidden="1"/>
    <col min="15833" max="15833" width="13.85546875" style="223" hidden="1"/>
    <col min="15834" max="15834" width="13.5703125" style="223" hidden="1"/>
    <col min="15835" max="16066" width="8.140625" style="223" hidden="1"/>
    <col min="16067" max="16067" width="5.85546875" style="223" hidden="1"/>
    <col min="16068" max="16068" width="40.140625" style="223" hidden="1"/>
    <col min="16069" max="16069" width="1.5703125" style="223" hidden="1"/>
    <col min="16070" max="16070" width="9.5703125" style="223" hidden="1"/>
    <col min="16071" max="16071" width="11.85546875" style="223" hidden="1"/>
    <col min="16072" max="16072" width="10.42578125" style="223" hidden="1"/>
    <col min="16073" max="16073" width="10.28515625" style="223" hidden="1"/>
    <col min="16074" max="16074" width="10.85546875" style="223" hidden="1"/>
    <col min="16075" max="16075" width="9.140625" style="223" hidden="1"/>
    <col min="16076" max="16076" width="8.7109375" style="223" hidden="1"/>
    <col min="16077" max="16077" width="13.5703125" style="223" hidden="1"/>
    <col min="16078" max="16078" width="12.28515625" style="223" hidden="1"/>
    <col min="16079" max="16079" width="0.85546875" style="223" hidden="1"/>
    <col min="16080" max="16080" width="14" style="223" hidden="1"/>
    <col min="16081" max="16081" width="15.5703125" style="223" hidden="1"/>
    <col min="16082" max="16082" width="13.85546875" style="223" hidden="1"/>
    <col min="16083" max="16083" width="13.140625" style="223" hidden="1"/>
    <col min="16084" max="16084" width="9" style="223" hidden="1"/>
    <col min="16085" max="16085" width="13.140625" style="223" hidden="1"/>
    <col min="16086" max="16086" width="8.140625" style="223" hidden="1"/>
    <col min="16087" max="16087" width="5.7109375" style="223" hidden="1"/>
    <col min="16088" max="16088" width="24.5703125" style="223" hidden="1"/>
    <col min="16089" max="16089" width="13.85546875" style="223" hidden="1"/>
    <col min="16090" max="16090" width="13.5703125" style="223" hidden="1"/>
    <col min="16091" max="16384" width="8.140625" style="223" hidden="1"/>
  </cols>
  <sheetData>
    <row r="1" spans="1:17" s="1529" customFormat="1" ht="15" customHeight="1">
      <c r="A1" s="1571" t="s">
        <v>2103</v>
      </c>
      <c r="B1" s="1542" t="s">
        <v>1829</v>
      </c>
      <c r="C1" s="1574"/>
      <c r="D1" s="1573"/>
      <c r="E1" s="1573"/>
      <c r="F1" s="1573"/>
      <c r="G1" s="1574"/>
      <c r="H1" s="1545"/>
      <c r="I1" s="1545"/>
      <c r="J1" s="1550"/>
      <c r="K1" s="217"/>
      <c r="L1" s="217"/>
      <c r="P1" s="1530"/>
      <c r="Q1" s="1530"/>
    </row>
    <row r="2" spans="1:17" s="1529" customFormat="1" ht="15" customHeight="1">
      <c r="B2" s="274" t="s">
        <v>1830</v>
      </c>
      <c r="C2" s="1574"/>
      <c r="D2" s="1573"/>
      <c r="E2" s="1573"/>
      <c r="F2" s="1573"/>
      <c r="G2" s="1574"/>
      <c r="H2" s="1545"/>
      <c r="I2" s="1545"/>
      <c r="J2" s="1550"/>
      <c r="K2" s="217"/>
      <c r="L2" s="217"/>
      <c r="P2" s="1530"/>
      <c r="Q2" s="1530"/>
    </row>
    <row r="3" spans="1:17" s="1529" customFormat="1" ht="15" customHeight="1">
      <c r="B3" s="2017" t="s">
        <v>1045</v>
      </c>
      <c r="C3" s="2027" t="s">
        <v>1987</v>
      </c>
      <c r="D3" s="2014" t="s">
        <v>1823</v>
      </c>
      <c r="E3" s="2014" t="s">
        <v>1824</v>
      </c>
      <c r="F3" s="2014" t="s">
        <v>1825</v>
      </c>
      <c r="G3" s="2027" t="s">
        <v>1984</v>
      </c>
      <c r="H3" s="2022" t="s">
        <v>1974</v>
      </c>
      <c r="I3" s="2023"/>
      <c r="J3" s="2024"/>
      <c r="K3" s="2014" t="s">
        <v>1826</v>
      </c>
      <c r="L3" s="2014" t="s">
        <v>1827</v>
      </c>
      <c r="M3" s="2014" t="s">
        <v>1828</v>
      </c>
      <c r="P3" s="1530"/>
      <c r="Q3" s="1530"/>
    </row>
    <row r="4" spans="1:17" s="1529" customFormat="1" ht="15" customHeight="1">
      <c r="B4" s="2018"/>
      <c r="C4" s="2028"/>
      <c r="D4" s="2015"/>
      <c r="E4" s="2015"/>
      <c r="F4" s="2015"/>
      <c r="G4" s="2028"/>
      <c r="H4" s="2011" t="s">
        <v>1476</v>
      </c>
      <c r="I4" s="2011" t="s">
        <v>1477</v>
      </c>
      <c r="J4" s="2011" t="s">
        <v>1432</v>
      </c>
      <c r="K4" s="2015"/>
      <c r="L4" s="2015"/>
      <c r="M4" s="2015"/>
      <c r="P4" s="1530"/>
      <c r="Q4" s="1530"/>
    </row>
    <row r="5" spans="1:17" s="1529" customFormat="1" ht="15" customHeight="1">
      <c r="B5" s="2018"/>
      <c r="C5" s="2028"/>
      <c r="D5" s="2015"/>
      <c r="E5" s="2015"/>
      <c r="F5" s="2015"/>
      <c r="G5" s="2028"/>
      <c r="H5" s="2012"/>
      <c r="I5" s="2012"/>
      <c r="J5" s="2012"/>
      <c r="K5" s="2015"/>
      <c r="L5" s="2015"/>
      <c r="M5" s="2015"/>
      <c r="P5" s="1530"/>
      <c r="Q5" s="1530"/>
    </row>
    <row r="6" spans="1:17" s="1529" customFormat="1" ht="15" customHeight="1">
      <c r="B6" s="2018"/>
      <c r="C6" s="2028"/>
      <c r="D6" s="2015"/>
      <c r="E6" s="2015"/>
      <c r="F6" s="2015"/>
      <c r="G6" s="2028"/>
      <c r="H6" s="2012"/>
      <c r="I6" s="2012"/>
      <c r="J6" s="2012"/>
      <c r="K6" s="2015"/>
      <c r="L6" s="2015"/>
      <c r="M6" s="2015"/>
      <c r="P6" s="1530"/>
      <c r="Q6" s="1530"/>
    </row>
    <row r="7" spans="1:17" s="1529" customFormat="1" ht="15" customHeight="1">
      <c r="B7" s="2018"/>
      <c r="C7" s="2028"/>
      <c r="D7" s="2015"/>
      <c r="E7" s="2015"/>
      <c r="F7" s="2015"/>
      <c r="G7" s="2028"/>
      <c r="H7" s="2012"/>
      <c r="I7" s="2012"/>
      <c r="J7" s="2012"/>
      <c r="K7" s="2015"/>
      <c r="L7" s="2015"/>
      <c r="M7" s="2015"/>
      <c r="P7" s="1530"/>
      <c r="Q7" s="1530"/>
    </row>
    <row r="8" spans="1:17" s="1529" customFormat="1" ht="15" customHeight="1">
      <c r="B8" s="2018"/>
      <c r="C8" s="2028"/>
      <c r="D8" s="2015"/>
      <c r="E8" s="2015"/>
      <c r="F8" s="2015"/>
      <c r="G8" s="2028"/>
      <c r="H8" s="2012"/>
      <c r="I8" s="2012"/>
      <c r="J8" s="2012"/>
      <c r="K8" s="2015"/>
      <c r="L8" s="2015"/>
      <c r="M8" s="2015"/>
      <c r="P8" s="1530"/>
      <c r="Q8" s="1530"/>
    </row>
    <row r="9" spans="1:17" s="1529" customFormat="1" ht="15" customHeight="1">
      <c r="B9" s="2019"/>
      <c r="C9" s="2029"/>
      <c r="D9" s="2016"/>
      <c r="E9" s="2016"/>
      <c r="F9" s="2016"/>
      <c r="G9" s="2029"/>
      <c r="H9" s="2013"/>
      <c r="I9" s="2013"/>
      <c r="J9" s="2013"/>
      <c r="K9" s="2016"/>
      <c r="L9" s="2016"/>
      <c r="M9" s="2016"/>
      <c r="P9" s="1530"/>
      <c r="Q9" s="1530"/>
    </row>
    <row r="10" spans="1:17" s="1529" customFormat="1" ht="15" customHeight="1">
      <c r="B10" s="1575"/>
      <c r="C10" s="1576"/>
      <c r="D10" s="1577"/>
      <c r="E10" s="1577"/>
      <c r="F10" s="1577"/>
      <c r="G10" s="1576"/>
      <c r="H10" s="1576"/>
      <c r="I10" s="1576"/>
      <c r="J10" s="1576"/>
      <c r="K10" s="1577"/>
      <c r="L10" s="1577"/>
      <c r="M10" s="1577"/>
      <c r="P10" s="1530"/>
      <c r="Q10" s="1530"/>
    </row>
    <row r="11" spans="1:17">
      <c r="B11" s="1578" t="s">
        <v>1831</v>
      </c>
      <c r="K11" s="1532"/>
      <c r="L11" s="1532"/>
    </row>
    <row r="12" spans="1:17">
      <c r="A12" s="1543"/>
      <c r="B12" s="1534" t="s">
        <v>2068</v>
      </c>
      <c r="C12" s="1581">
        <v>0</v>
      </c>
      <c r="D12" s="1544">
        <v>15000</v>
      </c>
      <c r="E12" s="1544">
        <v>0</v>
      </c>
      <c r="F12" s="1544">
        <v>15000</v>
      </c>
      <c r="G12" s="1582">
        <v>0</v>
      </c>
      <c r="H12" s="1582">
        <v>0</v>
      </c>
      <c r="I12" s="1582">
        <v>0</v>
      </c>
      <c r="J12" s="1581">
        <v>0</v>
      </c>
      <c r="K12" s="1643">
        <v>0</v>
      </c>
      <c r="L12" s="1643">
        <v>0</v>
      </c>
      <c r="M12" s="1728">
        <v>0</v>
      </c>
      <c r="N12" s="223">
        <v>-525910</v>
      </c>
      <c r="O12" s="223">
        <f>N12/1000</f>
        <v>-525.91</v>
      </c>
    </row>
    <row r="13" spans="1:17">
      <c r="A13" s="1543"/>
      <c r="B13" s="1534" t="s">
        <v>1832</v>
      </c>
      <c r="C13" s="1581">
        <v>18000</v>
      </c>
      <c r="D13" s="1544">
        <v>28500</v>
      </c>
      <c r="E13" s="1544">
        <v>0</v>
      </c>
      <c r="F13" s="1544">
        <v>46500</v>
      </c>
      <c r="G13" s="1582">
        <v>0</v>
      </c>
      <c r="H13" s="1582">
        <v>0</v>
      </c>
      <c r="I13" s="1582">
        <v>0</v>
      </c>
      <c r="J13" s="1581">
        <v>0</v>
      </c>
      <c r="K13" s="1643">
        <v>0</v>
      </c>
      <c r="L13" s="1643">
        <v>0</v>
      </c>
      <c r="M13" s="1728">
        <v>0</v>
      </c>
    </row>
    <row r="14" spans="1:17">
      <c r="A14" s="1543"/>
      <c r="B14" s="1534" t="s">
        <v>2069</v>
      </c>
      <c r="C14" s="1581">
        <v>71000</v>
      </c>
      <c r="D14" s="1544">
        <v>65000</v>
      </c>
      <c r="E14" s="1544">
        <v>0</v>
      </c>
      <c r="F14" s="1544">
        <v>125000</v>
      </c>
      <c r="G14" s="1582">
        <v>11000</v>
      </c>
      <c r="H14" s="1582">
        <v>1622.739</v>
      </c>
      <c r="I14" s="1582">
        <v>1446.17</v>
      </c>
      <c r="J14" s="1581">
        <v>-176.56899999999996</v>
      </c>
      <c r="K14" s="1643">
        <v>1.7291062492190944E-4</v>
      </c>
      <c r="L14" s="1643">
        <v>3.450017112986915E-4</v>
      </c>
      <c r="M14" s="1728">
        <v>0.02</v>
      </c>
    </row>
    <row r="15" spans="1:17">
      <c r="A15" s="1543"/>
      <c r="B15" s="1534"/>
      <c r="C15" s="1581"/>
      <c r="D15" s="1544"/>
      <c r="E15" s="1544"/>
      <c r="F15" s="1544"/>
      <c r="G15" s="1582"/>
      <c r="H15" s="1586">
        <v>1622.739</v>
      </c>
      <c r="I15" s="1586">
        <v>1446.17</v>
      </c>
      <c r="J15" s="1586">
        <v>-176.56899999999996</v>
      </c>
      <c r="K15" s="1643"/>
      <c r="L15" s="1643"/>
      <c r="M15" s="1728"/>
    </row>
    <row r="16" spans="1:17">
      <c r="A16" s="1543"/>
      <c r="B16" s="1534"/>
      <c r="C16" s="1581"/>
      <c r="D16" s="1544"/>
      <c r="E16" s="1544"/>
      <c r="F16" s="1544"/>
      <c r="G16" s="1582"/>
      <c r="H16" s="1582"/>
      <c r="I16" s="1582"/>
      <c r="J16" s="1581"/>
      <c r="K16" s="1643"/>
      <c r="L16" s="1643"/>
      <c r="M16" s="1728"/>
    </row>
    <row r="17" spans="1:17" s="1011" customFormat="1" ht="15" customHeight="1">
      <c r="A17" s="1538"/>
      <c r="B17" s="1584" t="s">
        <v>1833</v>
      </c>
      <c r="C17" s="1581"/>
      <c r="D17" s="1545"/>
      <c r="E17" s="1545"/>
      <c r="F17" s="1545"/>
      <c r="G17" s="1582"/>
      <c r="H17" s="1582"/>
      <c r="I17" s="1582"/>
      <c r="J17" s="1582"/>
      <c r="M17" s="1729"/>
      <c r="O17" s="223">
        <f t="shared" ref="O17:O99" si="0">N17/1000</f>
        <v>0</v>
      </c>
    </row>
    <row r="18" spans="1:17">
      <c r="A18" s="1533"/>
      <c r="B18" s="1583" t="s">
        <v>1834</v>
      </c>
      <c r="C18" s="1581">
        <v>2192500</v>
      </c>
      <c r="D18" s="1581">
        <v>1636500</v>
      </c>
      <c r="E18" s="1544">
        <v>0</v>
      </c>
      <c r="F18" s="1581">
        <v>3758500</v>
      </c>
      <c r="G18" s="1582">
        <v>70500</v>
      </c>
      <c r="H18" s="1582">
        <v>2172.8029999999999</v>
      </c>
      <c r="I18" s="1582">
        <v>1942.2750000000001</v>
      </c>
      <c r="J18" s="1581">
        <v>-230.52799999999979</v>
      </c>
      <c r="K18" s="1643">
        <v>2.3222718215714725E-4</v>
      </c>
      <c r="L18" s="1643">
        <v>4.633536851218501E-4</v>
      </c>
      <c r="M18" s="1728">
        <v>0.01</v>
      </c>
      <c r="N18" s="223">
        <v>-3292997</v>
      </c>
      <c r="O18" s="223">
        <f t="shared" si="0"/>
        <v>-3292.9969999999998</v>
      </c>
    </row>
    <row r="19" spans="1:17">
      <c r="A19" s="1533"/>
      <c r="B19" s="1583" t="s">
        <v>2070</v>
      </c>
      <c r="C19" s="1581">
        <v>201500</v>
      </c>
      <c r="D19" s="1544">
        <v>5849500</v>
      </c>
      <c r="E19" s="1544">
        <v>0</v>
      </c>
      <c r="F19" s="1544">
        <v>5003500</v>
      </c>
      <c r="G19" s="1582">
        <v>1047500</v>
      </c>
      <c r="H19" s="1582">
        <v>23068.255000000001</v>
      </c>
      <c r="I19" s="1582">
        <v>19776.8</v>
      </c>
      <c r="J19" s="1581">
        <v>-3291.4550000000017</v>
      </c>
      <c r="K19" s="1643">
        <v>2.3646036406201332E-3</v>
      </c>
      <c r="L19" s="1643">
        <v>4.7179998506482372E-3</v>
      </c>
      <c r="M19" s="1728">
        <v>0.37</v>
      </c>
      <c r="O19" s="223">
        <f t="shared" si="0"/>
        <v>0</v>
      </c>
    </row>
    <row r="20" spans="1:17">
      <c r="A20" s="1533"/>
      <c r="B20" s="1583"/>
      <c r="C20" s="1581"/>
      <c r="D20" s="1544"/>
      <c r="E20" s="1544"/>
      <c r="F20" s="1544"/>
      <c r="G20" s="1582"/>
      <c r="H20" s="1586">
        <v>25241.058000000001</v>
      </c>
      <c r="I20" s="1586">
        <v>21719.075000000001</v>
      </c>
      <c r="J20" s="1586">
        <v>-3521.9830000000015</v>
      </c>
      <c r="M20" s="1728"/>
    </row>
    <row r="21" spans="1:17" ht="17.25" customHeight="1">
      <c r="A21" s="1533"/>
      <c r="B21" s="1584" t="s">
        <v>1835</v>
      </c>
      <c r="C21" s="1581"/>
      <c r="D21" s="1544"/>
      <c r="E21" s="1544"/>
      <c r="F21" s="1544"/>
      <c r="G21" s="1582"/>
      <c r="H21" s="1582"/>
      <c r="I21" s="1582"/>
      <c r="J21" s="1582"/>
      <c r="M21" s="1728"/>
      <c r="O21" s="223">
        <f t="shared" si="0"/>
        <v>0</v>
      </c>
    </row>
    <row r="22" spans="1:17" ht="17.25" customHeight="1">
      <c r="A22" s="1533"/>
      <c r="B22" s="1730" t="s">
        <v>1884</v>
      </c>
      <c r="C22" s="1731">
        <v>1000000</v>
      </c>
      <c r="D22" s="1544">
        <v>3751500</v>
      </c>
      <c r="E22" s="1544">
        <v>0</v>
      </c>
      <c r="F22" s="1544">
        <v>3500500</v>
      </c>
      <c r="G22" s="1582">
        <v>1251000</v>
      </c>
      <c r="H22" s="1732">
        <v>204972.72200000001</v>
      </c>
      <c r="I22" s="1732">
        <v>179168.22</v>
      </c>
      <c r="J22" s="1581">
        <v>-25804.502000000008</v>
      </c>
      <c r="K22" s="1643">
        <v>2.1422162599380536E-2</v>
      </c>
      <c r="L22" s="1643">
        <v>4.2742791311077145E-2</v>
      </c>
      <c r="M22" s="1728">
        <v>0.64</v>
      </c>
      <c r="N22" s="223">
        <v>0</v>
      </c>
      <c r="O22" s="223">
        <f t="shared" si="0"/>
        <v>0</v>
      </c>
    </row>
    <row r="23" spans="1:17" ht="12" customHeight="1">
      <c r="A23" s="1533"/>
      <c r="B23" s="1583" t="s">
        <v>2107</v>
      </c>
      <c r="C23" s="1581">
        <v>341500</v>
      </c>
      <c r="D23" s="1581">
        <v>1605500</v>
      </c>
      <c r="E23" s="1544">
        <v>0</v>
      </c>
      <c r="F23" s="1581">
        <v>1579000</v>
      </c>
      <c r="G23" s="1582">
        <v>368000</v>
      </c>
      <c r="H23" s="1582">
        <v>34399.646000000001</v>
      </c>
      <c r="I23" s="1582">
        <v>32538.560000000001</v>
      </c>
      <c r="J23" s="1581">
        <v>-1861.0859999999993</v>
      </c>
      <c r="K23" s="1643">
        <v>3.8904573761446063E-3</v>
      </c>
      <c r="L23" s="1643">
        <v>7.7624752851982483E-3</v>
      </c>
      <c r="M23" s="1728">
        <v>0.08</v>
      </c>
      <c r="N23" s="223">
        <v>-1026197</v>
      </c>
      <c r="O23" s="223">
        <f t="shared" si="0"/>
        <v>-1026.1969999999999</v>
      </c>
    </row>
    <row r="24" spans="1:17" ht="11.25" customHeight="1">
      <c r="A24" s="1533"/>
      <c r="B24" s="1583" t="s">
        <v>1837</v>
      </c>
      <c r="C24" s="1581">
        <v>79500</v>
      </c>
      <c r="D24" s="1544">
        <v>362500</v>
      </c>
      <c r="E24" s="1544">
        <v>0</v>
      </c>
      <c r="F24" s="1544">
        <v>420000</v>
      </c>
      <c r="G24" s="1582">
        <v>22000</v>
      </c>
      <c r="H24" s="1582">
        <v>480.28199999999998</v>
      </c>
      <c r="I24" s="1582">
        <v>394.9</v>
      </c>
      <c r="J24" s="1581">
        <v>-85.382000000000005</v>
      </c>
      <c r="K24" s="1643">
        <v>4.7216029776348579E-5</v>
      </c>
      <c r="L24" s="1643">
        <v>9.4208271359420574E-5</v>
      </c>
      <c r="M24" s="1728">
        <v>0</v>
      </c>
      <c r="N24" s="223">
        <v>-227194</v>
      </c>
      <c r="O24" s="223">
        <f t="shared" si="0"/>
        <v>-227.19399999999999</v>
      </c>
    </row>
    <row r="25" spans="1:17" ht="11.25" customHeight="1">
      <c r="A25" s="1533"/>
      <c r="B25" s="1583" t="s">
        <v>1838</v>
      </c>
      <c r="C25" s="1581">
        <v>102500</v>
      </c>
      <c r="D25" s="1544">
        <v>309000</v>
      </c>
      <c r="E25" s="1544">
        <v>0</v>
      </c>
      <c r="F25" s="1544">
        <v>310500</v>
      </c>
      <c r="G25" s="1582">
        <v>101000</v>
      </c>
      <c r="H25" s="1582">
        <v>80973.043000000005</v>
      </c>
      <c r="I25" s="1582">
        <v>73012.899999999994</v>
      </c>
      <c r="J25" s="1581">
        <v>-7960.1430000000109</v>
      </c>
      <c r="K25" s="1643">
        <v>8.7297524954610319E-3</v>
      </c>
      <c r="L25" s="1643">
        <v>1.7418128883105188E-2</v>
      </c>
      <c r="M25" s="1728">
        <v>0.03</v>
      </c>
    </row>
    <row r="26" spans="1:17" ht="11.25" customHeight="1">
      <c r="A26" s="1533"/>
      <c r="B26" s="1583" t="s">
        <v>1839</v>
      </c>
      <c r="C26" s="1581">
        <v>589000</v>
      </c>
      <c r="D26" s="1544">
        <v>4175000</v>
      </c>
      <c r="E26" s="1544">
        <v>0</v>
      </c>
      <c r="F26" s="1544">
        <v>4430000</v>
      </c>
      <c r="G26" s="1582">
        <v>334000</v>
      </c>
      <c r="H26" s="1582">
        <v>12660.671</v>
      </c>
      <c r="I26" s="1582">
        <v>11756.8</v>
      </c>
      <c r="J26" s="1581">
        <v>-903.871000000001</v>
      </c>
      <c r="K26" s="1643">
        <v>1.4056961733972524E-3</v>
      </c>
      <c r="L26" s="1643">
        <v>2.8047298169623595E-3</v>
      </c>
      <c r="M26" s="1728">
        <v>0.03</v>
      </c>
    </row>
    <row r="27" spans="1:17" ht="11.25" customHeight="1">
      <c r="A27" s="1533"/>
      <c r="B27" s="1583" t="s">
        <v>1840</v>
      </c>
      <c r="C27" s="1581">
        <v>26000</v>
      </c>
      <c r="D27" s="1544">
        <v>246000</v>
      </c>
      <c r="E27" s="1544">
        <v>0</v>
      </c>
      <c r="F27" s="1544">
        <v>88000</v>
      </c>
      <c r="G27" s="1582">
        <v>184000</v>
      </c>
      <c r="H27" s="1582">
        <v>18848.922999999999</v>
      </c>
      <c r="I27" s="1582">
        <v>16249.04</v>
      </c>
      <c r="J27" s="1581">
        <v>-2599.882999999998</v>
      </c>
      <c r="K27" s="1643">
        <v>1.9428087021450475E-3</v>
      </c>
      <c r="L27" s="1643">
        <v>3.8764091406687249E-3</v>
      </c>
      <c r="M27" s="1728">
        <v>0.08</v>
      </c>
    </row>
    <row r="28" spans="1:17" ht="11.25" customHeight="1">
      <c r="A28" s="1533"/>
      <c r="B28" s="1583" t="s">
        <v>2108</v>
      </c>
      <c r="C28" s="1581">
        <v>454000</v>
      </c>
      <c r="D28" s="1544">
        <v>256500</v>
      </c>
      <c r="E28" s="1544">
        <v>0</v>
      </c>
      <c r="F28" s="1544">
        <v>654500</v>
      </c>
      <c r="G28" s="1582">
        <v>56000</v>
      </c>
      <c r="H28" s="1582">
        <v>465.47199999999998</v>
      </c>
      <c r="I28" s="1582">
        <v>393.12</v>
      </c>
      <c r="J28" s="1581">
        <v>-72.351999999999975</v>
      </c>
      <c r="K28" s="1643">
        <v>4.7003204927014828E-5</v>
      </c>
      <c r="L28" s="1643">
        <v>9.3783630379375577E-5</v>
      </c>
      <c r="M28" s="1728">
        <v>0.01</v>
      </c>
    </row>
    <row r="29" spans="1:17">
      <c r="A29" s="1533"/>
      <c r="B29" s="1583"/>
      <c r="C29" s="1581"/>
      <c r="D29" s="223"/>
      <c r="E29" s="223"/>
      <c r="F29" s="223"/>
      <c r="G29" s="1582"/>
      <c r="H29" s="1586">
        <v>352800.75900000002</v>
      </c>
      <c r="I29" s="1586">
        <v>313513.53999999992</v>
      </c>
      <c r="J29" s="1586">
        <v>-39287.219000000012</v>
      </c>
      <c r="K29" s="1587"/>
      <c r="L29" s="1588"/>
      <c r="M29" s="1728"/>
      <c r="O29" s="223">
        <f t="shared" si="0"/>
        <v>0</v>
      </c>
    </row>
    <row r="30" spans="1:17">
      <c r="A30" s="1533"/>
      <c r="B30" s="1584" t="s">
        <v>1841</v>
      </c>
      <c r="C30" s="1581"/>
      <c r="D30" s="1544"/>
      <c r="E30" s="1544"/>
      <c r="F30" s="1544"/>
      <c r="G30" s="1582"/>
      <c r="H30" s="1582"/>
      <c r="I30" s="1582"/>
      <c r="J30" s="1582"/>
      <c r="K30" s="1589"/>
      <c r="L30" s="1123"/>
      <c r="M30" s="1728"/>
      <c r="O30" s="223">
        <f t="shared" si="0"/>
        <v>0</v>
      </c>
      <c r="P30" s="1590"/>
      <c r="Q30" s="1590"/>
    </row>
    <row r="31" spans="1:17">
      <c r="A31" s="1533"/>
      <c r="B31" s="1583" t="s">
        <v>1842</v>
      </c>
      <c r="C31" s="1581">
        <v>1466000</v>
      </c>
      <c r="D31" s="1544">
        <v>1887500</v>
      </c>
      <c r="E31" s="1544">
        <v>0</v>
      </c>
      <c r="F31" s="1544">
        <v>3322000</v>
      </c>
      <c r="G31" s="1582">
        <v>31500</v>
      </c>
      <c r="H31" s="1582">
        <v>1800.4770000000001</v>
      </c>
      <c r="I31" s="1582">
        <v>1734.7049999999999</v>
      </c>
      <c r="J31" s="1581">
        <v>-65.772000000000162</v>
      </c>
      <c r="K31" s="1643">
        <v>2.0740917430534507E-4</v>
      </c>
      <c r="L31" s="1643">
        <v>4.1383529847694014E-4</v>
      </c>
      <c r="M31" s="1728">
        <v>0</v>
      </c>
      <c r="O31" s="223">
        <f t="shared" si="0"/>
        <v>0</v>
      </c>
      <c r="P31" s="1590"/>
      <c r="Q31" s="1590"/>
    </row>
    <row r="32" spans="1:17">
      <c r="A32" s="1533"/>
      <c r="B32" s="1583" t="s">
        <v>2071</v>
      </c>
      <c r="C32" s="1581">
        <v>3939500</v>
      </c>
      <c r="D32" s="1544">
        <v>19359000</v>
      </c>
      <c r="E32" s="1544">
        <v>0</v>
      </c>
      <c r="F32" s="1544">
        <v>23243500</v>
      </c>
      <c r="G32" s="1582">
        <v>55000</v>
      </c>
      <c r="H32" s="1582">
        <v>2567.6640000000002</v>
      </c>
      <c r="I32" s="1582">
        <v>1953.6</v>
      </c>
      <c r="J32" s="1581">
        <v>-614.06400000000031</v>
      </c>
      <c r="K32" s="1643">
        <v>2.3358125036990272E-4</v>
      </c>
      <c r="L32" s="1643">
        <v>4.660554037167993E-4</v>
      </c>
      <c r="M32" s="1728">
        <v>0.02</v>
      </c>
      <c r="N32" s="223">
        <v>-14996</v>
      </c>
      <c r="O32" s="223">
        <f t="shared" si="0"/>
        <v>-14.996</v>
      </c>
      <c r="P32" s="1590"/>
      <c r="Q32" s="1590"/>
    </row>
    <row r="33" spans="1:17">
      <c r="A33" s="1533"/>
      <c r="B33" s="1583" t="s">
        <v>1843</v>
      </c>
      <c r="C33" s="1581">
        <v>202000</v>
      </c>
      <c r="D33" s="1544">
        <v>504000</v>
      </c>
      <c r="E33" s="1544">
        <v>0</v>
      </c>
      <c r="F33" s="1544">
        <v>664000</v>
      </c>
      <c r="G33" s="1582">
        <v>42000</v>
      </c>
      <c r="H33" s="1582">
        <v>572.31700000000001</v>
      </c>
      <c r="I33" s="1582">
        <v>587.58000000000004</v>
      </c>
      <c r="J33" s="1581">
        <v>15.263000000000034</v>
      </c>
      <c r="K33" s="1643">
        <v>7.0253721894117258E-5</v>
      </c>
      <c r="L33" s="1643">
        <v>1.4017446463754962E-4</v>
      </c>
      <c r="M33" s="1728">
        <v>0</v>
      </c>
      <c r="N33" s="223">
        <v>-3406</v>
      </c>
      <c r="O33" s="223">
        <f t="shared" si="0"/>
        <v>-3.4060000000000001</v>
      </c>
      <c r="P33" s="1590"/>
      <c r="Q33" s="1590"/>
    </row>
    <row r="34" spans="1:17">
      <c r="A34" s="1533"/>
      <c r="B34" s="1583"/>
      <c r="C34" s="1581"/>
      <c r="D34" s="1544"/>
      <c r="E34" s="1544"/>
      <c r="F34" s="1544"/>
      <c r="G34" s="1582"/>
      <c r="H34" s="1586">
        <v>4940.4580000000005</v>
      </c>
      <c r="I34" s="1586">
        <v>4275.8850000000002</v>
      </c>
      <c r="J34" s="1586">
        <v>-664.57300000000043</v>
      </c>
      <c r="K34" s="1589"/>
      <c r="L34" s="1591"/>
      <c r="M34" s="1728"/>
      <c r="O34" s="223">
        <f t="shared" si="0"/>
        <v>0</v>
      </c>
      <c r="P34" s="1590"/>
      <c r="Q34" s="1590"/>
    </row>
    <row r="35" spans="1:17">
      <c r="A35" s="1533"/>
      <c r="B35" s="1715" t="s">
        <v>1073</v>
      </c>
      <c r="C35" s="1581"/>
      <c r="D35" s="1544"/>
      <c r="E35" s="1544"/>
      <c r="F35" s="1544"/>
      <c r="G35" s="1582"/>
      <c r="H35" s="1582"/>
      <c r="I35" s="1582"/>
      <c r="J35" s="1582"/>
      <c r="K35" s="1589"/>
      <c r="L35" s="1123"/>
      <c r="M35" s="1728"/>
      <c r="O35" s="223">
        <f t="shared" ref="O35:O39" si="1">N35/1000</f>
        <v>0</v>
      </c>
      <c r="P35" s="1590"/>
      <c r="Q35" s="1590"/>
    </row>
    <row r="36" spans="1:17">
      <c r="A36" s="1533"/>
      <c r="B36" s="1583" t="s">
        <v>2072</v>
      </c>
      <c r="C36" s="1581">
        <v>0</v>
      </c>
      <c r="D36" s="1544">
        <v>500</v>
      </c>
      <c r="E36" s="1544">
        <v>0</v>
      </c>
      <c r="F36" s="1544">
        <v>500</v>
      </c>
      <c r="G36" s="1582">
        <v>0</v>
      </c>
      <c r="H36" s="1582">
        <v>0</v>
      </c>
      <c r="I36" s="1582">
        <v>0</v>
      </c>
      <c r="J36" s="1581">
        <v>0</v>
      </c>
      <c r="K36" s="1643">
        <v>0</v>
      </c>
      <c r="L36" s="1643">
        <v>0</v>
      </c>
      <c r="M36" s="1728">
        <v>0</v>
      </c>
      <c r="O36" s="223">
        <f t="shared" si="1"/>
        <v>0</v>
      </c>
      <c r="P36" s="1590"/>
      <c r="Q36" s="1590"/>
    </row>
    <row r="37" spans="1:17">
      <c r="A37" s="1533"/>
      <c r="B37" s="1583" t="s">
        <v>1649</v>
      </c>
      <c r="C37" s="1581">
        <v>0</v>
      </c>
      <c r="D37" s="1544">
        <v>200000</v>
      </c>
      <c r="E37" s="1544">
        <v>0</v>
      </c>
      <c r="F37" s="1544">
        <v>100000</v>
      </c>
      <c r="G37" s="1582">
        <v>100000</v>
      </c>
      <c r="H37" s="1582">
        <v>11720</v>
      </c>
      <c r="I37" s="1582">
        <v>10935</v>
      </c>
      <c r="J37" s="1581">
        <v>-785</v>
      </c>
      <c r="K37" s="1643">
        <v>1.3074380491374317E-3</v>
      </c>
      <c r="L37" s="1643">
        <v>2.6086792790966421E-3</v>
      </c>
      <c r="M37" s="1728">
        <v>0.01</v>
      </c>
      <c r="N37" s="223">
        <v>-14996</v>
      </c>
      <c r="O37" s="223">
        <f t="shared" si="1"/>
        <v>-14.996</v>
      </c>
      <c r="P37" s="1590"/>
      <c r="Q37" s="1590"/>
    </row>
    <row r="38" spans="1:17">
      <c r="A38" s="1533"/>
      <c r="B38" s="1583"/>
      <c r="C38" s="1581"/>
      <c r="D38" s="1544"/>
      <c r="E38" s="1544"/>
      <c r="F38" s="1544"/>
      <c r="G38" s="1582"/>
      <c r="H38" s="1582"/>
      <c r="I38" s="1582"/>
      <c r="J38" s="1581"/>
      <c r="K38" s="1643"/>
      <c r="L38" s="1643"/>
      <c r="M38" s="1728"/>
      <c r="P38" s="1590"/>
      <c r="Q38" s="1590"/>
    </row>
    <row r="39" spans="1:17">
      <c r="A39" s="1533"/>
      <c r="B39" s="1583"/>
      <c r="C39" s="1581"/>
      <c r="D39" s="1544"/>
      <c r="E39" s="1544"/>
      <c r="F39" s="1544"/>
      <c r="G39" s="1582"/>
      <c r="H39" s="1586">
        <v>11720</v>
      </c>
      <c r="I39" s="1586">
        <v>10935</v>
      </c>
      <c r="J39" s="1586">
        <v>-785</v>
      </c>
      <c r="K39" s="1589"/>
      <c r="L39" s="1591"/>
      <c r="M39" s="1728"/>
      <c r="O39" s="223">
        <f t="shared" si="1"/>
        <v>0</v>
      </c>
      <c r="P39" s="1590"/>
      <c r="Q39" s="1590"/>
    </row>
    <row r="40" spans="1:17">
      <c r="A40" s="1533"/>
      <c r="B40" s="1584" t="s">
        <v>1844</v>
      </c>
      <c r="C40" s="1581"/>
      <c r="D40" s="1544"/>
      <c r="E40" s="1544"/>
      <c r="F40" s="1544"/>
      <c r="G40" s="1582"/>
      <c r="H40" s="1582"/>
      <c r="I40" s="1582"/>
      <c r="J40" s="1582"/>
      <c r="K40" s="1589"/>
      <c r="L40" s="1591"/>
      <c r="M40" s="1728"/>
      <c r="O40" s="223">
        <f t="shared" si="0"/>
        <v>0</v>
      </c>
      <c r="P40" s="1590"/>
      <c r="Q40" s="1590"/>
    </row>
    <row r="41" spans="1:17">
      <c r="A41" s="1533"/>
      <c r="B41" s="1583" t="s">
        <v>2109</v>
      </c>
      <c r="C41" s="1581">
        <v>4971000</v>
      </c>
      <c r="D41" s="1544">
        <v>16379000</v>
      </c>
      <c r="E41" s="1544">
        <v>0</v>
      </c>
      <c r="F41" s="1544">
        <v>15904500</v>
      </c>
      <c r="G41" s="1582">
        <v>5445500</v>
      </c>
      <c r="H41" s="1582">
        <v>127078.91099999999</v>
      </c>
      <c r="I41" s="1582">
        <v>113320.855</v>
      </c>
      <c r="J41" s="1581">
        <v>-13758.055999999997</v>
      </c>
      <c r="K41" s="1643">
        <v>1.3549153871768246E-2</v>
      </c>
      <c r="L41" s="1643">
        <v>2.7034089284683597E-2</v>
      </c>
      <c r="M41" s="1728">
        <v>0.65</v>
      </c>
      <c r="N41" s="223">
        <v>-932566</v>
      </c>
      <c r="O41" s="223">
        <f t="shared" si="0"/>
        <v>-932.56600000000003</v>
      </c>
      <c r="P41" s="1590"/>
      <c r="Q41" s="1590"/>
    </row>
    <row r="42" spans="1:17" ht="9.75" customHeight="1">
      <c r="A42" s="1533"/>
      <c r="B42" s="1583" t="s">
        <v>1845</v>
      </c>
      <c r="C42" s="1581">
        <v>267500</v>
      </c>
      <c r="D42" s="1544">
        <v>196500</v>
      </c>
      <c r="E42" s="1544">
        <v>0</v>
      </c>
      <c r="F42" s="1544">
        <v>460500</v>
      </c>
      <c r="G42" s="1582">
        <v>3500</v>
      </c>
      <c r="H42" s="1582">
        <v>150.184</v>
      </c>
      <c r="I42" s="1582">
        <v>137.02500000000001</v>
      </c>
      <c r="J42" s="1581">
        <v>-13.158999999999992</v>
      </c>
      <c r="K42" s="1643">
        <v>1.6383328640425842E-5</v>
      </c>
      <c r="L42" s="1643">
        <v>3.2689005781272743E-5</v>
      </c>
      <c r="M42" s="1728">
        <v>0</v>
      </c>
      <c r="N42" s="223">
        <v>-141900</v>
      </c>
      <c r="O42" s="223">
        <f t="shared" si="0"/>
        <v>-141.9</v>
      </c>
      <c r="P42" s="1590"/>
      <c r="Q42" s="1590"/>
    </row>
    <row r="43" spans="1:17" ht="9.75" customHeight="1">
      <c r="A43" s="1533"/>
      <c r="B43" s="1583" t="s">
        <v>1846</v>
      </c>
      <c r="C43" s="1581">
        <v>828000</v>
      </c>
      <c r="D43" s="1544">
        <v>3413500</v>
      </c>
      <c r="E43" s="1544">
        <v>0</v>
      </c>
      <c r="F43" s="1544">
        <v>3462000</v>
      </c>
      <c r="G43" s="1582">
        <v>779500</v>
      </c>
      <c r="H43" s="1582">
        <v>148174.84299999999</v>
      </c>
      <c r="I43" s="1582">
        <v>129996.715</v>
      </c>
      <c r="J43" s="1581">
        <v>-18178.127999999997</v>
      </c>
      <c r="K43" s="1643">
        <v>1.5542995103234997E-2</v>
      </c>
      <c r="L43" s="1643">
        <v>3.1012321606870751E-2</v>
      </c>
      <c r="M43" s="1728">
        <v>0.59</v>
      </c>
      <c r="P43" s="1590"/>
      <c r="Q43" s="1590"/>
    </row>
    <row r="44" spans="1:17">
      <c r="A44" s="1533"/>
      <c r="B44" s="1583" t="s">
        <v>1847</v>
      </c>
      <c r="C44" s="1581">
        <v>1181500</v>
      </c>
      <c r="D44" s="1544">
        <v>3628000</v>
      </c>
      <c r="E44" s="1544">
        <v>0</v>
      </c>
      <c r="F44" s="1544">
        <v>3806000</v>
      </c>
      <c r="G44" s="1582">
        <v>1003500</v>
      </c>
      <c r="H44" s="1582">
        <v>92594.45</v>
      </c>
      <c r="I44" s="1582">
        <v>76476.735000000001</v>
      </c>
      <c r="J44" s="1581">
        <v>-16117.714999999997</v>
      </c>
      <c r="K44" s="1643">
        <v>9.1439042718610281E-3</v>
      </c>
      <c r="L44" s="1643">
        <v>1.8244469494967074E-2</v>
      </c>
      <c r="M44" s="1728">
        <v>0.23</v>
      </c>
      <c r="N44" s="223">
        <v>-83330</v>
      </c>
      <c r="O44" s="223">
        <f t="shared" si="0"/>
        <v>-83.33</v>
      </c>
      <c r="P44" s="1590"/>
      <c r="Q44" s="1590"/>
    </row>
    <row r="45" spans="1:17">
      <c r="A45" s="1533"/>
      <c r="B45" s="1583" t="s">
        <v>1848</v>
      </c>
      <c r="C45" s="1581">
        <v>604500</v>
      </c>
      <c r="D45" s="1544">
        <v>2521500</v>
      </c>
      <c r="E45" s="1544">
        <v>0</v>
      </c>
      <c r="F45" s="1544">
        <v>2326000</v>
      </c>
      <c r="G45" s="1582">
        <v>800000</v>
      </c>
      <c r="H45" s="1582">
        <v>86184.48</v>
      </c>
      <c r="I45" s="1582">
        <v>78096</v>
      </c>
      <c r="J45" s="1581">
        <v>-8088.4799999999959</v>
      </c>
      <c r="K45" s="1643">
        <v>9.3375109177354244E-3</v>
      </c>
      <c r="L45" s="1643">
        <v>1.8630765155951658E-2</v>
      </c>
      <c r="M45" s="1728">
        <v>0.27</v>
      </c>
      <c r="N45" s="223">
        <v>-50705</v>
      </c>
      <c r="O45" s="223">
        <f t="shared" si="0"/>
        <v>-50.704999999999998</v>
      </c>
      <c r="P45" s="1590"/>
      <c r="Q45" s="1590"/>
    </row>
    <row r="46" spans="1:17">
      <c r="A46" s="1533"/>
      <c r="B46" s="1583"/>
      <c r="C46" s="1581"/>
      <c r="D46" s="223"/>
      <c r="E46" s="223"/>
      <c r="F46" s="223"/>
      <c r="G46" s="1582"/>
      <c r="H46" s="1586">
        <v>454182.86799999996</v>
      </c>
      <c r="I46" s="1586">
        <v>398027.32999999996</v>
      </c>
      <c r="J46" s="1586">
        <v>-56155.537999999986</v>
      </c>
      <c r="K46" s="1589"/>
      <c r="L46" s="1591"/>
      <c r="M46" s="1728"/>
      <c r="O46" s="223">
        <f t="shared" si="0"/>
        <v>0</v>
      </c>
      <c r="P46" s="1590"/>
      <c r="Q46" s="1590"/>
    </row>
    <row r="47" spans="1:17">
      <c r="A47" s="1533"/>
      <c r="B47" s="1584" t="s">
        <v>1087</v>
      </c>
      <c r="C47" s="1581"/>
      <c r="D47" s="223"/>
      <c r="E47" s="223"/>
      <c r="F47" s="223"/>
      <c r="G47" s="1582"/>
      <c r="H47" s="1582"/>
      <c r="I47" s="1582"/>
      <c r="J47" s="1582"/>
      <c r="K47" s="1589"/>
      <c r="L47" s="1591"/>
      <c r="M47" s="1728"/>
      <c r="O47" s="223">
        <f t="shared" si="0"/>
        <v>0</v>
      </c>
      <c r="P47" s="1590"/>
      <c r="Q47" s="1590"/>
    </row>
    <row r="48" spans="1:17">
      <c r="A48" s="1533"/>
      <c r="B48" s="1583" t="s">
        <v>1885</v>
      </c>
      <c r="C48" s="1581">
        <v>0</v>
      </c>
      <c r="D48" s="1544">
        <v>131000</v>
      </c>
      <c r="E48" s="1544">
        <v>0</v>
      </c>
      <c r="F48" s="1544">
        <v>5000</v>
      </c>
      <c r="G48" s="1582">
        <v>126000</v>
      </c>
      <c r="H48" s="1582">
        <v>9222.86</v>
      </c>
      <c r="I48" s="1582">
        <v>8855.2800000000007</v>
      </c>
      <c r="J48" s="1581">
        <v>-367.57999999999993</v>
      </c>
      <c r="K48" s="1643">
        <v>1.0587773212405777E-3</v>
      </c>
      <c r="L48" s="1643">
        <v>2.112536392007217E-3</v>
      </c>
      <c r="M48" s="1728">
        <v>0.01</v>
      </c>
      <c r="O48" s="223">
        <f t="shared" si="0"/>
        <v>0</v>
      </c>
      <c r="P48" s="1590"/>
      <c r="Q48" s="1590"/>
    </row>
    <row r="49" spans="1:17">
      <c r="A49" s="1533"/>
      <c r="B49" s="1583" t="s">
        <v>1849</v>
      </c>
      <c r="C49" s="1581">
        <v>1000</v>
      </c>
      <c r="D49" s="1544">
        <v>39000</v>
      </c>
      <c r="E49" s="1544">
        <v>0</v>
      </c>
      <c r="F49" s="1544">
        <v>30000</v>
      </c>
      <c r="G49" s="1582">
        <v>10000</v>
      </c>
      <c r="H49" s="1582">
        <v>2781.0010000000002</v>
      </c>
      <c r="I49" s="1582">
        <v>2797.5</v>
      </c>
      <c r="J49" s="1581">
        <v>16.498999999999796</v>
      </c>
      <c r="K49" s="1643">
        <v>3.3448175056808091E-4</v>
      </c>
      <c r="L49" s="1643">
        <v>6.6737816948082818E-4</v>
      </c>
      <c r="M49" s="1728">
        <v>0</v>
      </c>
      <c r="N49" s="223">
        <v>680</v>
      </c>
      <c r="O49" s="223">
        <f t="shared" si="0"/>
        <v>0.68</v>
      </c>
      <c r="P49" s="1590"/>
      <c r="Q49" s="1590"/>
    </row>
    <row r="50" spans="1:17">
      <c r="A50" s="1533"/>
      <c r="B50" s="1583" t="s">
        <v>1850</v>
      </c>
      <c r="C50" s="1581">
        <v>2200500</v>
      </c>
      <c r="D50" s="1544">
        <v>364500</v>
      </c>
      <c r="E50" s="1544">
        <v>0</v>
      </c>
      <c r="F50" s="1544">
        <v>2475000</v>
      </c>
      <c r="G50" s="1582">
        <v>90000</v>
      </c>
      <c r="H50" s="1582">
        <v>2089.0529999999999</v>
      </c>
      <c r="I50" s="1582">
        <v>2025</v>
      </c>
      <c r="J50" s="1581">
        <v>-64.052999999999884</v>
      </c>
      <c r="K50" s="1643">
        <v>2.4211815724767253E-4</v>
      </c>
      <c r="L50" s="1643">
        <v>4.8308875538826708E-4</v>
      </c>
      <c r="M50" s="1728">
        <v>0.01</v>
      </c>
      <c r="N50" s="223">
        <v>-368060</v>
      </c>
      <c r="O50" s="223">
        <f t="shared" si="0"/>
        <v>-368.06</v>
      </c>
      <c r="P50" s="1590"/>
      <c r="Q50" s="1590"/>
    </row>
    <row r="51" spans="1:17">
      <c r="A51" s="1533"/>
      <c r="B51" s="1583"/>
      <c r="C51" s="1581"/>
      <c r="D51" s="1544"/>
      <c r="E51" s="1544"/>
      <c r="F51" s="1544"/>
      <c r="G51" s="1582"/>
      <c r="H51" s="1582"/>
      <c r="I51" s="1582"/>
      <c r="J51" s="1582"/>
      <c r="K51" s="1643"/>
      <c r="L51" s="1643"/>
      <c r="M51" s="1728"/>
      <c r="P51" s="1590"/>
      <c r="Q51" s="1590"/>
    </row>
    <row r="52" spans="1:17">
      <c r="A52" s="1533"/>
      <c r="B52" s="1583"/>
      <c r="C52" s="1581"/>
      <c r="D52" s="223"/>
      <c r="E52" s="223"/>
      <c r="F52" s="223"/>
      <c r="G52" s="1582"/>
      <c r="H52" s="1586">
        <v>14092.914000000001</v>
      </c>
      <c r="I52" s="1586">
        <v>13677.78</v>
      </c>
      <c r="J52" s="1586">
        <v>-415.13400000000001</v>
      </c>
      <c r="K52" s="1589"/>
      <c r="L52" s="1592"/>
      <c r="M52" s="1728"/>
      <c r="O52" s="223">
        <f t="shared" si="0"/>
        <v>0</v>
      </c>
      <c r="P52" s="1590"/>
      <c r="Q52" s="1590"/>
    </row>
    <row r="53" spans="1:17">
      <c r="A53" s="1533"/>
      <c r="B53" s="1715" t="s">
        <v>2073</v>
      </c>
      <c r="C53" s="1581"/>
      <c r="D53" s="223"/>
      <c r="E53" s="223"/>
      <c r="F53" s="223"/>
      <c r="G53" s="1582"/>
      <c r="H53" s="1733"/>
      <c r="I53" s="1733"/>
      <c r="J53" s="1733"/>
      <c r="K53" s="1589"/>
      <c r="L53" s="1592"/>
      <c r="M53" s="1728"/>
      <c r="P53" s="1590"/>
      <c r="Q53" s="1590"/>
    </row>
    <row r="54" spans="1:17">
      <c r="A54" s="1533"/>
      <c r="B54" s="1583" t="s">
        <v>2074</v>
      </c>
      <c r="C54" s="1581">
        <v>0</v>
      </c>
      <c r="D54" s="1544">
        <v>674000</v>
      </c>
      <c r="E54" s="1544">
        <v>0</v>
      </c>
      <c r="F54" s="1544">
        <v>617000</v>
      </c>
      <c r="G54" s="1582">
        <v>57000</v>
      </c>
      <c r="H54" s="1582">
        <v>954.57299999999998</v>
      </c>
      <c r="I54" s="1582">
        <v>885.21</v>
      </c>
      <c r="J54" s="1581">
        <v>-69.362999999999943</v>
      </c>
      <c r="K54" s="1643">
        <v>1.0583971060603072E-4</v>
      </c>
      <c r="L54" s="1643">
        <v>2.1117777637394959E-4</v>
      </c>
      <c r="M54" s="1728">
        <v>0.01</v>
      </c>
      <c r="O54" s="223">
        <f t="shared" ref="O54:O56" si="2">N54/1000</f>
        <v>0</v>
      </c>
      <c r="P54" s="1590"/>
      <c r="Q54" s="1590"/>
    </row>
    <row r="55" spans="1:17">
      <c r="A55" s="1533"/>
      <c r="B55" s="1583" t="s">
        <v>2075</v>
      </c>
      <c r="C55" s="1581">
        <v>0</v>
      </c>
      <c r="D55" s="1544">
        <v>1375500</v>
      </c>
      <c r="E55" s="1544">
        <v>0</v>
      </c>
      <c r="F55" s="1544">
        <v>358500</v>
      </c>
      <c r="G55" s="1582">
        <v>1017000</v>
      </c>
      <c r="H55" s="1582">
        <v>36419.482000000004</v>
      </c>
      <c r="I55" s="1582">
        <v>36540.81</v>
      </c>
      <c r="J55" s="1581">
        <v>121.32799999999406</v>
      </c>
      <c r="K55" s="1643">
        <v>4.3689844847097899E-3</v>
      </c>
      <c r="L55" s="1643">
        <v>8.7172614438415525E-3</v>
      </c>
      <c r="M55" s="1728">
        <v>0.91</v>
      </c>
      <c r="N55" s="223">
        <v>680</v>
      </c>
      <c r="O55" s="223">
        <f t="shared" si="2"/>
        <v>0.68</v>
      </c>
      <c r="P55" s="1590"/>
      <c r="Q55" s="1590"/>
    </row>
    <row r="56" spans="1:17">
      <c r="A56" s="1533"/>
      <c r="B56" s="1583" t="s">
        <v>1873</v>
      </c>
      <c r="C56" s="1581">
        <v>10670000</v>
      </c>
      <c r="D56" s="1544">
        <v>29947500</v>
      </c>
      <c r="E56" s="1544">
        <v>0</v>
      </c>
      <c r="F56" s="1544">
        <v>29406500</v>
      </c>
      <c r="G56" s="1582">
        <v>11211000</v>
      </c>
      <c r="H56" s="1582">
        <v>403534.34</v>
      </c>
      <c r="I56" s="1582">
        <v>350006.92</v>
      </c>
      <c r="J56" s="1581">
        <v>-53527.420000000042</v>
      </c>
      <c r="K56" s="1643">
        <v>4.1848410120658534E-2</v>
      </c>
      <c r="L56" s="1643">
        <v>8.3498472770410254E-2</v>
      </c>
      <c r="M56" s="1728">
        <v>1.1299999999999999</v>
      </c>
      <c r="N56" s="223">
        <v>-368060</v>
      </c>
      <c r="O56" s="223">
        <f t="shared" si="2"/>
        <v>-368.06</v>
      </c>
      <c r="P56" s="1590"/>
      <c r="Q56" s="1590"/>
    </row>
    <row r="57" spans="1:17">
      <c r="A57" s="1533"/>
      <c r="B57" s="1583"/>
      <c r="C57" s="1581"/>
      <c r="D57" s="223"/>
      <c r="E57" s="223"/>
      <c r="F57" s="223"/>
      <c r="G57" s="1582"/>
      <c r="H57" s="1733"/>
      <c r="I57" s="1733"/>
      <c r="J57" s="1733"/>
      <c r="K57" s="1589"/>
      <c r="L57" s="1592"/>
      <c r="M57" s="1728"/>
      <c r="P57" s="1590"/>
      <c r="Q57" s="1590"/>
    </row>
    <row r="58" spans="1:17">
      <c r="A58" s="1533"/>
      <c r="B58" s="1583"/>
      <c r="C58" s="1581"/>
      <c r="D58" s="223"/>
      <c r="E58" s="223"/>
      <c r="F58" s="223"/>
      <c r="G58" s="1582"/>
      <c r="H58" s="1586">
        <v>440908.39500000002</v>
      </c>
      <c r="I58" s="1586">
        <v>387432.94</v>
      </c>
      <c r="J58" s="1586">
        <v>-53475.455000000045</v>
      </c>
      <c r="K58" s="1589"/>
      <c r="L58" s="1592"/>
      <c r="M58" s="1728"/>
      <c r="P58" s="1590"/>
      <c r="Q58" s="1590"/>
    </row>
    <row r="59" spans="1:17">
      <c r="A59" s="1533"/>
      <c r="B59" s="1734" t="s">
        <v>2076</v>
      </c>
      <c r="C59" s="1734"/>
      <c r="D59" s="223"/>
      <c r="E59" s="223"/>
      <c r="F59" s="223"/>
      <c r="G59" s="1582"/>
      <c r="H59" s="1582"/>
      <c r="I59" s="1582"/>
      <c r="J59" s="1582"/>
      <c r="K59" s="1589"/>
      <c r="L59" s="1592"/>
      <c r="M59" s="1728"/>
      <c r="O59" s="223">
        <f t="shared" ref="O59:O62" si="3">N59/1000</f>
        <v>0</v>
      </c>
      <c r="P59" s="1590"/>
      <c r="Q59" s="1590"/>
    </row>
    <row r="60" spans="1:17">
      <c r="A60" s="1533"/>
      <c r="B60" s="1583" t="s">
        <v>2114</v>
      </c>
      <c r="C60" s="1581">
        <v>0</v>
      </c>
      <c r="D60" s="1544">
        <v>500</v>
      </c>
      <c r="E60" s="1544">
        <v>0</v>
      </c>
      <c r="F60" s="1544">
        <v>500</v>
      </c>
      <c r="G60" s="1582">
        <v>0</v>
      </c>
      <c r="H60" s="1582">
        <v>0</v>
      </c>
      <c r="I60" s="1582">
        <v>0</v>
      </c>
      <c r="J60" s="1581">
        <v>0</v>
      </c>
      <c r="K60" s="1643">
        <v>0</v>
      </c>
      <c r="L60" s="1643">
        <v>0</v>
      </c>
      <c r="M60" s="1728">
        <v>0</v>
      </c>
      <c r="N60" s="223">
        <v>84056</v>
      </c>
      <c r="O60" s="223">
        <f t="shared" si="3"/>
        <v>84.055999999999997</v>
      </c>
    </row>
    <row r="61" spans="1:17" s="1011" customFormat="1" ht="12.75" customHeight="1">
      <c r="A61" s="1538"/>
      <c r="B61" s="1583" t="s">
        <v>2077</v>
      </c>
      <c r="C61" s="1581">
        <v>3000</v>
      </c>
      <c r="D61" s="1545">
        <v>88500</v>
      </c>
      <c r="E61" s="1545">
        <v>0</v>
      </c>
      <c r="F61" s="1545">
        <v>45500</v>
      </c>
      <c r="G61" s="1582">
        <v>46000</v>
      </c>
      <c r="H61" s="1582">
        <v>4775.076</v>
      </c>
      <c r="I61" s="1582">
        <v>4666.7</v>
      </c>
      <c r="J61" s="1581">
        <v>-108.3760000000002</v>
      </c>
      <c r="K61" s="1643">
        <v>5.5797175527294487E-4</v>
      </c>
      <c r="L61" s="1643">
        <v>1.1132989109977412E-3</v>
      </c>
      <c r="M61" s="1728">
        <v>0.03</v>
      </c>
      <c r="N61" s="1011">
        <v>-18571</v>
      </c>
      <c r="O61" s="223">
        <f t="shared" si="3"/>
        <v>-18.571000000000002</v>
      </c>
    </row>
    <row r="62" spans="1:17" s="1011" customFormat="1" ht="12.75" customHeight="1">
      <c r="A62" s="1538"/>
      <c r="B62" s="1583"/>
      <c r="C62" s="1581"/>
      <c r="D62" s="1545"/>
      <c r="E62" s="1545"/>
      <c r="F62" s="1545"/>
      <c r="G62" s="1582"/>
      <c r="H62" s="1586">
        <v>4775.076</v>
      </c>
      <c r="I62" s="1586">
        <v>4666.7</v>
      </c>
      <c r="J62" s="1586">
        <v>-108.3760000000002</v>
      </c>
      <c r="K62" s="1417"/>
      <c r="L62" s="1593"/>
      <c r="M62" s="1729"/>
      <c r="O62" s="223">
        <f t="shared" si="3"/>
        <v>0</v>
      </c>
    </row>
    <row r="63" spans="1:17">
      <c r="A63" s="1533"/>
      <c r="B63" s="1734" t="s">
        <v>1049</v>
      </c>
      <c r="C63" s="1734"/>
      <c r="D63" s="223"/>
      <c r="E63" s="223"/>
      <c r="F63" s="223"/>
      <c r="G63" s="1582"/>
      <c r="H63" s="1582"/>
      <c r="I63" s="1582"/>
      <c r="J63" s="1582"/>
      <c r="K63" s="1589"/>
      <c r="L63" s="1592"/>
      <c r="M63" s="1728"/>
      <c r="O63" s="223">
        <f t="shared" ref="O63:O66" si="4">N63/1000</f>
        <v>0</v>
      </c>
      <c r="P63" s="1590"/>
      <c r="Q63" s="1590"/>
    </row>
    <row r="64" spans="1:17">
      <c r="A64" s="1533"/>
      <c r="B64" s="1583" t="s">
        <v>2078</v>
      </c>
      <c r="C64" s="1581">
        <v>0</v>
      </c>
      <c r="D64" s="1544">
        <v>2545000</v>
      </c>
      <c r="E64" s="1544">
        <v>0</v>
      </c>
      <c r="F64" s="1544">
        <v>2533000</v>
      </c>
      <c r="G64" s="1582">
        <v>12000</v>
      </c>
      <c r="H64" s="1582">
        <v>194.37</v>
      </c>
      <c r="I64" s="1582">
        <v>148.08000000000001</v>
      </c>
      <c r="J64" s="1581">
        <v>-46.289999999999992</v>
      </c>
      <c r="K64" s="1643">
        <v>1.770511443221499E-5</v>
      </c>
      <c r="L64" s="1643">
        <v>3.5326312542170171E-5</v>
      </c>
      <c r="M64" s="1728">
        <v>0.01</v>
      </c>
      <c r="N64" s="223">
        <v>84056</v>
      </c>
      <c r="O64" s="223">
        <f t="shared" si="4"/>
        <v>84.055999999999997</v>
      </c>
    </row>
    <row r="65" spans="1:17" s="1011" customFormat="1" ht="12.75" customHeight="1">
      <c r="A65" s="1538"/>
      <c r="B65" s="1583"/>
      <c r="C65" s="1581"/>
      <c r="D65" s="1545"/>
      <c r="E65" s="1545"/>
      <c r="F65" s="1545"/>
      <c r="G65" s="1582"/>
      <c r="H65" s="1582"/>
      <c r="I65" s="1582"/>
      <c r="J65" s="1581"/>
      <c r="K65" s="1643"/>
      <c r="L65" s="1643"/>
      <c r="M65" s="1728"/>
      <c r="O65" s="223"/>
    </row>
    <row r="66" spans="1:17" s="1011" customFormat="1" ht="12.75" customHeight="1">
      <c r="A66" s="1538"/>
      <c r="B66" s="1583"/>
      <c r="C66" s="1581"/>
      <c r="D66" s="1545"/>
      <c r="E66" s="1545"/>
      <c r="F66" s="1545"/>
      <c r="G66" s="1582"/>
      <c r="H66" s="1586">
        <v>194.37</v>
      </c>
      <c r="I66" s="1586">
        <v>148.08000000000001</v>
      </c>
      <c r="J66" s="1586">
        <v>-46.289999999999992</v>
      </c>
      <c r="K66" s="1417"/>
      <c r="L66" s="1593"/>
      <c r="M66" s="1729"/>
      <c r="O66" s="223">
        <f t="shared" si="4"/>
        <v>0</v>
      </c>
    </row>
    <row r="67" spans="1:17">
      <c r="A67" s="1533"/>
      <c r="B67" s="2020" t="s">
        <v>1868</v>
      </c>
      <c r="C67" s="2020"/>
      <c r="D67" s="223"/>
      <c r="E67" s="223"/>
      <c r="F67" s="223"/>
      <c r="G67" s="1582"/>
      <c r="H67" s="1582"/>
      <c r="I67" s="1582"/>
      <c r="J67" s="1582"/>
      <c r="K67" s="1589"/>
      <c r="L67" s="1591"/>
      <c r="M67" s="1728"/>
      <c r="O67" s="223">
        <f t="shared" si="0"/>
        <v>0</v>
      </c>
      <c r="P67" s="1590"/>
      <c r="Q67" s="1590"/>
    </row>
    <row r="68" spans="1:17">
      <c r="A68" s="1533"/>
      <c r="B68" s="1583" t="s">
        <v>1851</v>
      </c>
      <c r="C68" s="1581">
        <v>665000</v>
      </c>
      <c r="D68" s="1544">
        <v>1453500</v>
      </c>
      <c r="E68" s="1544">
        <v>0</v>
      </c>
      <c r="F68" s="1544">
        <v>2080000</v>
      </c>
      <c r="G68" s="1582">
        <v>38500</v>
      </c>
      <c r="H68" s="1582">
        <v>3500.154</v>
      </c>
      <c r="I68" s="1582">
        <v>3226.3</v>
      </c>
      <c r="J68" s="1581">
        <v>-273.85399999999981</v>
      </c>
      <c r="K68" s="1643">
        <v>3.8575101764353874E-4</v>
      </c>
      <c r="L68" s="1643">
        <v>7.6967370444897096E-4</v>
      </c>
      <c r="M68" s="1728">
        <v>0</v>
      </c>
      <c r="N68" s="223">
        <v>-7348</v>
      </c>
      <c r="O68" s="223">
        <f t="shared" si="0"/>
        <v>-7.3479999999999999</v>
      </c>
      <c r="P68" s="1590"/>
      <c r="Q68" s="1590"/>
    </row>
    <row r="69" spans="1:17">
      <c r="A69" s="1533"/>
      <c r="B69" s="1583" t="s">
        <v>1853</v>
      </c>
      <c r="C69" s="1581">
        <v>151500</v>
      </c>
      <c r="D69" s="1544">
        <v>400500</v>
      </c>
      <c r="E69" s="1544">
        <v>0</v>
      </c>
      <c r="F69" s="1544">
        <v>432000</v>
      </c>
      <c r="G69" s="1582">
        <v>120000</v>
      </c>
      <c r="H69" s="1582">
        <v>8673.8760000000002</v>
      </c>
      <c r="I69" s="1582">
        <v>8989.2000000000007</v>
      </c>
      <c r="J69" s="1581">
        <v>315.32400000000052</v>
      </c>
      <c r="K69" s="1643">
        <v>1.0747894020398904E-3</v>
      </c>
      <c r="L69" s="1643">
        <v>2.1444846616968942E-3</v>
      </c>
      <c r="M69" s="1728">
        <v>0</v>
      </c>
      <c r="N69" s="223">
        <v>-3412177</v>
      </c>
      <c r="O69" s="223">
        <f t="shared" si="0"/>
        <v>-3412.1770000000001</v>
      </c>
      <c r="P69" s="1590"/>
      <c r="Q69" s="1590"/>
    </row>
    <row r="70" spans="1:17">
      <c r="A70" s="1533"/>
      <c r="B70" s="1583"/>
      <c r="C70" s="1581"/>
      <c r="D70" s="223"/>
      <c r="E70" s="223"/>
      <c r="F70" s="223"/>
      <c r="G70" s="1582"/>
      <c r="H70" s="1586">
        <v>12174.03</v>
      </c>
      <c r="I70" s="1586">
        <v>12215.5</v>
      </c>
      <c r="J70" s="1586">
        <v>41.470000000000709</v>
      </c>
      <c r="K70" s="1589"/>
      <c r="L70" s="1591"/>
      <c r="M70" s="1728"/>
      <c r="O70" s="223">
        <f t="shared" si="0"/>
        <v>0</v>
      </c>
      <c r="P70" s="1590"/>
      <c r="Q70" s="1590"/>
    </row>
    <row r="71" spans="1:17">
      <c r="A71" s="1533"/>
      <c r="B71" s="2020" t="s">
        <v>1869</v>
      </c>
      <c r="C71" s="2020"/>
      <c r="D71" s="223"/>
      <c r="E71" s="223"/>
      <c r="F71" s="223"/>
      <c r="G71" s="1582"/>
      <c r="H71" s="1582"/>
      <c r="I71" s="1582"/>
      <c r="J71" s="1582"/>
      <c r="K71" s="1589"/>
      <c r="L71" s="1592"/>
      <c r="M71" s="1728"/>
      <c r="O71" s="223">
        <f t="shared" si="0"/>
        <v>0</v>
      </c>
      <c r="P71" s="1590"/>
      <c r="Q71" s="1590"/>
    </row>
    <row r="72" spans="1:17">
      <c r="A72" s="1533"/>
      <c r="B72" s="1583" t="s">
        <v>2079</v>
      </c>
      <c r="C72" s="1581">
        <v>258500</v>
      </c>
      <c r="D72" s="1544">
        <v>372500</v>
      </c>
      <c r="E72" s="1544">
        <v>0</v>
      </c>
      <c r="F72" s="1544">
        <v>408000</v>
      </c>
      <c r="G72" s="1582">
        <v>223000</v>
      </c>
      <c r="H72" s="1582">
        <v>44005.014000000003</v>
      </c>
      <c r="I72" s="1582">
        <v>44820.77</v>
      </c>
      <c r="J72" s="1581">
        <v>815.75599999999395</v>
      </c>
      <c r="K72" s="1643">
        <v>5.3589739450971667E-3</v>
      </c>
      <c r="L72" s="1643">
        <v>1.0692548145601865E-2</v>
      </c>
      <c r="M72" s="1728">
        <v>0.05</v>
      </c>
      <c r="N72" s="223">
        <v>84056</v>
      </c>
      <c r="O72" s="223">
        <f t="shared" si="0"/>
        <v>84.055999999999997</v>
      </c>
    </row>
    <row r="73" spans="1:17" s="1011" customFormat="1" ht="12.75" customHeight="1">
      <c r="A73" s="1538"/>
      <c r="B73" s="1583" t="s">
        <v>2080</v>
      </c>
      <c r="C73" s="1581">
        <v>1233500</v>
      </c>
      <c r="D73" s="1545">
        <v>1649500</v>
      </c>
      <c r="E73" s="1545">
        <v>0</v>
      </c>
      <c r="F73" s="1545">
        <v>2797500</v>
      </c>
      <c r="G73" s="1582">
        <v>85500</v>
      </c>
      <c r="H73" s="1582">
        <v>4127.7690000000002</v>
      </c>
      <c r="I73" s="1582">
        <v>3888.54</v>
      </c>
      <c r="J73" s="1581">
        <v>-239.22900000000027</v>
      </c>
      <c r="K73" s="1643">
        <v>4.6493142675746397E-4</v>
      </c>
      <c r="L73" s="1643">
        <v>9.2765923401357637E-4</v>
      </c>
      <c r="M73" s="1728">
        <v>0.01</v>
      </c>
      <c r="N73" s="1011">
        <v>-18571</v>
      </c>
      <c r="O73" s="223">
        <f t="shared" si="0"/>
        <v>-18.571000000000002</v>
      </c>
    </row>
    <row r="74" spans="1:17" s="1011" customFormat="1" ht="12.75" customHeight="1">
      <c r="A74" s="1538"/>
      <c r="B74" s="1583" t="s">
        <v>1854</v>
      </c>
      <c r="C74" s="1581">
        <v>40500</v>
      </c>
      <c r="D74" s="1545">
        <v>0</v>
      </c>
      <c r="E74" s="1545">
        <v>0</v>
      </c>
      <c r="F74" s="1545">
        <v>40500</v>
      </c>
      <c r="G74" s="1582">
        <v>0</v>
      </c>
      <c r="H74" s="1582">
        <v>0</v>
      </c>
      <c r="I74" s="1582">
        <v>0</v>
      </c>
      <c r="J74" s="1581"/>
      <c r="K74" s="1643"/>
      <c r="L74" s="1643"/>
      <c r="M74" s="1728">
        <v>0</v>
      </c>
      <c r="O74" s="223"/>
    </row>
    <row r="75" spans="1:17" s="1011" customFormat="1" ht="12.75" customHeight="1">
      <c r="A75" s="1538"/>
      <c r="B75" s="1583"/>
      <c r="C75" s="1581"/>
      <c r="D75" s="1545"/>
      <c r="E75" s="1545"/>
      <c r="F75" s="1545"/>
      <c r="G75" s="1582"/>
      <c r="H75" s="1586">
        <v>48132.783000000003</v>
      </c>
      <c r="I75" s="1586">
        <v>48709.31</v>
      </c>
      <c r="J75" s="1586">
        <v>576.52699999999368</v>
      </c>
      <c r="K75" s="1417"/>
      <c r="L75" s="1593"/>
      <c r="M75" s="1729"/>
      <c r="O75" s="223">
        <f t="shared" si="0"/>
        <v>0</v>
      </c>
    </row>
    <row r="76" spans="1:17" ht="14.25" customHeight="1">
      <c r="A76" s="1533"/>
      <c r="B76" s="1584" t="s">
        <v>1855</v>
      </c>
      <c r="C76" s="1581"/>
      <c r="D76" s="1544"/>
      <c r="E76" s="1544"/>
      <c r="F76" s="1544"/>
      <c r="G76" s="1582"/>
      <c r="H76" s="1582"/>
      <c r="I76" s="1582"/>
      <c r="J76" s="1582"/>
      <c r="K76" s="1588"/>
      <c r="L76" s="1594"/>
      <c r="M76" s="1728"/>
      <c r="O76" s="223">
        <f t="shared" si="0"/>
        <v>0</v>
      </c>
    </row>
    <row r="77" spans="1:17" ht="12.6" customHeight="1">
      <c r="A77" s="1533"/>
      <c r="B77" s="1735" t="s">
        <v>1856</v>
      </c>
      <c r="C77" s="1731">
        <v>36000</v>
      </c>
      <c r="D77" s="1544">
        <v>87000</v>
      </c>
      <c r="E77" s="1544">
        <v>0</v>
      </c>
      <c r="F77" s="1544">
        <v>114500</v>
      </c>
      <c r="G77" s="1732">
        <v>8500</v>
      </c>
      <c r="H77" s="1732">
        <v>2005.635</v>
      </c>
      <c r="I77" s="1732">
        <v>1712.835</v>
      </c>
      <c r="J77" s="1581">
        <v>-292.79999999999995</v>
      </c>
      <c r="K77" s="1643">
        <v>2.0479429820707021E-4</v>
      </c>
      <c r="L77" s="1643">
        <v>4.086179399187469E-4</v>
      </c>
      <c r="M77" s="1728">
        <v>0</v>
      </c>
      <c r="N77" s="223">
        <v>-312843</v>
      </c>
      <c r="O77" s="223">
        <f t="shared" si="0"/>
        <v>-312.84300000000002</v>
      </c>
    </row>
    <row r="78" spans="1:17" s="1011" customFormat="1" ht="13.9" customHeight="1">
      <c r="A78" s="1538"/>
      <c r="B78" s="1583"/>
      <c r="C78" s="1581"/>
      <c r="G78" s="1582"/>
      <c r="H78" s="1586">
        <v>2005.635</v>
      </c>
      <c r="I78" s="1586">
        <v>1712.835</v>
      </c>
      <c r="J78" s="1586">
        <v>-292.79999999999995</v>
      </c>
      <c r="K78" s="1595"/>
      <c r="L78" s="1596"/>
      <c r="M78" s="1729"/>
      <c r="O78" s="223">
        <f t="shared" si="0"/>
        <v>0</v>
      </c>
    </row>
    <row r="79" spans="1:17" s="1011" customFormat="1" ht="12.75" customHeight="1">
      <c r="A79" s="1538"/>
      <c r="B79" s="2020" t="s">
        <v>1870</v>
      </c>
      <c r="C79" s="2020"/>
      <c r="G79" s="1732"/>
      <c r="H79" s="1582"/>
      <c r="I79" s="1582"/>
      <c r="J79" s="1582"/>
      <c r="K79" s="1595"/>
      <c r="L79" s="1596"/>
      <c r="M79" s="1729"/>
      <c r="O79" s="223">
        <f t="shared" si="0"/>
        <v>0</v>
      </c>
    </row>
    <row r="80" spans="1:17" s="1011" customFormat="1" ht="12.75" customHeight="1">
      <c r="A80" s="1535"/>
      <c r="B80" s="1583" t="s">
        <v>1857</v>
      </c>
      <c r="C80" s="1581">
        <v>173500</v>
      </c>
      <c r="D80" s="1545">
        <v>840000</v>
      </c>
      <c r="E80" s="1545">
        <v>0</v>
      </c>
      <c r="F80" s="1545">
        <v>1008000</v>
      </c>
      <c r="G80" s="1732">
        <v>5500</v>
      </c>
      <c r="H80" s="1582">
        <v>437.59800000000001</v>
      </c>
      <c r="I80" s="1582">
        <v>404.41500000000002</v>
      </c>
      <c r="J80" s="1581">
        <v>-33.182999999999993</v>
      </c>
      <c r="K80" s="1643">
        <v>4.8353686204107401E-5</v>
      </c>
      <c r="L80" s="1643">
        <v>9.647819210387459E-5</v>
      </c>
      <c r="M80" s="1728">
        <v>0</v>
      </c>
      <c r="N80" s="1011">
        <v>-50535</v>
      </c>
      <c r="O80" s="223">
        <f t="shared" si="0"/>
        <v>-50.534999999999997</v>
      </c>
    </row>
    <row r="81" spans="1:17" ht="12" customHeight="1">
      <c r="A81" s="1533"/>
      <c r="B81" s="1597" t="s">
        <v>2081</v>
      </c>
      <c r="C81" s="1582">
        <v>405500</v>
      </c>
      <c r="D81" s="1544">
        <v>339000</v>
      </c>
      <c r="E81" s="1544">
        <v>0</v>
      </c>
      <c r="F81" s="1544">
        <v>661500</v>
      </c>
      <c r="G81" s="1732">
        <v>83000</v>
      </c>
      <c r="H81" s="1582">
        <v>2904.5189999999998</v>
      </c>
      <c r="I81" s="1582">
        <v>2905</v>
      </c>
      <c r="J81" s="1581">
        <v>0.48100000000022192</v>
      </c>
      <c r="K81" s="1643">
        <v>3.4733493669357468E-4</v>
      </c>
      <c r="L81" s="1643">
        <v>6.9302362192736591E-4</v>
      </c>
      <c r="M81" s="1728">
        <v>0.01</v>
      </c>
      <c r="N81" s="223">
        <v>-4713</v>
      </c>
      <c r="O81" s="223">
        <f t="shared" si="0"/>
        <v>-4.7130000000000001</v>
      </c>
    </row>
    <row r="82" spans="1:17">
      <c r="A82" s="1531"/>
      <c r="B82" s="1597" t="s">
        <v>2113</v>
      </c>
      <c r="C82" s="1582">
        <v>3905500</v>
      </c>
      <c r="D82" s="1544">
        <v>47000</v>
      </c>
      <c r="E82" s="1544">
        <v>0</v>
      </c>
      <c r="F82" s="1544">
        <v>3952500</v>
      </c>
      <c r="G82" s="1732">
        <v>0</v>
      </c>
      <c r="H82" s="1582">
        <v>0</v>
      </c>
      <c r="I82" s="1582">
        <v>0</v>
      </c>
      <c r="J82" s="1581">
        <v>0</v>
      </c>
      <c r="K82" s="1643">
        <v>0</v>
      </c>
      <c r="L82" s="1643">
        <v>0</v>
      </c>
      <c r="M82" s="1728">
        <v>0</v>
      </c>
      <c r="N82" s="223">
        <v>-1453515</v>
      </c>
      <c r="O82" s="223">
        <f t="shared" si="0"/>
        <v>-1453.5150000000001</v>
      </c>
    </row>
    <row r="83" spans="1:17">
      <c r="A83" s="1531"/>
      <c r="B83" s="1597"/>
      <c r="C83" s="1582"/>
      <c r="D83" s="1544"/>
      <c r="E83" s="1544"/>
      <c r="F83" s="1544"/>
      <c r="G83" s="1582"/>
      <c r="H83" s="1586">
        <v>3342.1169999999997</v>
      </c>
      <c r="I83" s="1586">
        <v>3309.415</v>
      </c>
      <c r="J83" s="1586">
        <v>-32.701999999999771</v>
      </c>
      <c r="K83" s="1536"/>
      <c r="L83" s="1532"/>
      <c r="M83" s="1728"/>
      <c r="O83" s="223">
        <f t="shared" si="0"/>
        <v>0</v>
      </c>
    </row>
    <row r="84" spans="1:17">
      <c r="A84" s="1533"/>
      <c r="B84" s="1573" t="s">
        <v>1858</v>
      </c>
      <c r="C84" s="1582"/>
      <c r="D84" s="1544"/>
      <c r="E84" s="1544"/>
      <c r="F84" s="1544"/>
      <c r="G84" s="1582"/>
      <c r="H84" s="1582"/>
      <c r="I84" s="1582"/>
      <c r="J84" s="1582"/>
      <c r="K84" s="1536"/>
      <c r="L84" s="1532"/>
      <c r="M84" s="1728"/>
      <c r="O84" s="223">
        <f t="shared" si="0"/>
        <v>0</v>
      </c>
    </row>
    <row r="85" spans="1:17" s="1011" customFormat="1" ht="15" customHeight="1">
      <c r="A85" s="1538"/>
      <c r="B85" s="1597" t="s">
        <v>1859</v>
      </c>
      <c r="C85" s="1582">
        <v>1170500</v>
      </c>
      <c r="D85" s="1545">
        <v>1517000</v>
      </c>
      <c r="E85" s="1545">
        <v>0</v>
      </c>
      <c r="F85" s="1545">
        <v>2227000</v>
      </c>
      <c r="G85" s="1732">
        <v>460500</v>
      </c>
      <c r="H85" s="1582">
        <v>103658.136</v>
      </c>
      <c r="I85" s="1736">
        <v>82328.19</v>
      </c>
      <c r="J85" s="1581">
        <v>-21329.945999999996</v>
      </c>
      <c r="K85" s="1643">
        <v>9.8435306925117334E-3</v>
      </c>
      <c r="L85" s="1643">
        <v>1.9640406340972236E-2</v>
      </c>
      <c r="M85" s="1728">
        <v>0.43</v>
      </c>
      <c r="O85" s="223">
        <f t="shared" si="0"/>
        <v>0</v>
      </c>
    </row>
    <row r="86" spans="1:17">
      <c r="A86" s="1533"/>
      <c r="B86" s="1597" t="s">
        <v>1094</v>
      </c>
      <c r="C86" s="1582">
        <v>11563500</v>
      </c>
      <c r="D86" s="1544">
        <v>64353500</v>
      </c>
      <c r="E86" s="1544">
        <v>0</v>
      </c>
      <c r="F86" s="1544">
        <v>47996000</v>
      </c>
      <c r="G86" s="1732">
        <v>27921000</v>
      </c>
      <c r="H86" s="1582">
        <v>254407.77600000001</v>
      </c>
      <c r="I86" s="1599">
        <v>228393.78</v>
      </c>
      <c r="J86" s="1581">
        <v>-26013.996000000014</v>
      </c>
      <c r="K86" s="1643">
        <v>2.7307793155768062E-2</v>
      </c>
      <c r="L86" s="1643">
        <v>5.4486156503023055E-2</v>
      </c>
      <c r="M86" s="1728">
        <v>0.52</v>
      </c>
      <c r="O86" s="223">
        <f t="shared" si="0"/>
        <v>0</v>
      </c>
    </row>
    <row r="87" spans="1:17">
      <c r="A87" s="1533"/>
      <c r="B87" s="1597" t="s">
        <v>1860</v>
      </c>
      <c r="C87" s="1582">
        <v>350000</v>
      </c>
      <c r="D87" s="1544">
        <v>899000</v>
      </c>
      <c r="E87" s="1544">
        <v>0</v>
      </c>
      <c r="F87" s="1544">
        <v>1214500</v>
      </c>
      <c r="G87" s="1732">
        <v>34500</v>
      </c>
      <c r="H87" s="1582">
        <v>10123.1</v>
      </c>
      <c r="I87" s="1599">
        <v>10448.67</v>
      </c>
      <c r="J87" s="1581">
        <v>325.56999999999971</v>
      </c>
      <c r="K87" s="1643">
        <v>1.2492902351056981E-3</v>
      </c>
      <c r="L87" s="1643">
        <v>2.4926592522285058E-3</v>
      </c>
      <c r="M87" s="1728">
        <v>0.04</v>
      </c>
    </row>
    <row r="88" spans="1:17">
      <c r="A88" s="1533"/>
      <c r="B88" s="1597" t="s">
        <v>2082</v>
      </c>
      <c r="C88" s="1582">
        <v>0</v>
      </c>
      <c r="D88" s="1544">
        <v>1588500</v>
      </c>
      <c r="E88" s="1544">
        <v>0</v>
      </c>
      <c r="F88" s="1544">
        <v>1419500</v>
      </c>
      <c r="G88" s="1732">
        <v>169000</v>
      </c>
      <c r="H88" s="1582">
        <v>3599.8519999999999</v>
      </c>
      <c r="I88" s="1599">
        <v>2835.82</v>
      </c>
      <c r="J88" s="1581">
        <v>-764.0319999999997</v>
      </c>
      <c r="K88" s="1643">
        <v>3.3906346305486162E-4</v>
      </c>
      <c r="L88" s="1643">
        <v>6.7651987866921269E-4</v>
      </c>
      <c r="M88" s="1728">
        <v>0.03</v>
      </c>
    </row>
    <row r="89" spans="1:17">
      <c r="A89" s="1533"/>
      <c r="B89" s="1597"/>
      <c r="C89" s="1582"/>
      <c r="D89" s="223"/>
      <c r="E89" s="223"/>
      <c r="F89" s="223"/>
      <c r="G89" s="1582"/>
      <c r="H89" s="1586">
        <v>371788.864</v>
      </c>
      <c r="I89" s="1586">
        <v>324006.45999999996</v>
      </c>
      <c r="J89" s="1586">
        <v>-47782.40400000001</v>
      </c>
      <c r="K89" s="1601"/>
      <c r="L89" s="1600"/>
      <c r="M89" s="1629"/>
      <c r="O89" s="223">
        <f t="shared" si="0"/>
        <v>0</v>
      </c>
    </row>
    <row r="90" spans="1:17">
      <c r="A90" s="1533"/>
      <c r="B90" s="2021" t="s">
        <v>1871</v>
      </c>
      <c r="C90" s="2021"/>
      <c r="D90" s="223"/>
      <c r="E90" s="223"/>
      <c r="F90" s="223"/>
      <c r="G90" s="1582"/>
      <c r="H90" s="1582"/>
      <c r="I90" s="1582"/>
      <c r="J90" s="1582"/>
      <c r="K90" s="1601"/>
      <c r="L90" s="1600"/>
      <c r="M90" s="1629"/>
      <c r="O90" s="223">
        <f t="shared" si="0"/>
        <v>0</v>
      </c>
      <c r="P90" s="1602"/>
      <c r="Q90" s="1544"/>
    </row>
    <row r="91" spans="1:17">
      <c r="A91" s="1533"/>
      <c r="B91" s="1597" t="s">
        <v>1861</v>
      </c>
      <c r="C91" s="1582">
        <v>485000</v>
      </c>
      <c r="D91" s="1544">
        <v>5262500</v>
      </c>
      <c r="E91" s="1544">
        <v>0</v>
      </c>
      <c r="F91" s="1544">
        <v>4723000</v>
      </c>
      <c r="G91" s="1732">
        <v>1024500</v>
      </c>
      <c r="H91" s="1582">
        <v>129736.431</v>
      </c>
      <c r="I91" s="1582">
        <v>126382.32</v>
      </c>
      <c r="J91" s="1581">
        <v>-3354.1109999999899</v>
      </c>
      <c r="K91" s="1643">
        <v>1.5110841692387985E-2</v>
      </c>
      <c r="L91" s="1643">
        <v>3.0150063047842814E-2</v>
      </c>
      <c r="M91" s="1728">
        <v>0.4</v>
      </c>
      <c r="N91" s="223">
        <v>169810</v>
      </c>
      <c r="O91" s="223">
        <f t="shared" si="0"/>
        <v>169.81</v>
      </c>
      <c r="P91" s="1602"/>
      <c r="Q91" s="1544"/>
    </row>
    <row r="92" spans="1:17" ht="9.75" customHeight="1">
      <c r="A92" s="1533"/>
      <c r="B92" s="1597" t="s">
        <v>2112</v>
      </c>
      <c r="C92" s="1582">
        <v>31160000</v>
      </c>
      <c r="D92" s="1544">
        <v>16275000</v>
      </c>
      <c r="E92" s="1544">
        <v>0</v>
      </c>
      <c r="F92" s="1544">
        <v>47435000</v>
      </c>
      <c r="G92" s="1732">
        <v>0</v>
      </c>
      <c r="H92" s="1582">
        <v>0</v>
      </c>
      <c r="I92" s="1599">
        <v>0</v>
      </c>
      <c r="J92" s="1581">
        <v>0</v>
      </c>
      <c r="K92" s="1643">
        <v>0</v>
      </c>
      <c r="L92" s="1643">
        <v>0</v>
      </c>
      <c r="M92" s="1728">
        <v>0</v>
      </c>
      <c r="O92" s="223">
        <f t="shared" si="0"/>
        <v>0</v>
      </c>
      <c r="P92" s="1602"/>
      <c r="Q92" s="1544"/>
    </row>
    <row r="93" spans="1:17" ht="9.75" customHeight="1">
      <c r="A93" s="1533"/>
      <c r="B93" s="1597" t="s">
        <v>1862</v>
      </c>
      <c r="C93" s="1582">
        <v>854500</v>
      </c>
      <c r="D93" s="1544">
        <v>1869000</v>
      </c>
      <c r="E93" s="1544">
        <v>0</v>
      </c>
      <c r="F93" s="1544">
        <v>2710500</v>
      </c>
      <c r="G93" s="1732">
        <v>13000</v>
      </c>
      <c r="H93" s="1582">
        <v>1755.634</v>
      </c>
      <c r="I93" s="1599">
        <v>1623.44</v>
      </c>
      <c r="J93" s="1581">
        <v>-132.19399999999996</v>
      </c>
      <c r="K93" s="1643">
        <v>1.9410582775415382E-4</v>
      </c>
      <c r="L93" s="1643">
        <v>3.8729165878890288E-4</v>
      </c>
      <c r="M93" s="1728">
        <v>0.01</v>
      </c>
      <c r="P93" s="1602"/>
      <c r="Q93" s="1544"/>
    </row>
    <row r="94" spans="1:17" ht="9.75" customHeight="1">
      <c r="A94" s="1533"/>
      <c r="B94" s="1597" t="s">
        <v>2083</v>
      </c>
      <c r="C94" s="1582">
        <v>338500</v>
      </c>
      <c r="D94" s="1544">
        <v>3886000</v>
      </c>
      <c r="E94" s="1544">
        <v>0</v>
      </c>
      <c r="F94" s="1544">
        <v>3505000</v>
      </c>
      <c r="G94" s="1732">
        <v>719500</v>
      </c>
      <c r="H94" s="1582">
        <v>8175.9660000000003</v>
      </c>
      <c r="I94" s="1599">
        <v>6734.52</v>
      </c>
      <c r="J94" s="1581">
        <v>-1441.4459999999999</v>
      </c>
      <c r="K94" s="1643">
        <v>8.0520966535683742E-4</v>
      </c>
      <c r="L94" s="1643">
        <v>1.6066029061419223E-3</v>
      </c>
      <c r="M94" s="1728">
        <v>0.02</v>
      </c>
      <c r="P94" s="1602"/>
      <c r="Q94" s="1544"/>
    </row>
    <row r="95" spans="1:17" ht="9.75" customHeight="1">
      <c r="A95" s="1533"/>
      <c r="B95" s="1597" t="s">
        <v>2084</v>
      </c>
      <c r="C95" s="1582">
        <v>1633000</v>
      </c>
      <c r="D95" s="1544">
        <v>8318500</v>
      </c>
      <c r="E95" s="1544">
        <v>0</v>
      </c>
      <c r="F95" s="1544">
        <v>7704000</v>
      </c>
      <c r="G95" s="1732">
        <v>2247500</v>
      </c>
      <c r="H95" s="1582">
        <v>374294.38</v>
      </c>
      <c r="I95" s="1599">
        <v>363353.32500000001</v>
      </c>
      <c r="J95" s="1581">
        <v>-10941.054999999993</v>
      </c>
      <c r="K95" s="1643">
        <v>4.344416665620477E-2</v>
      </c>
      <c r="L95" s="1643">
        <v>8.6682422489105446E-2</v>
      </c>
      <c r="M95" s="1728">
        <v>0.41</v>
      </c>
      <c r="P95" s="1602"/>
      <c r="Q95" s="1544"/>
    </row>
    <row r="96" spans="1:17" ht="9.75" customHeight="1">
      <c r="A96" s="1533"/>
      <c r="B96" s="1597"/>
      <c r="C96" s="1582"/>
      <c r="D96" s="1544"/>
      <c r="E96" s="1544"/>
      <c r="F96" s="1544"/>
      <c r="G96" s="1582"/>
      <c r="H96" s="1586">
        <v>513962.41100000002</v>
      </c>
      <c r="I96" s="1586">
        <v>498093.60499999998</v>
      </c>
      <c r="J96" s="1586">
        <v>-15868.805999999982</v>
      </c>
      <c r="K96" s="1601"/>
      <c r="L96" s="1600"/>
      <c r="M96" s="1629"/>
      <c r="O96" s="223">
        <f t="shared" si="0"/>
        <v>0</v>
      </c>
      <c r="P96" s="1602"/>
      <c r="Q96" s="1544"/>
    </row>
    <row r="97" spans="1:17" ht="9.75" customHeight="1">
      <c r="A97" s="1533"/>
      <c r="B97" s="1597"/>
      <c r="C97" s="1582"/>
      <c r="D97" s="1544"/>
      <c r="E97" s="1544"/>
      <c r="F97" s="1544"/>
      <c r="G97" s="1582"/>
      <c r="H97" s="1582"/>
      <c r="I97" s="1603"/>
      <c r="J97" s="1603"/>
      <c r="K97" s="1601"/>
      <c r="L97" s="1600"/>
      <c r="M97" s="1629"/>
      <c r="P97" s="1602"/>
      <c r="Q97" s="1544"/>
    </row>
    <row r="98" spans="1:17" ht="9.75" customHeight="1">
      <c r="A98" s="1533"/>
      <c r="B98" s="1573" t="s">
        <v>1863</v>
      </c>
      <c r="C98" s="1582"/>
      <c r="D98" s="1544"/>
      <c r="E98" s="1544"/>
      <c r="F98" s="1544"/>
      <c r="G98" s="1582"/>
      <c r="H98" s="1582"/>
      <c r="I98" s="1582"/>
      <c r="J98" s="1581"/>
      <c r="K98" s="1643"/>
      <c r="L98" s="1643"/>
      <c r="M98" s="1728"/>
      <c r="O98" s="223">
        <f t="shared" si="0"/>
        <v>0</v>
      </c>
    </row>
    <row r="99" spans="1:17" ht="9.75" customHeight="1">
      <c r="A99" s="1533"/>
      <c r="B99" s="1597" t="s">
        <v>1864</v>
      </c>
      <c r="C99" s="1582">
        <v>133000</v>
      </c>
      <c r="D99" s="1544">
        <v>749500</v>
      </c>
      <c r="E99" s="1544">
        <v>0</v>
      </c>
      <c r="F99" s="1544">
        <v>872000</v>
      </c>
      <c r="G99" s="1732">
        <v>10500</v>
      </c>
      <c r="H99" s="1582">
        <v>587.74099999999999</v>
      </c>
      <c r="I99" s="1582">
        <v>575.505</v>
      </c>
      <c r="J99" s="1581">
        <v>-12.23599999999999</v>
      </c>
      <c r="K99" s="1643">
        <v>6.8809980289788537E-5</v>
      </c>
      <c r="L99" s="1643">
        <v>1.3729382428134549E-4</v>
      </c>
      <c r="M99" s="1728">
        <v>0</v>
      </c>
      <c r="N99" s="223">
        <v>-11585</v>
      </c>
      <c r="O99" s="223">
        <f t="shared" si="0"/>
        <v>-11.585000000000001</v>
      </c>
    </row>
    <row r="100" spans="1:17" ht="9.75" customHeight="1">
      <c r="A100" s="1533"/>
      <c r="B100" s="1597" t="s">
        <v>2110</v>
      </c>
      <c r="C100" s="1582">
        <v>3500</v>
      </c>
      <c r="D100" s="1544">
        <v>426500</v>
      </c>
      <c r="E100" s="1544">
        <v>0</v>
      </c>
      <c r="F100" s="1544">
        <v>421000</v>
      </c>
      <c r="G100" s="1732">
        <v>9000</v>
      </c>
      <c r="H100" s="1582">
        <v>452.02100000000002</v>
      </c>
      <c r="I100" s="1582">
        <v>445.68</v>
      </c>
      <c r="J100" s="1581">
        <v>-6.3410000000000082</v>
      </c>
      <c r="K100" s="1643">
        <v>5.3287516208465526E-5</v>
      </c>
      <c r="L100" s="1643">
        <v>1.0632246740811994E-4</v>
      </c>
      <c r="M100" s="1728">
        <v>0</v>
      </c>
    </row>
    <row r="101" spans="1:17" ht="9.75" customHeight="1">
      <c r="A101" s="1533"/>
      <c r="B101" s="1597" t="s">
        <v>2111</v>
      </c>
      <c r="C101" s="1582">
        <v>39000</v>
      </c>
      <c r="D101" s="1544">
        <v>625500</v>
      </c>
      <c r="E101" s="1544">
        <v>0</v>
      </c>
      <c r="F101" s="1544">
        <v>653000</v>
      </c>
      <c r="G101" s="1732">
        <v>11500</v>
      </c>
      <c r="H101" s="1582">
        <v>1059.413</v>
      </c>
      <c r="I101" s="1582">
        <v>1044.8900000000001</v>
      </c>
      <c r="J101" s="1581">
        <v>-14.522999999999911</v>
      </c>
      <c r="K101" s="1643">
        <v>1.2493177349457807E-4</v>
      </c>
      <c r="L101" s="1643">
        <v>2.4927141215686242E-4</v>
      </c>
      <c r="M101" s="1728">
        <v>0</v>
      </c>
    </row>
    <row r="102" spans="1:17" ht="9.75" customHeight="1">
      <c r="A102" s="1533"/>
      <c r="B102" s="1597"/>
      <c r="C102" s="1582"/>
      <c r="D102" s="1544"/>
      <c r="E102" s="1603"/>
      <c r="F102" s="1603"/>
      <c r="G102" s="1582"/>
      <c r="H102" s="1586">
        <v>2099.1750000000002</v>
      </c>
      <c r="I102" s="1586">
        <v>2066.0749999999998</v>
      </c>
      <c r="J102" s="1586">
        <v>-33.099999999999909</v>
      </c>
      <c r="K102" s="1604"/>
      <c r="L102" s="1600"/>
      <c r="M102" s="1629"/>
      <c r="O102" s="223">
        <f t="shared" ref="O102:O105" si="5">N102/1000</f>
        <v>0</v>
      </c>
    </row>
    <row r="103" spans="1:17" ht="9.75" customHeight="1">
      <c r="A103" s="1533"/>
      <c r="B103" s="1573" t="s">
        <v>1865</v>
      </c>
      <c r="C103" s="1582"/>
      <c r="D103" s="1544"/>
      <c r="E103" s="1582"/>
      <c r="F103" s="1582"/>
      <c r="G103" s="1582"/>
      <c r="H103" s="1582"/>
      <c r="I103" s="1605"/>
      <c r="J103" s="1606"/>
      <c r="K103" s="1604"/>
      <c r="L103" s="1600"/>
      <c r="M103" s="1629"/>
      <c r="O103" s="223">
        <f t="shared" si="5"/>
        <v>0</v>
      </c>
    </row>
    <row r="104" spans="1:17" ht="9.75" customHeight="1">
      <c r="A104" s="1533"/>
      <c r="B104" s="1597" t="s">
        <v>1866</v>
      </c>
      <c r="C104" s="1582">
        <v>4684500</v>
      </c>
      <c r="D104" s="1544">
        <v>3220500</v>
      </c>
      <c r="E104" s="1544">
        <v>0</v>
      </c>
      <c r="F104" s="1544">
        <v>7880500</v>
      </c>
      <c r="G104" s="1732">
        <v>24500</v>
      </c>
      <c r="H104" s="1582">
        <v>219.24799999999999</v>
      </c>
      <c r="I104" s="1582">
        <v>218.29499999999999</v>
      </c>
      <c r="J104" s="1581">
        <v>-0.95300000000000296</v>
      </c>
      <c r="K104" s="1643">
        <v>2.6100337351299098E-5</v>
      </c>
      <c r="L104" s="1643">
        <v>5.2076967830855187E-5</v>
      </c>
      <c r="M104" s="1728">
        <v>0</v>
      </c>
      <c r="N104" s="223">
        <v>-1686093</v>
      </c>
      <c r="O104" s="223">
        <f t="shared" si="5"/>
        <v>-1686.0930000000001</v>
      </c>
    </row>
    <row r="105" spans="1:17" ht="9.75" customHeight="1">
      <c r="A105" s="1533"/>
      <c r="B105" s="1597"/>
      <c r="C105" s="1582"/>
      <c r="D105" s="1544"/>
      <c r="E105" s="1544"/>
      <c r="F105" s="1544"/>
      <c r="G105" s="1582"/>
      <c r="H105" s="1586">
        <v>219.24799999999999</v>
      </c>
      <c r="I105" s="1586">
        <v>218.29499999999999</v>
      </c>
      <c r="J105" s="1586">
        <v>-0.95300000000000296</v>
      </c>
      <c r="K105" s="1604"/>
      <c r="L105" s="1600"/>
      <c r="M105" s="1600"/>
      <c r="O105" s="223">
        <f t="shared" si="5"/>
        <v>0</v>
      </c>
    </row>
    <row r="106" spans="1:17" ht="21" customHeight="1">
      <c r="A106" s="1533"/>
      <c r="D106" s="1579"/>
      <c r="E106" s="1579"/>
      <c r="F106" s="1579"/>
      <c r="H106" s="1605"/>
      <c r="I106" s="1605"/>
      <c r="J106" s="1605"/>
      <c r="K106" s="1607"/>
      <c r="L106" s="1600"/>
      <c r="M106" s="1600"/>
    </row>
    <row r="107" spans="1:17" ht="12" hidden="1" customHeight="1">
      <c r="A107" s="1531"/>
      <c r="B107" s="2037"/>
      <c r="C107" s="2037"/>
      <c r="D107" s="2037"/>
      <c r="E107" s="2037"/>
      <c r="F107" s="2037"/>
      <c r="G107" s="2037"/>
      <c r="H107" s="2037"/>
      <c r="I107" s="2037"/>
      <c r="J107" s="2037"/>
      <c r="K107" s="2037"/>
      <c r="L107" s="2037"/>
    </row>
    <row r="108" spans="1:17" ht="12" hidden="1" customHeight="1">
      <c r="B108" s="2037"/>
      <c r="C108" s="2037"/>
      <c r="D108" s="2037"/>
      <c r="E108" s="2037"/>
      <c r="F108" s="2037"/>
      <c r="G108" s="2037"/>
      <c r="H108" s="2037"/>
      <c r="I108" s="2037"/>
      <c r="J108" s="2037"/>
      <c r="K108" s="2037"/>
      <c r="L108" s="2037"/>
    </row>
    <row r="109" spans="1:17" ht="12" hidden="1" customHeight="1">
      <c r="A109" s="1537"/>
      <c r="B109" s="2037"/>
      <c r="C109" s="2037"/>
      <c r="D109" s="2037"/>
      <c r="E109" s="2037"/>
      <c r="F109" s="2037"/>
      <c r="G109" s="2037"/>
      <c r="H109" s="2037"/>
      <c r="I109" s="2037"/>
      <c r="J109" s="2037"/>
      <c r="K109" s="2037"/>
      <c r="L109" s="2037"/>
    </row>
    <row r="110" spans="1:17" ht="12" hidden="1" customHeight="1">
      <c r="B110" s="2037"/>
      <c r="C110" s="2037"/>
      <c r="D110" s="2037"/>
      <c r="E110" s="2037"/>
      <c r="F110" s="2037"/>
      <c r="G110" s="2037"/>
      <c r="H110" s="2037"/>
      <c r="I110" s="2037"/>
      <c r="J110" s="2037"/>
      <c r="K110" s="2037"/>
      <c r="L110" s="2037"/>
    </row>
    <row r="111" spans="1:17" ht="12" hidden="1" customHeight="1">
      <c r="B111" s="2037"/>
      <c r="C111" s="2037"/>
      <c r="D111" s="2037"/>
      <c r="E111" s="2037"/>
      <c r="F111" s="2037"/>
      <c r="G111" s="2037"/>
      <c r="H111" s="2037"/>
      <c r="I111" s="2037"/>
      <c r="J111" s="2037"/>
      <c r="K111" s="2037"/>
      <c r="L111" s="2037"/>
    </row>
    <row r="112" spans="1:17" ht="12" hidden="1" customHeight="1">
      <c r="B112" s="2037"/>
      <c r="C112" s="2037"/>
      <c r="D112" s="2037"/>
      <c r="E112" s="2037"/>
      <c r="F112" s="2037"/>
      <c r="G112" s="2037"/>
      <c r="H112" s="2037"/>
      <c r="I112" s="2037"/>
      <c r="J112" s="2037"/>
      <c r="K112" s="2037"/>
      <c r="L112" s="2037"/>
    </row>
    <row r="113" spans="1:25" ht="12" hidden="1" customHeight="1"/>
    <row r="114" spans="1:25" ht="12.75" thickBot="1">
      <c r="A114" s="1425"/>
      <c r="B114" s="1578" t="s">
        <v>1974</v>
      </c>
      <c r="H114" s="1569">
        <v>2264202.9000000004</v>
      </c>
      <c r="I114" s="1569">
        <v>2046173.9949999999</v>
      </c>
      <c r="J114" s="1569">
        <v>-218028.90500000006</v>
      </c>
      <c r="K114" s="1532"/>
      <c r="L114" s="1532"/>
    </row>
    <row r="115" spans="1:25" ht="12.75" thickTop="1">
      <c r="A115" s="1425"/>
      <c r="K115" s="1532"/>
      <c r="L115" s="1532"/>
    </row>
    <row r="116" spans="1:25" ht="12.75" thickBot="1">
      <c r="A116" s="1533"/>
      <c r="B116" s="1597" t="s">
        <v>1988</v>
      </c>
      <c r="C116" s="1582"/>
      <c r="D116" s="1597"/>
      <c r="E116" s="1597"/>
      <c r="F116" s="1597"/>
      <c r="G116" s="1582"/>
      <c r="H116" s="1822">
        <v>3381434</v>
      </c>
      <c r="I116" s="1822">
        <v>3377757</v>
      </c>
      <c r="J116" s="1822">
        <v>-3677</v>
      </c>
      <c r="K116" s="1532"/>
      <c r="L116" s="1532"/>
    </row>
    <row r="117" spans="1:25" ht="12.75" thickTop="1">
      <c r="A117" s="1533"/>
      <c r="B117" s="1597"/>
      <c r="C117" s="1582"/>
      <c r="D117" s="1597"/>
      <c r="E117" s="1597"/>
      <c r="F117" s="1597"/>
      <c r="G117" s="1582"/>
      <c r="K117" s="1532"/>
      <c r="L117" s="1532"/>
    </row>
    <row r="118" spans="1:25">
      <c r="A118" s="1533" t="s">
        <v>1472</v>
      </c>
      <c r="B118" s="1597" t="s">
        <v>1989</v>
      </c>
      <c r="C118" s="1582"/>
      <c r="D118" s="1597"/>
      <c r="E118" s="1597"/>
      <c r="F118" s="1597"/>
      <c r="G118" s="1582"/>
      <c r="K118" s="1532"/>
      <c r="L118" s="1532"/>
    </row>
    <row r="119" spans="1:25">
      <c r="A119" s="1533" t="s">
        <v>1990</v>
      </c>
      <c r="B119" s="1597" t="s">
        <v>1991</v>
      </c>
      <c r="C119" s="1582"/>
      <c r="D119" s="1597"/>
      <c r="E119" s="1597"/>
      <c r="F119" s="1597"/>
      <c r="G119" s="1582"/>
      <c r="K119" s="1532"/>
      <c r="L119" s="1532"/>
    </row>
    <row r="120" spans="1:25">
      <c r="A120" s="1533" t="s">
        <v>1992</v>
      </c>
      <c r="B120" s="1597" t="s">
        <v>1993</v>
      </c>
      <c r="C120" s="1582"/>
      <c r="D120" s="1597"/>
      <c r="E120" s="1597"/>
      <c r="F120" s="1597"/>
      <c r="G120" s="1582"/>
      <c r="K120" s="1532"/>
      <c r="L120" s="1532"/>
    </row>
    <row r="121" spans="1:25">
      <c r="A121" s="1533" t="s">
        <v>1994</v>
      </c>
      <c r="B121" s="1597" t="s">
        <v>1995</v>
      </c>
      <c r="C121" s="1582"/>
      <c r="D121" s="1597"/>
      <c r="E121" s="1597"/>
      <c r="F121" s="1597"/>
      <c r="G121" s="1582"/>
      <c r="K121" s="1532"/>
      <c r="L121" s="1532"/>
    </row>
    <row r="122" spans="1:25">
      <c r="A122" s="1533"/>
      <c r="B122" s="1597"/>
      <c r="C122" s="1582"/>
      <c r="D122" s="1597"/>
      <c r="E122" s="1597"/>
      <c r="F122" s="1597"/>
      <c r="G122" s="1582"/>
      <c r="K122" s="1532"/>
      <c r="L122" s="1532"/>
    </row>
    <row r="123" spans="1:25" s="1580" customFormat="1" ht="12" customHeight="1">
      <c r="A123" s="1738" t="s">
        <v>2104</v>
      </c>
      <c r="B123" s="2045" t="s">
        <v>1996</v>
      </c>
      <c r="C123" s="2045"/>
      <c r="D123" s="2045"/>
      <c r="E123" s="2045"/>
      <c r="F123" s="2045"/>
      <c r="G123" s="2045"/>
      <c r="H123" s="2045"/>
      <c r="I123" s="2045"/>
      <c r="J123" s="2045"/>
      <c r="K123" s="2045"/>
      <c r="L123" s="2045"/>
      <c r="M123" s="2045"/>
      <c r="N123" s="1692"/>
      <c r="Y123" s="1691">
        <f t="shared" ref="Y123" si="6">N123-X123</f>
        <v>0</v>
      </c>
    </row>
    <row r="124" spans="1:25" s="1580" customFormat="1">
      <c r="B124" s="2045"/>
      <c r="C124" s="2045"/>
      <c r="D124" s="2045"/>
      <c r="E124" s="2045"/>
      <c r="F124" s="2045"/>
      <c r="G124" s="2045"/>
      <c r="H124" s="2045"/>
      <c r="I124" s="2045"/>
      <c r="J124" s="2045"/>
      <c r="K124" s="2045"/>
      <c r="L124" s="2045"/>
      <c r="M124" s="2045"/>
      <c r="N124" s="1692"/>
    </row>
    <row r="125" spans="1:25">
      <c r="A125" s="1533"/>
      <c r="B125" s="1597"/>
      <c r="C125" s="1582"/>
      <c r="D125" s="1597"/>
      <c r="E125" s="1597"/>
      <c r="F125" s="1597"/>
      <c r="G125" s="1582"/>
      <c r="K125" s="1532"/>
      <c r="L125" s="1532"/>
    </row>
    <row r="126" spans="1:25" s="1011" customFormat="1" ht="15" customHeight="1">
      <c r="A126" s="1538"/>
      <c r="B126" s="1580"/>
      <c r="C126" s="1579"/>
      <c r="D126" s="1580"/>
      <c r="E126" s="1580"/>
      <c r="F126" s="1580"/>
      <c r="G126" s="2035"/>
      <c r="H126" s="2035"/>
      <c r="I126" s="2035"/>
      <c r="J126" s="2036"/>
      <c r="K126" s="2030"/>
      <c r="L126" s="2030"/>
    </row>
    <row r="127" spans="1:25" ht="8.1" customHeight="1">
      <c r="A127" s="1533"/>
      <c r="H127" s="2031"/>
      <c r="I127" s="2031"/>
      <c r="J127" s="2036"/>
      <c r="K127" s="2030"/>
      <c r="L127" s="2030"/>
    </row>
    <row r="128" spans="1:25" ht="16.5" customHeight="1">
      <c r="A128" s="1533"/>
      <c r="H128" s="2031"/>
      <c r="I128" s="2031"/>
      <c r="J128" s="2036"/>
      <c r="K128" s="2030"/>
      <c r="L128" s="2030"/>
    </row>
    <row r="129" spans="1:17" ht="11.25" customHeight="1">
      <c r="A129" s="1533"/>
      <c r="H129" s="2031"/>
      <c r="I129" s="2031"/>
      <c r="J129" s="2036"/>
      <c r="K129" s="2030"/>
      <c r="L129" s="2030"/>
    </row>
    <row r="130" spans="1:17" ht="8.1" customHeight="1">
      <c r="A130" s="1533"/>
      <c r="H130" s="2031"/>
      <c r="I130" s="2031"/>
      <c r="J130" s="2036"/>
      <c r="K130" s="2030"/>
      <c r="L130" s="2030"/>
    </row>
    <row r="131" spans="1:17" ht="8.1" customHeight="1">
      <c r="A131" s="1533"/>
      <c r="H131" s="2031"/>
      <c r="I131" s="2031"/>
      <c r="J131" s="2036"/>
      <c r="K131" s="2030"/>
      <c r="L131" s="2030"/>
    </row>
    <row r="132" spans="1:17" ht="13.5" customHeight="1">
      <c r="A132" s="1533"/>
      <c r="G132" s="2032"/>
      <c r="H132" s="2032"/>
      <c r="I132" s="2032"/>
      <c r="J132" s="2026"/>
      <c r="K132" s="2026"/>
      <c r="L132" s="2026"/>
    </row>
    <row r="133" spans="1:17">
      <c r="M133" s="1585"/>
    </row>
    <row r="134" spans="1:17">
      <c r="M134" s="1585"/>
    </row>
    <row r="135" spans="1:17">
      <c r="H135" s="1608"/>
      <c r="I135" s="1609"/>
      <c r="J135" s="1546"/>
      <c r="K135" s="1123"/>
      <c r="L135" s="1123"/>
      <c r="N135" s="1610"/>
      <c r="P135" s="1590"/>
      <c r="Q135" s="1590"/>
    </row>
    <row r="136" spans="1:17">
      <c r="H136" s="1608"/>
      <c r="I136" s="1609"/>
      <c r="J136" s="1546"/>
      <c r="K136" s="1123"/>
      <c r="L136" s="1123"/>
      <c r="N136" s="1610"/>
      <c r="P136" s="1590"/>
      <c r="Q136" s="1590"/>
    </row>
    <row r="137" spans="1:17">
      <c r="H137" s="1608"/>
      <c r="I137" s="1609"/>
      <c r="J137" s="1546"/>
      <c r="K137" s="1123"/>
      <c r="L137" s="1123"/>
      <c r="N137" s="1610"/>
      <c r="P137" s="1590"/>
      <c r="Q137" s="1590"/>
    </row>
    <row r="138" spans="1:17" ht="11.85" customHeight="1">
      <c r="H138" s="1608"/>
      <c r="I138" s="1609"/>
      <c r="J138" s="1546"/>
      <c r="K138" s="1123"/>
      <c r="L138" s="1123"/>
      <c r="N138" s="1610"/>
      <c r="P138" s="1590"/>
      <c r="Q138" s="1590"/>
    </row>
    <row r="139" spans="1:17">
      <c r="H139" s="1608"/>
      <c r="I139" s="1609"/>
      <c r="J139" s="1546"/>
      <c r="K139" s="1123"/>
      <c r="L139" s="1123"/>
      <c r="N139" s="1610"/>
      <c r="P139" s="1590"/>
      <c r="Q139" s="1590"/>
    </row>
    <row r="140" spans="1:17" ht="3.95" customHeight="1">
      <c r="H140" s="1547"/>
      <c r="I140" s="1611"/>
      <c r="J140" s="1612"/>
      <c r="K140" s="1613"/>
      <c r="L140" s="1613"/>
    </row>
    <row r="141" spans="1:17">
      <c r="H141" s="1547"/>
      <c r="I141" s="1611"/>
      <c r="J141" s="1612"/>
      <c r="K141" s="1613"/>
      <c r="L141" s="1613"/>
    </row>
    <row r="142" spans="1:17">
      <c r="H142" s="1547"/>
      <c r="I142" s="1611"/>
      <c r="J142" s="1612"/>
      <c r="K142" s="1613"/>
      <c r="L142" s="1613"/>
    </row>
    <row r="143" spans="1:17">
      <c r="H143" s="1547"/>
      <c r="I143" s="1611"/>
      <c r="J143" s="1612"/>
      <c r="K143" s="1613"/>
      <c r="L143" s="1613"/>
    </row>
    <row r="144" spans="1:17">
      <c r="H144" s="1614"/>
      <c r="I144" s="1609"/>
      <c r="J144" s="1546"/>
      <c r="K144" s="1123"/>
      <c r="L144" s="1123"/>
      <c r="M144" s="1615"/>
      <c r="N144" s="1610"/>
      <c r="P144" s="1590"/>
      <c r="Q144" s="1590"/>
    </row>
    <row r="145" spans="1:17">
      <c r="H145" s="1614"/>
      <c r="I145" s="1616"/>
      <c r="J145" s="1616"/>
      <c r="K145" s="1617"/>
      <c r="L145" s="1617"/>
    </row>
    <row r="146" spans="1:17" s="1011" customFormat="1" ht="21" customHeight="1">
      <c r="B146" s="1580"/>
      <c r="C146" s="1579"/>
      <c r="D146" s="1580"/>
      <c r="E146" s="1580"/>
      <c r="F146" s="1580"/>
      <c r="G146" s="1579"/>
      <c r="H146" s="1550"/>
      <c r="I146" s="1550"/>
      <c r="J146" s="1550"/>
      <c r="K146" s="1618"/>
      <c r="L146" s="1619"/>
    </row>
    <row r="147" spans="1:17">
      <c r="H147" s="1614"/>
      <c r="I147" s="1616"/>
      <c r="J147" s="1616"/>
      <c r="K147" s="1617"/>
      <c r="L147" s="1617"/>
    </row>
    <row r="148" spans="1:17" s="1011" customFormat="1" ht="21" customHeight="1">
      <c r="B148" s="1580"/>
      <c r="C148" s="1579"/>
      <c r="D148" s="1580"/>
      <c r="E148" s="1580"/>
      <c r="F148" s="1580"/>
      <c r="G148" s="1579"/>
      <c r="H148" s="1614"/>
      <c r="I148" s="1614"/>
      <c r="J148" s="1616"/>
      <c r="K148" s="1617"/>
      <c r="L148" s="1618"/>
    </row>
    <row r="149" spans="1:17">
      <c r="H149" s="1614"/>
      <c r="I149" s="1614"/>
      <c r="J149" s="1614"/>
      <c r="K149" s="1620"/>
      <c r="L149" s="1620"/>
    </row>
    <row r="150" spans="1:17">
      <c r="H150" s="1614"/>
      <c r="I150" s="1614"/>
      <c r="J150" s="1614"/>
      <c r="K150" s="1620"/>
      <c r="L150" s="1620"/>
    </row>
    <row r="151" spans="1:17">
      <c r="A151" s="1531"/>
      <c r="H151" s="1546"/>
      <c r="I151" s="1546"/>
      <c r="J151" s="1546"/>
      <c r="K151" s="1532"/>
      <c r="L151" s="1532"/>
    </row>
    <row r="152" spans="1:17">
      <c r="A152" s="1539"/>
      <c r="H152" s="1546"/>
      <c r="I152" s="1546"/>
      <c r="J152" s="1546"/>
      <c r="K152" s="1532"/>
      <c r="L152" s="1532"/>
    </row>
    <row r="153" spans="1:17" s="1011" customFormat="1" ht="15" customHeight="1">
      <c r="A153" s="1540"/>
      <c r="B153" s="1580"/>
      <c r="C153" s="1579"/>
      <c r="D153" s="1580"/>
      <c r="E153" s="2042"/>
      <c r="F153" s="2042"/>
      <c r="G153" s="2042"/>
      <c r="H153" s="2043"/>
      <c r="I153" s="2043"/>
      <c r="J153" s="2044"/>
      <c r="K153" s="2044"/>
      <c r="L153" s="1598"/>
    </row>
    <row r="154" spans="1:17">
      <c r="A154" s="1539"/>
      <c r="H154" s="2039"/>
      <c r="I154" s="2039"/>
      <c r="J154" s="2039"/>
      <c r="K154" s="2039"/>
      <c r="L154" s="1539"/>
    </row>
    <row r="155" spans="1:17">
      <c r="A155" s="1539"/>
      <c r="H155" s="2039"/>
      <c r="I155" s="2039"/>
      <c r="J155" s="2039"/>
      <c r="K155" s="2039"/>
      <c r="L155" s="1539"/>
    </row>
    <row r="156" spans="1:17">
      <c r="A156" s="1539"/>
      <c r="E156" s="2038"/>
      <c r="F156" s="2038"/>
      <c r="G156" s="2038"/>
      <c r="H156" s="2040"/>
      <c r="I156" s="2040"/>
      <c r="J156" s="2041"/>
      <c r="K156" s="2041"/>
      <c r="L156" s="1600"/>
      <c r="M156" s="1621"/>
      <c r="N156" s="1610"/>
      <c r="O156" s="1610"/>
      <c r="P156" s="1602"/>
      <c r="Q156" s="1544"/>
    </row>
    <row r="157" spans="1:17">
      <c r="A157" s="1539"/>
      <c r="E157" s="2038"/>
      <c r="F157" s="2038"/>
      <c r="G157" s="2038"/>
      <c r="H157" s="2040"/>
      <c r="I157" s="2040"/>
      <c r="J157" s="2040"/>
      <c r="K157" s="2040"/>
      <c r="L157" s="1600"/>
      <c r="M157" s="1621"/>
      <c r="N157" s="1610"/>
      <c r="O157" s="1610"/>
      <c r="P157" s="1602"/>
      <c r="Q157" s="1544"/>
    </row>
    <row r="158" spans="1:17">
      <c r="A158" s="1539"/>
      <c r="E158" s="2038"/>
      <c r="F158" s="2038"/>
      <c r="G158" s="2038"/>
      <c r="H158" s="2040"/>
      <c r="I158" s="2040"/>
      <c r="J158" s="2041"/>
      <c r="K158" s="2041"/>
      <c r="L158" s="1600"/>
      <c r="M158" s="1621"/>
      <c r="P158" s="1602"/>
      <c r="Q158" s="1544"/>
    </row>
    <row r="159" spans="1:17">
      <c r="A159" s="1539"/>
      <c r="E159" s="2038"/>
      <c r="F159" s="2039"/>
      <c r="G159" s="2039"/>
      <c r="H159" s="2040"/>
      <c r="I159" s="2040"/>
      <c r="J159" s="2040"/>
      <c r="K159" s="2040"/>
      <c r="L159" s="1600"/>
      <c r="M159" s="1539"/>
      <c r="P159" s="1602"/>
      <c r="Q159" s="1544"/>
    </row>
    <row r="160" spans="1:17">
      <c r="A160" s="1539"/>
      <c r="P160" s="1602"/>
      <c r="Q160" s="1544"/>
    </row>
    <row r="161" spans="1:17">
      <c r="A161" s="1539"/>
      <c r="P161" s="1602"/>
      <c r="Q161" s="1544"/>
    </row>
    <row r="162" spans="1:17">
      <c r="A162" s="1539"/>
      <c r="P162" s="1602"/>
      <c r="Q162" s="1544"/>
    </row>
    <row r="163" spans="1:17">
      <c r="A163" s="1539"/>
      <c r="P163" s="1602"/>
      <c r="Q163" s="1544"/>
    </row>
    <row r="164" spans="1:17" ht="12" hidden="1" customHeight="1">
      <c r="A164" s="1531"/>
    </row>
    <row r="165" spans="1:17" ht="12" hidden="1" customHeight="1">
      <c r="A165" s="1531"/>
    </row>
    <row r="166" spans="1:17" ht="12" hidden="1" customHeight="1"/>
    <row r="167" spans="1:17" ht="6" customHeight="1">
      <c r="H167" s="1547"/>
      <c r="I167" s="1547"/>
      <c r="J167" s="1547"/>
      <c r="K167" s="1452"/>
      <c r="L167" s="1452"/>
    </row>
    <row r="168" spans="1:17">
      <c r="H168" s="1547"/>
      <c r="I168" s="1547"/>
      <c r="J168" s="1547"/>
      <c r="K168" s="1452"/>
      <c r="L168" s="1452"/>
    </row>
    <row r="169" spans="1:17">
      <c r="A169" s="1425"/>
      <c r="H169" s="1548"/>
      <c r="I169" s="1548"/>
      <c r="J169" s="1548"/>
      <c r="K169" s="1453"/>
      <c r="L169" s="1453"/>
    </row>
    <row r="170" spans="1:17">
      <c r="A170" s="1425"/>
      <c r="H170" s="1548"/>
      <c r="I170" s="1548"/>
      <c r="J170" s="1548"/>
      <c r="K170" s="1453"/>
      <c r="L170" s="1453"/>
    </row>
    <row r="171" spans="1:17">
      <c r="A171" s="1533"/>
      <c r="H171" s="1548"/>
      <c r="I171" s="1548"/>
      <c r="J171" s="1548"/>
      <c r="K171" s="1453"/>
      <c r="L171" s="1453"/>
    </row>
    <row r="172" spans="1:17" ht="11.25" customHeight="1">
      <c r="A172" s="1539"/>
      <c r="H172" s="1548"/>
      <c r="I172" s="1548"/>
      <c r="J172" s="1548"/>
      <c r="K172" s="1453"/>
      <c r="L172" s="1453"/>
    </row>
    <row r="173" spans="1:17" s="1011" customFormat="1" ht="15" customHeight="1">
      <c r="A173" s="1540"/>
      <c r="B173" s="1580"/>
      <c r="C173" s="1579"/>
      <c r="D173" s="1580"/>
      <c r="E173" s="1580"/>
      <c r="F173" s="1580"/>
      <c r="G173" s="2035"/>
      <c r="H173" s="2035"/>
      <c r="I173" s="2035"/>
      <c r="J173" s="2036"/>
      <c r="K173" s="2030"/>
      <c r="L173" s="2030"/>
    </row>
    <row r="174" spans="1:17" ht="9" customHeight="1">
      <c r="A174" s="1539"/>
      <c r="H174" s="2031"/>
      <c r="I174" s="2031"/>
      <c r="J174" s="2036"/>
      <c r="K174" s="2030"/>
      <c r="L174" s="2030"/>
    </row>
    <row r="175" spans="1:17" ht="13.5" customHeight="1">
      <c r="A175" s="1539"/>
      <c r="H175" s="2031"/>
      <c r="I175" s="2031"/>
      <c r="J175" s="2036"/>
      <c r="K175" s="2030"/>
      <c r="L175" s="2030"/>
    </row>
    <row r="176" spans="1:17" ht="9" customHeight="1">
      <c r="A176" s="1539"/>
      <c r="H176" s="2031"/>
      <c r="I176" s="2031"/>
      <c r="J176" s="2036"/>
      <c r="K176" s="2030"/>
      <c r="L176" s="2030"/>
    </row>
    <row r="177" spans="1:17" ht="9" customHeight="1">
      <c r="A177" s="1539"/>
      <c r="H177" s="2031"/>
      <c r="I177" s="2031"/>
      <c r="J177" s="2036"/>
      <c r="K177" s="2030"/>
      <c r="L177" s="2030"/>
    </row>
    <row r="178" spans="1:17" ht="9" customHeight="1">
      <c r="A178" s="1539"/>
      <c r="H178" s="2031"/>
      <c r="I178" s="2031"/>
      <c r="J178" s="2036"/>
      <c r="K178" s="2030"/>
      <c r="L178" s="2030"/>
    </row>
    <row r="179" spans="1:17" ht="9" customHeight="1">
      <c r="A179" s="1539"/>
      <c r="G179" s="2032"/>
      <c r="H179" s="2032"/>
      <c r="I179" s="2032"/>
      <c r="J179" s="2026"/>
      <c r="K179" s="2026"/>
      <c r="L179" s="2026"/>
    </row>
    <row r="180" spans="1:17">
      <c r="A180" s="1539"/>
      <c r="H180" s="1622"/>
      <c r="I180" s="1622"/>
      <c r="J180" s="1623"/>
      <c r="K180" s="1624"/>
      <c r="L180" s="1624"/>
    </row>
    <row r="181" spans="1:17">
      <c r="A181" s="1539"/>
      <c r="H181" s="1625"/>
      <c r="I181" s="1626"/>
      <c r="J181" s="1605"/>
      <c r="K181" s="1627"/>
      <c r="L181" s="1627"/>
    </row>
    <row r="182" spans="1:17">
      <c r="A182" s="1539"/>
      <c r="H182" s="1608"/>
      <c r="I182" s="1609"/>
      <c r="J182" s="1608"/>
      <c r="K182" s="1628"/>
      <c r="L182" s="1628"/>
      <c r="N182" s="1610"/>
      <c r="P182" s="1590"/>
      <c r="Q182" s="1590"/>
    </row>
    <row r="183" spans="1:17" ht="9" hidden="1" customHeight="1">
      <c r="A183" s="1539"/>
      <c r="H183" s="1608"/>
      <c r="I183" s="1609"/>
      <c r="J183" s="1608"/>
      <c r="K183" s="1628"/>
      <c r="L183" s="1628"/>
      <c r="N183" s="1610"/>
      <c r="P183" s="1590"/>
      <c r="Q183" s="1590"/>
    </row>
    <row r="184" spans="1:17">
      <c r="A184" s="1539"/>
      <c r="H184" s="1625"/>
      <c r="I184" s="1626"/>
      <c r="J184" s="1605"/>
      <c r="K184" s="1629"/>
      <c r="L184" s="1629"/>
    </row>
    <row r="185" spans="1:17">
      <c r="A185" s="1539"/>
      <c r="H185" s="1608"/>
      <c r="I185" s="1609"/>
      <c r="J185" s="1608"/>
      <c r="K185" s="1628"/>
      <c r="L185" s="1628"/>
      <c r="N185" s="1610"/>
      <c r="P185" s="1590"/>
      <c r="Q185" s="1590"/>
    </row>
    <row r="186" spans="1:17">
      <c r="A186" s="1539"/>
      <c r="H186" s="1608"/>
      <c r="I186" s="1609"/>
      <c r="J186" s="1608"/>
      <c r="K186" s="1628"/>
      <c r="L186" s="1628"/>
      <c r="N186" s="1610"/>
      <c r="P186" s="1590"/>
      <c r="Q186" s="1590"/>
    </row>
    <row r="187" spans="1:17">
      <c r="A187" s="1539"/>
      <c r="H187" s="1608"/>
      <c r="I187" s="1609"/>
      <c r="J187" s="1608"/>
      <c r="K187" s="1628"/>
      <c r="L187" s="1628"/>
      <c r="N187" s="1610"/>
      <c r="P187" s="1590"/>
      <c r="Q187" s="1590"/>
    </row>
    <row r="188" spans="1:17">
      <c r="A188" s="1539"/>
      <c r="H188" s="1608"/>
      <c r="I188" s="1609"/>
      <c r="J188" s="1546"/>
      <c r="K188" s="1123"/>
      <c r="L188" s="1123"/>
      <c r="N188" s="1610"/>
      <c r="P188" s="1590"/>
      <c r="Q188" s="1590"/>
    </row>
    <row r="189" spans="1:17">
      <c r="A189" s="1539"/>
      <c r="H189" s="1608"/>
      <c r="I189" s="1609"/>
      <c r="J189" s="1608"/>
      <c r="K189" s="1628"/>
      <c r="L189" s="1628"/>
      <c r="N189" s="1610"/>
      <c r="P189" s="1590"/>
      <c r="Q189" s="1590"/>
    </row>
    <row r="190" spans="1:17">
      <c r="A190" s="1539"/>
      <c r="H190" s="1608"/>
      <c r="I190" s="1609"/>
      <c r="J190" s="1608"/>
      <c r="K190" s="1628"/>
      <c r="L190" s="1628"/>
      <c r="N190" s="1610"/>
      <c r="P190" s="1590"/>
      <c r="Q190" s="1590"/>
    </row>
    <row r="191" spans="1:17">
      <c r="A191" s="1539"/>
      <c r="H191" s="1608"/>
      <c r="I191" s="1609"/>
      <c r="J191" s="1608"/>
      <c r="K191" s="1630"/>
      <c r="L191" s="1631"/>
      <c r="N191" s="1610"/>
      <c r="P191" s="1590"/>
      <c r="Q191" s="1590"/>
    </row>
    <row r="192" spans="1:17" s="1011" customFormat="1" ht="21" customHeight="1">
      <c r="A192" s="1632"/>
      <c r="B192" s="1580"/>
      <c r="C192" s="1579"/>
      <c r="D192" s="1580"/>
      <c r="E192" s="1580"/>
      <c r="F192" s="1580"/>
      <c r="G192" s="1579"/>
      <c r="H192" s="1550"/>
      <c r="I192" s="1550"/>
      <c r="J192" s="1547"/>
      <c r="K192" s="1598"/>
      <c r="L192" s="1619"/>
      <c r="N192" s="1633"/>
      <c r="P192" s="1634"/>
      <c r="Q192" s="1634"/>
    </row>
    <row r="193" spans="1:17">
      <c r="A193" s="1539"/>
      <c r="H193" s="1614"/>
      <c r="I193" s="1616"/>
      <c r="J193" s="1616"/>
      <c r="K193" s="1617"/>
      <c r="L193" s="1631"/>
      <c r="N193" s="1610"/>
      <c r="P193" s="1590"/>
      <c r="Q193" s="1590"/>
    </row>
    <row r="194" spans="1:17">
      <c r="A194" s="1539"/>
      <c r="H194" s="1614"/>
      <c r="I194" s="1614"/>
      <c r="J194" s="1616"/>
      <c r="K194" s="1617"/>
      <c r="L194" s="1631"/>
      <c r="N194" s="1610"/>
      <c r="P194" s="1590"/>
      <c r="Q194" s="1590"/>
    </row>
    <row r="195" spans="1:17">
      <c r="A195" s="1539"/>
      <c r="H195" s="1608"/>
      <c r="I195" s="1609"/>
      <c r="J195" s="1546"/>
      <c r="K195" s="1631"/>
      <c r="L195" s="1631"/>
      <c r="N195" s="1610"/>
      <c r="P195" s="1590"/>
      <c r="Q195" s="1590"/>
    </row>
    <row r="196" spans="1:17">
      <c r="A196" s="1531"/>
      <c r="H196" s="1546"/>
      <c r="I196" s="1546"/>
      <c r="J196" s="1546"/>
      <c r="K196" s="1532"/>
      <c r="L196" s="1532"/>
      <c r="N196" s="1610"/>
      <c r="P196" s="1590"/>
      <c r="Q196" s="1590"/>
    </row>
    <row r="197" spans="1:17">
      <c r="A197" s="1539"/>
      <c r="H197" s="1546"/>
      <c r="I197" s="1546"/>
      <c r="J197" s="1546"/>
      <c r="K197" s="1532"/>
      <c r="L197" s="1532"/>
      <c r="N197" s="1610"/>
      <c r="P197" s="1590"/>
      <c r="Q197" s="1590"/>
    </row>
    <row r="198" spans="1:17" s="1011" customFormat="1" ht="15" customHeight="1">
      <c r="A198" s="1540"/>
      <c r="B198" s="1580"/>
      <c r="C198" s="1579"/>
      <c r="D198" s="1580"/>
      <c r="E198" s="2042"/>
      <c r="F198" s="2042"/>
      <c r="G198" s="2042"/>
      <c r="H198" s="2043"/>
      <c r="I198" s="2043"/>
      <c r="J198" s="2044"/>
      <c r="K198" s="2044"/>
      <c r="L198" s="1598"/>
      <c r="N198" s="1633"/>
      <c r="P198" s="1634"/>
      <c r="Q198" s="1634"/>
    </row>
    <row r="199" spans="1:17">
      <c r="A199" s="1539"/>
      <c r="H199" s="1608"/>
      <c r="I199" s="1609"/>
      <c r="J199" s="1546"/>
      <c r="K199" s="1631"/>
      <c r="L199" s="1631"/>
      <c r="N199" s="1610"/>
      <c r="P199" s="1590"/>
      <c r="Q199" s="1590"/>
    </row>
    <row r="200" spans="1:17">
      <c r="A200" s="1539"/>
      <c r="E200" s="2038"/>
      <c r="F200" s="2039"/>
      <c r="G200" s="2039"/>
      <c r="H200" s="2040"/>
      <c r="I200" s="2040"/>
      <c r="J200" s="2041"/>
      <c r="K200" s="2041"/>
      <c r="L200" s="1600"/>
      <c r="N200" s="1610"/>
      <c r="P200" s="1602"/>
      <c r="Q200" s="1544"/>
    </row>
    <row r="201" spans="1:17">
      <c r="A201" s="1539"/>
      <c r="H201" s="1605"/>
      <c r="I201" s="1605"/>
      <c r="J201" s="1605"/>
      <c r="K201" s="1635"/>
      <c r="L201" s="1600"/>
      <c r="N201" s="1610"/>
      <c r="P201" s="1590"/>
      <c r="Q201" s="1590"/>
    </row>
    <row r="202" spans="1:17">
      <c r="A202" s="1539"/>
      <c r="E202" s="2038"/>
      <c r="F202" s="2039"/>
      <c r="G202" s="2039"/>
      <c r="H202" s="2040"/>
      <c r="I202" s="2040"/>
      <c r="J202" s="2041"/>
      <c r="K202" s="2041"/>
      <c r="L202" s="1600"/>
      <c r="M202" s="1600"/>
      <c r="P202" s="1602"/>
      <c r="Q202" s="1544"/>
    </row>
    <row r="203" spans="1:17" ht="9" customHeight="1">
      <c r="A203" s="1539"/>
      <c r="H203" s="1608"/>
      <c r="I203" s="1609"/>
      <c r="J203" s="1546"/>
      <c r="K203" s="1631"/>
      <c r="L203" s="1631"/>
      <c r="N203" s="1610"/>
      <c r="P203" s="1590"/>
      <c r="Q203" s="1590"/>
    </row>
    <row r="204" spans="1:17" ht="12" hidden="1" customHeight="1">
      <c r="A204" s="1531"/>
      <c r="B204" s="2037"/>
      <c r="C204" s="2037"/>
      <c r="D204" s="2037"/>
      <c r="E204" s="2037"/>
      <c r="F204" s="2037"/>
      <c r="G204" s="2037"/>
      <c r="H204" s="2037"/>
      <c r="I204" s="2037"/>
      <c r="J204" s="2037"/>
      <c r="K204" s="2037"/>
      <c r="L204" s="2037"/>
    </row>
    <row r="205" spans="1:17" ht="12" hidden="1" customHeight="1">
      <c r="A205" s="1531"/>
      <c r="B205" s="2037"/>
      <c r="C205" s="2037"/>
      <c r="D205" s="2037"/>
      <c r="E205" s="2037"/>
      <c r="F205" s="2037"/>
      <c r="G205" s="2037"/>
      <c r="H205" s="2037"/>
      <c r="I205" s="2037"/>
      <c r="J205" s="2037"/>
      <c r="K205" s="2037"/>
      <c r="L205" s="2037"/>
    </row>
    <row r="206" spans="1:17" ht="12" hidden="1" customHeight="1">
      <c r="B206" s="2037"/>
      <c r="C206" s="2037"/>
      <c r="D206" s="2037"/>
      <c r="E206" s="2037"/>
      <c r="F206" s="2037"/>
      <c r="G206" s="2037"/>
      <c r="H206" s="2037"/>
      <c r="I206" s="2037"/>
      <c r="J206" s="2037"/>
      <c r="K206" s="2037"/>
      <c r="L206" s="2037"/>
    </row>
    <row r="207" spans="1:17">
      <c r="E207" s="2038"/>
      <c r="F207" s="2039"/>
      <c r="G207" s="2039"/>
      <c r="H207" s="2041"/>
      <c r="I207" s="2041"/>
      <c r="J207" s="2041"/>
      <c r="K207" s="2041"/>
      <c r="L207" s="1600"/>
    </row>
    <row r="208" spans="1:17">
      <c r="H208" s="1549"/>
      <c r="I208" s="1549"/>
      <c r="J208" s="1549"/>
      <c r="K208" s="1570"/>
      <c r="L208" s="1570"/>
    </row>
    <row r="209" spans="1:17">
      <c r="A209" s="1425"/>
      <c r="K209" s="1532"/>
      <c r="L209" s="1532"/>
    </row>
    <row r="210" spans="1:17">
      <c r="A210" s="1425"/>
      <c r="K210" s="1532"/>
      <c r="L210" s="1532"/>
    </row>
    <row r="211" spans="1:17">
      <c r="A211" s="1533"/>
      <c r="K211" s="1532"/>
      <c r="L211" s="1532"/>
    </row>
    <row r="212" spans="1:17">
      <c r="A212" s="1533"/>
      <c r="K212" s="1532"/>
      <c r="L212" s="1532"/>
    </row>
    <row r="213" spans="1:17" s="1011" customFormat="1" ht="15" customHeight="1">
      <c r="A213" s="1538"/>
      <c r="B213" s="1580"/>
      <c r="C213" s="1579"/>
      <c r="D213" s="1580"/>
      <c r="E213" s="1580"/>
      <c r="F213" s="1580"/>
      <c r="G213" s="2035"/>
      <c r="H213" s="2035"/>
      <c r="I213" s="2035"/>
      <c r="J213" s="2036"/>
      <c r="K213" s="2030"/>
      <c r="L213" s="2030"/>
    </row>
    <row r="214" spans="1:17" ht="12" customHeight="1">
      <c r="A214" s="1533"/>
      <c r="H214" s="2031"/>
      <c r="I214" s="2031"/>
      <c r="J214" s="2036"/>
      <c r="K214" s="2030"/>
      <c r="L214" s="2030"/>
    </row>
    <row r="215" spans="1:17" ht="4.5" customHeight="1">
      <c r="A215" s="1533"/>
      <c r="H215" s="2031"/>
      <c r="I215" s="2031"/>
      <c r="J215" s="2036"/>
      <c r="K215" s="2030"/>
      <c r="L215" s="2030"/>
    </row>
    <row r="216" spans="1:17">
      <c r="A216" s="1533"/>
      <c r="H216" s="2031"/>
      <c r="I216" s="2031"/>
      <c r="J216" s="2036"/>
      <c r="K216" s="2030"/>
      <c r="L216" s="2030"/>
    </row>
    <row r="217" spans="1:17" ht="11.85" customHeight="1">
      <c r="A217" s="1533"/>
      <c r="H217" s="2031"/>
      <c r="I217" s="2031"/>
      <c r="J217" s="2036"/>
      <c r="K217" s="2030"/>
      <c r="L217" s="2030"/>
    </row>
    <row r="218" spans="1:17" ht="11.85" customHeight="1">
      <c r="H218" s="2031"/>
      <c r="I218" s="2031"/>
      <c r="J218" s="2036"/>
      <c r="K218" s="2030"/>
      <c r="L218" s="2030"/>
      <c r="N218" s="1610"/>
    </row>
    <row r="219" spans="1:17" ht="11.85" customHeight="1">
      <c r="G219" s="2032"/>
      <c r="H219" s="2032"/>
      <c r="I219" s="2032"/>
      <c r="J219" s="2026"/>
      <c r="K219" s="2026"/>
      <c r="L219" s="2026"/>
      <c r="N219" s="1610"/>
    </row>
    <row r="220" spans="1:17" ht="11.85" customHeight="1">
      <c r="H220" s="1636"/>
      <c r="I220" s="1636"/>
      <c r="J220" s="1547"/>
      <c r="K220" s="1637"/>
      <c r="L220" s="1637"/>
      <c r="N220" s="1610"/>
    </row>
    <row r="221" spans="1:17" ht="11.85" customHeight="1">
      <c r="H221" s="1636"/>
      <c r="I221" s="1636"/>
      <c r="J221" s="1547"/>
      <c r="K221" s="1637"/>
      <c r="L221" s="1637"/>
      <c r="N221" s="1610"/>
    </row>
    <row r="222" spans="1:17" ht="11.85" customHeight="1">
      <c r="H222" s="1608"/>
      <c r="I222" s="1609"/>
      <c r="J222" s="1546"/>
      <c r="K222" s="1123"/>
      <c r="L222" s="1123"/>
      <c r="M222" s="1615"/>
      <c r="N222" s="1610"/>
      <c r="P222" s="1590"/>
      <c r="Q222" s="1590"/>
    </row>
    <row r="223" spans="1:17" ht="7.5" customHeight="1">
      <c r="H223" s="1608"/>
      <c r="I223" s="1609"/>
      <c r="J223" s="1546"/>
      <c r="K223" s="1123"/>
      <c r="L223" s="1123"/>
      <c r="N223" s="1610"/>
    </row>
    <row r="224" spans="1:17" ht="11.85" customHeight="1">
      <c r="H224" s="1608"/>
      <c r="I224" s="1609"/>
      <c r="J224" s="1546"/>
      <c r="K224" s="1123"/>
      <c r="L224" s="1123"/>
      <c r="N224" s="1610"/>
    </row>
    <row r="225" spans="2:17" ht="11.85" customHeight="1">
      <c r="H225" s="1608"/>
      <c r="I225" s="1609"/>
      <c r="J225" s="1546"/>
      <c r="K225" s="1123"/>
      <c r="L225" s="1123"/>
      <c r="N225" s="1610"/>
    </row>
    <row r="226" spans="2:17" ht="11.85" customHeight="1">
      <c r="H226" s="1608"/>
      <c r="I226" s="1609"/>
      <c r="J226" s="1546"/>
      <c r="K226" s="1123"/>
      <c r="L226" s="1123"/>
      <c r="N226" s="1610"/>
      <c r="P226" s="1590"/>
      <c r="Q226" s="1590"/>
    </row>
    <row r="227" spans="2:17" ht="7.5" customHeight="1">
      <c r="H227" s="1608"/>
      <c r="I227" s="1609"/>
      <c r="J227" s="1546"/>
      <c r="K227" s="1123"/>
      <c r="L227" s="1123"/>
    </row>
    <row r="228" spans="2:17" ht="11.85" customHeight="1">
      <c r="H228" s="1608"/>
      <c r="I228" s="1609"/>
      <c r="J228" s="1546"/>
      <c r="K228" s="1123"/>
      <c r="L228" s="1123"/>
      <c r="N228" s="1610"/>
      <c r="P228" s="1590"/>
      <c r="Q228" s="1590"/>
    </row>
    <row r="229" spans="2:17" ht="11.85" customHeight="1">
      <c r="H229" s="1608"/>
      <c r="I229" s="1609"/>
      <c r="J229" s="1546"/>
      <c r="K229" s="1123"/>
      <c r="L229" s="1123"/>
      <c r="N229" s="1610"/>
      <c r="P229" s="1590"/>
      <c r="Q229" s="1590"/>
    </row>
    <row r="230" spans="2:17" ht="11.85" customHeight="1">
      <c r="H230" s="1608"/>
      <c r="I230" s="1609"/>
      <c r="J230" s="1546"/>
      <c r="K230" s="1123"/>
      <c r="L230" s="1123"/>
      <c r="M230" s="1615"/>
      <c r="N230" s="1610"/>
      <c r="P230" s="1590"/>
      <c r="Q230" s="1590"/>
    </row>
    <row r="231" spans="2:17" ht="7.5" customHeight="1">
      <c r="H231" s="1608"/>
      <c r="I231" s="1609"/>
      <c r="J231" s="1546"/>
      <c r="K231" s="1123"/>
      <c r="L231" s="1123"/>
      <c r="M231" s="1615"/>
      <c r="N231" s="1610"/>
      <c r="P231" s="1590"/>
      <c r="Q231" s="1590"/>
    </row>
    <row r="232" spans="2:17" ht="11.85" customHeight="1">
      <c r="H232" s="1608"/>
      <c r="I232" s="1609"/>
      <c r="J232" s="1546"/>
      <c r="K232" s="1123"/>
      <c r="L232" s="1123"/>
      <c r="M232" s="1615"/>
      <c r="N232" s="1610"/>
      <c r="P232" s="1590"/>
      <c r="Q232" s="1590"/>
    </row>
    <row r="233" spans="2:17" ht="11.85" customHeight="1">
      <c r="H233" s="1608"/>
      <c r="I233" s="1609"/>
      <c r="J233" s="1546"/>
      <c r="K233" s="1123"/>
      <c r="L233" s="1123"/>
      <c r="M233" s="1615"/>
      <c r="N233" s="1610"/>
      <c r="P233" s="1590"/>
      <c r="Q233" s="1590"/>
    </row>
    <row r="234" spans="2:17" ht="11.85" customHeight="1">
      <c r="H234" s="1608"/>
      <c r="I234" s="1609"/>
      <c r="J234" s="1546"/>
      <c r="K234" s="1123"/>
      <c r="L234" s="1123"/>
      <c r="M234" s="1615"/>
      <c r="N234" s="1610"/>
      <c r="P234" s="1590"/>
      <c r="Q234" s="1590"/>
    </row>
    <row r="235" spans="2:17" ht="7.5" customHeight="1">
      <c r="H235" s="1608"/>
      <c r="I235" s="1609"/>
      <c r="J235" s="1546"/>
      <c r="K235" s="1123"/>
      <c r="L235" s="1123"/>
      <c r="M235" s="1615"/>
      <c r="N235" s="1610"/>
      <c r="P235" s="1590"/>
      <c r="Q235" s="1590"/>
    </row>
    <row r="236" spans="2:17" ht="11.85" customHeight="1">
      <c r="H236" s="1608"/>
      <c r="I236" s="1609"/>
      <c r="J236" s="1546"/>
      <c r="K236" s="1123"/>
      <c r="L236" s="1123"/>
      <c r="M236" s="1615"/>
      <c r="N236" s="1610"/>
      <c r="P236" s="1590"/>
      <c r="Q236" s="1590"/>
    </row>
    <row r="237" spans="2:17" ht="11.85" customHeight="1">
      <c r="H237" s="1608"/>
      <c r="I237" s="1609"/>
      <c r="J237" s="1546"/>
      <c r="K237" s="1123"/>
      <c r="L237" s="1123"/>
      <c r="M237" s="1615"/>
      <c r="N237" s="1610"/>
      <c r="P237" s="1590"/>
      <c r="Q237" s="1590"/>
    </row>
    <row r="238" spans="2:17" ht="11.85" customHeight="1">
      <c r="H238" s="1608"/>
      <c r="I238" s="1609"/>
      <c r="J238" s="1546"/>
      <c r="K238" s="1123"/>
      <c r="L238" s="1123"/>
      <c r="M238" s="1615"/>
      <c r="N238" s="1610"/>
      <c r="P238" s="1590"/>
      <c r="Q238" s="1590"/>
    </row>
    <row r="239" spans="2:17">
      <c r="H239" s="1547"/>
      <c r="I239" s="1547"/>
      <c r="J239" s="1547"/>
      <c r="K239" s="1452"/>
      <c r="L239" s="1452"/>
    </row>
    <row r="240" spans="2:17" s="1011" customFormat="1" ht="21" customHeight="1">
      <c r="B240" s="1580"/>
      <c r="C240" s="1579"/>
      <c r="D240" s="1580"/>
      <c r="E240" s="1580"/>
      <c r="F240" s="1580"/>
      <c r="G240" s="1579"/>
      <c r="H240" s="1550"/>
      <c r="I240" s="1550"/>
      <c r="J240" s="1550"/>
      <c r="K240" s="1618"/>
      <c r="L240" s="1619"/>
    </row>
    <row r="241" spans="1:17">
      <c r="H241" s="1614"/>
      <c r="I241" s="1616"/>
      <c r="J241" s="1616"/>
      <c r="K241" s="1617"/>
      <c r="L241" s="1617"/>
    </row>
    <row r="242" spans="1:17">
      <c r="H242" s="1614"/>
      <c r="I242" s="1614"/>
      <c r="J242" s="1616"/>
      <c r="K242" s="1617"/>
      <c r="L242" s="1638"/>
    </row>
    <row r="243" spans="1:17">
      <c r="H243" s="1614"/>
      <c r="I243" s="1614"/>
      <c r="J243" s="1616"/>
      <c r="K243" s="1617"/>
      <c r="L243" s="1638"/>
    </row>
    <row r="244" spans="1:17">
      <c r="A244" s="1541"/>
      <c r="H244" s="1614"/>
      <c r="I244" s="1614"/>
      <c r="J244" s="1616"/>
      <c r="K244" s="1617"/>
      <c r="L244" s="1638"/>
    </row>
    <row r="245" spans="1:17">
      <c r="H245" s="1614"/>
      <c r="I245" s="1614"/>
      <c r="J245" s="1616"/>
      <c r="K245" s="1617"/>
      <c r="L245" s="1638"/>
    </row>
    <row r="246" spans="1:17">
      <c r="H246" s="1547"/>
      <c r="I246" s="1547"/>
      <c r="J246" s="1547"/>
      <c r="K246" s="1452"/>
      <c r="L246" s="1452"/>
    </row>
    <row r="247" spans="1:17">
      <c r="A247" s="1531"/>
      <c r="H247" s="1546"/>
      <c r="I247" s="1546"/>
      <c r="J247" s="1546"/>
      <c r="K247" s="1532"/>
      <c r="L247" s="1532"/>
    </row>
    <row r="248" spans="1:17" ht="14.25" customHeight="1">
      <c r="A248" s="1539"/>
      <c r="H248" s="1546"/>
      <c r="I248" s="1546"/>
      <c r="J248" s="1546"/>
      <c r="K248" s="1532"/>
      <c r="L248" s="1532"/>
    </row>
    <row r="249" spans="1:17" s="1011" customFormat="1" ht="15" customHeight="1">
      <c r="A249" s="1540"/>
      <c r="B249" s="1580"/>
      <c r="C249" s="1579"/>
      <c r="D249" s="1580"/>
      <c r="E249" s="2042"/>
      <c r="F249" s="2042"/>
      <c r="G249" s="2042"/>
      <c r="H249" s="2043"/>
      <c r="I249" s="2043"/>
      <c r="J249" s="2044"/>
      <c r="K249" s="2044"/>
      <c r="L249" s="1598"/>
      <c r="M249" s="1598"/>
    </row>
    <row r="250" spans="1:17">
      <c r="A250" s="1539"/>
      <c r="H250" s="2039"/>
      <c r="I250" s="2039"/>
      <c r="J250" s="2039"/>
      <c r="K250" s="2039"/>
      <c r="L250" s="1539"/>
      <c r="M250" s="1539"/>
    </row>
    <row r="251" spans="1:17">
      <c r="A251" s="1539"/>
      <c r="H251" s="2039"/>
      <c r="I251" s="2039"/>
      <c r="J251" s="2039"/>
      <c r="K251" s="2039"/>
      <c r="L251" s="1539"/>
      <c r="M251" s="1539"/>
    </row>
    <row r="252" spans="1:17">
      <c r="A252" s="1539"/>
      <c r="H252" s="1639"/>
      <c r="I252" s="1639"/>
      <c r="J252" s="1639"/>
      <c r="K252" s="1640"/>
      <c r="L252" s="1539"/>
      <c r="M252" s="1539"/>
    </row>
    <row r="253" spans="1:17">
      <c r="A253" s="1539"/>
      <c r="E253" s="2038"/>
      <c r="F253" s="2039"/>
      <c r="G253" s="2039"/>
      <c r="H253" s="2040"/>
      <c r="I253" s="2040"/>
      <c r="J253" s="2041"/>
      <c r="K253" s="2041"/>
      <c r="L253" s="1600"/>
      <c r="M253" s="1539"/>
      <c r="P253" s="1602"/>
      <c r="Q253" s="1544"/>
    </row>
    <row r="254" spans="1:17">
      <c r="A254" s="1539"/>
      <c r="H254" s="2039"/>
      <c r="I254" s="2039"/>
      <c r="J254" s="2039"/>
      <c r="K254" s="2039"/>
      <c r="L254" s="1539"/>
      <c r="M254" s="1539"/>
    </row>
    <row r="255" spans="1:17">
      <c r="A255" s="1539"/>
      <c r="H255" s="2039"/>
      <c r="I255" s="2039"/>
      <c r="J255" s="2039"/>
      <c r="K255" s="2039"/>
      <c r="L255" s="1539"/>
      <c r="M255" s="1539"/>
      <c r="P255" s="1602"/>
      <c r="Q255" s="1544"/>
    </row>
    <row r="256" spans="1:17">
      <c r="A256" s="1539"/>
      <c r="H256" s="1639"/>
      <c r="I256" s="1639"/>
      <c r="J256" s="1639"/>
      <c r="K256" s="1640"/>
      <c r="L256" s="1539"/>
      <c r="M256" s="1539"/>
      <c r="P256" s="1602"/>
      <c r="Q256" s="1544"/>
    </row>
    <row r="257" spans="1:17">
      <c r="A257" s="1539"/>
      <c r="E257" s="2038"/>
      <c r="F257" s="2039"/>
      <c r="G257" s="2039"/>
      <c r="H257" s="2040"/>
      <c r="I257" s="2040"/>
      <c r="J257" s="2041"/>
      <c r="K257" s="2041"/>
      <c r="L257" s="1600"/>
      <c r="M257" s="1539"/>
      <c r="P257" s="1602"/>
      <c r="Q257" s="1544"/>
    </row>
    <row r="258" spans="1:17" ht="9" customHeight="1">
      <c r="A258" s="1539"/>
      <c r="H258" s="2039"/>
      <c r="I258" s="2039"/>
      <c r="J258" s="2039"/>
      <c r="K258" s="2039"/>
      <c r="L258" s="1539"/>
      <c r="M258" s="1539"/>
    </row>
    <row r="259" spans="1:17">
      <c r="A259" s="1539"/>
      <c r="H259" s="2039"/>
      <c r="I259" s="2039"/>
      <c r="J259" s="2039"/>
      <c r="K259" s="2039"/>
      <c r="L259" s="1539"/>
      <c r="M259" s="1539"/>
    </row>
    <row r="260" spans="1:17">
      <c r="A260" s="1539"/>
      <c r="H260" s="1639"/>
      <c r="I260" s="1639"/>
      <c r="J260" s="1639"/>
      <c r="K260" s="1640"/>
      <c r="L260" s="1539"/>
      <c r="M260" s="1539"/>
    </row>
    <row r="261" spans="1:17">
      <c r="A261" s="1539"/>
      <c r="E261" s="2038"/>
      <c r="F261" s="2039"/>
      <c r="G261" s="2039"/>
      <c r="H261" s="2040"/>
      <c r="I261" s="2040"/>
      <c r="J261" s="2041"/>
      <c r="K261" s="2041"/>
      <c r="L261" s="1600"/>
      <c r="M261" s="1600"/>
      <c r="P261" s="1602"/>
      <c r="Q261" s="1544"/>
    </row>
    <row r="262" spans="1:17" ht="9" customHeight="1">
      <c r="A262" s="1539"/>
      <c r="H262" s="1605"/>
      <c r="I262" s="1605"/>
      <c r="J262" s="1605"/>
      <c r="K262" s="1635"/>
      <c r="L262" s="1600"/>
      <c r="M262" s="1600"/>
      <c r="P262" s="1602"/>
      <c r="Q262" s="1544"/>
    </row>
    <row r="263" spans="1:17">
      <c r="A263" s="1539"/>
      <c r="H263" s="1605"/>
      <c r="I263" s="1605"/>
      <c r="J263" s="1605"/>
      <c r="K263" s="1635"/>
      <c r="L263" s="1600"/>
      <c r="M263" s="1600"/>
      <c r="P263" s="1602"/>
      <c r="Q263" s="1544"/>
    </row>
    <row r="264" spans="1:17">
      <c r="A264" s="1539"/>
      <c r="H264" s="1605"/>
      <c r="I264" s="1605"/>
      <c r="J264" s="1605"/>
      <c r="K264" s="1635"/>
      <c r="L264" s="1600"/>
      <c r="M264" s="1600"/>
      <c r="P264" s="1602"/>
      <c r="Q264" s="1544"/>
    </row>
    <row r="265" spans="1:17">
      <c r="A265" s="1539"/>
      <c r="E265" s="2038"/>
      <c r="F265" s="2039"/>
      <c r="G265" s="2039"/>
      <c r="H265" s="2040"/>
      <c r="I265" s="2040"/>
      <c r="J265" s="2041"/>
      <c r="K265" s="2041"/>
      <c r="L265" s="1600"/>
      <c r="M265" s="1600"/>
      <c r="P265" s="1602"/>
      <c r="Q265" s="1544"/>
    </row>
    <row r="266" spans="1:17">
      <c r="A266" s="1539"/>
      <c r="H266" s="1605"/>
      <c r="I266" s="1605"/>
      <c r="J266" s="1605"/>
      <c r="K266" s="1635"/>
      <c r="L266" s="1600"/>
      <c r="M266" s="1600"/>
      <c r="P266" s="1602"/>
      <c r="Q266" s="1544"/>
    </row>
    <row r="267" spans="1:17">
      <c r="A267" s="1539"/>
      <c r="H267" s="2039"/>
      <c r="I267" s="2039"/>
      <c r="J267" s="2039"/>
      <c r="K267" s="2039"/>
      <c r="L267" s="1539"/>
      <c r="M267" s="1539"/>
    </row>
    <row r="268" spans="1:17">
      <c r="A268" s="1539"/>
      <c r="H268" s="1639"/>
      <c r="I268" s="1639"/>
      <c r="J268" s="1639"/>
      <c r="K268" s="1640"/>
      <c r="L268" s="1539"/>
      <c r="M268" s="1539"/>
    </row>
    <row r="269" spans="1:17">
      <c r="A269" s="1539"/>
      <c r="E269" s="2038"/>
      <c r="F269" s="2039"/>
      <c r="G269" s="2039"/>
      <c r="H269" s="2040"/>
      <c r="I269" s="2040"/>
      <c r="J269" s="2041"/>
      <c r="K269" s="2041"/>
      <c r="L269" s="1600"/>
      <c r="M269" s="1539"/>
    </row>
    <row r="270" spans="1:17" ht="12" hidden="1" customHeight="1">
      <c r="A270" s="1531"/>
      <c r="B270" s="2037"/>
      <c r="C270" s="2037"/>
      <c r="D270" s="2037"/>
      <c r="E270" s="2037"/>
      <c r="F270" s="2037"/>
      <c r="G270" s="2037"/>
      <c r="H270" s="2037"/>
      <c r="I270" s="2037"/>
      <c r="J270" s="2037"/>
      <c r="K270" s="2037"/>
      <c r="L270" s="2037"/>
    </row>
    <row r="271" spans="1:17" ht="12" hidden="1" customHeight="1">
      <c r="A271" s="1531"/>
      <c r="B271" s="2037"/>
      <c r="C271" s="2037"/>
      <c r="D271" s="2037"/>
      <c r="E271" s="2037"/>
      <c r="F271" s="2037"/>
      <c r="G271" s="2037"/>
      <c r="H271" s="2037"/>
      <c r="I271" s="2037"/>
      <c r="J271" s="2037"/>
      <c r="K271" s="2037"/>
      <c r="L271" s="2037"/>
    </row>
    <row r="272" spans="1:17" ht="12" hidden="1" customHeight="1">
      <c r="B272" s="2037"/>
      <c r="C272" s="2037"/>
      <c r="D272" s="2037"/>
      <c r="E272" s="2037"/>
      <c r="F272" s="2037"/>
      <c r="G272" s="2037"/>
      <c r="H272" s="2037"/>
      <c r="I272" s="2037"/>
      <c r="J272" s="2037"/>
      <c r="K272" s="2037"/>
      <c r="L272" s="2037"/>
    </row>
    <row r="273" spans="1:13">
      <c r="H273" s="1549"/>
      <c r="I273" s="1549"/>
      <c r="J273" s="1549"/>
      <c r="K273" s="1570"/>
      <c r="L273" s="1570"/>
    </row>
    <row r="274" spans="1:13">
      <c r="H274" s="1549"/>
      <c r="I274" s="1549"/>
      <c r="J274" s="1549"/>
      <c r="K274" s="1570"/>
      <c r="L274" s="1570"/>
    </row>
    <row r="275" spans="1:13">
      <c r="H275" s="1549"/>
      <c r="I275" s="1549"/>
      <c r="J275" s="1549"/>
      <c r="K275" s="1570"/>
      <c r="L275" s="1570"/>
    </row>
    <row r="276" spans="1:13">
      <c r="A276" s="1537"/>
      <c r="H276" s="1548"/>
      <c r="I276" s="1548"/>
      <c r="J276" s="1548"/>
      <c r="K276" s="1453"/>
      <c r="L276" s="1453"/>
    </row>
    <row r="277" spans="1:13">
      <c r="H277" s="1548"/>
      <c r="I277" s="1548"/>
      <c r="J277" s="1548"/>
      <c r="K277" s="1453"/>
      <c r="L277" s="1453"/>
    </row>
    <row r="278" spans="1:13" ht="12" customHeight="1">
      <c r="H278" s="2031"/>
      <c r="I278" s="2030"/>
      <c r="J278" s="2030"/>
      <c r="K278" s="2030"/>
      <c r="L278" s="2030"/>
    </row>
    <row r="279" spans="1:13" ht="12" customHeight="1">
      <c r="H279" s="2031"/>
      <c r="I279" s="2030"/>
      <c r="J279" s="2030"/>
      <c r="K279" s="2030"/>
      <c r="L279" s="2030"/>
    </row>
    <row r="280" spans="1:13">
      <c r="G280" s="2032"/>
      <c r="H280" s="2032"/>
      <c r="I280" s="2033"/>
      <c r="J280" s="2033"/>
      <c r="K280" s="2033"/>
      <c r="L280" s="2033"/>
    </row>
    <row r="281" spans="1:13" s="31" customFormat="1" ht="12" customHeight="1">
      <c r="A281" s="1425"/>
      <c r="B281" s="1580"/>
      <c r="C281" s="1579"/>
      <c r="D281" s="1580"/>
      <c r="E281" s="1580"/>
      <c r="F281" s="1580"/>
      <c r="G281" s="1579"/>
      <c r="H281" s="1625"/>
      <c r="I281" s="1626"/>
      <c r="J281" s="1605"/>
      <c r="K281" s="1627"/>
      <c r="L281" s="1627"/>
    </row>
    <row r="282" spans="1:13" s="31" customFormat="1" ht="12" customHeight="1">
      <c r="A282" s="286"/>
      <c r="B282" s="1580"/>
      <c r="C282" s="1579"/>
      <c r="D282" s="1580"/>
      <c r="E282" s="1580"/>
      <c r="F282" s="1580"/>
      <c r="G282" s="1579"/>
      <c r="H282" s="1608"/>
      <c r="I282" s="2034"/>
      <c r="J282" s="2034"/>
      <c r="K282" s="2034"/>
      <c r="L282" s="2034"/>
    </row>
    <row r="283" spans="1:13" s="31" customFormat="1" ht="9" customHeight="1">
      <c r="A283" s="286"/>
      <c r="B283" s="1580"/>
      <c r="C283" s="1579"/>
      <c r="D283" s="1580"/>
      <c r="E283" s="1580"/>
      <c r="F283" s="1580"/>
      <c r="G283" s="1579"/>
      <c r="H283" s="1608"/>
      <c r="I283" s="1609"/>
      <c r="J283" s="1608"/>
      <c r="K283" s="1628"/>
      <c r="L283" s="1628"/>
    </row>
    <row r="284" spans="1:13" s="211" customFormat="1" ht="17.25" customHeight="1">
      <c r="A284" s="1641"/>
      <c r="B284" s="1580"/>
      <c r="C284" s="1579"/>
      <c r="D284" s="1580"/>
      <c r="E284" s="1580"/>
      <c r="F284" s="1580"/>
      <c r="G284" s="1579"/>
      <c r="H284" s="1550"/>
      <c r="I284" s="1550"/>
      <c r="J284" s="1547"/>
      <c r="K284" s="1598"/>
      <c r="L284" s="1619"/>
      <c r="M284" s="1642"/>
    </row>
    <row r="285" spans="1:13" s="211" customFormat="1" ht="9" customHeight="1">
      <c r="A285" s="1641"/>
      <c r="B285" s="1580"/>
      <c r="C285" s="1579"/>
      <c r="D285" s="1580"/>
      <c r="E285" s="1580"/>
      <c r="F285" s="1580"/>
      <c r="G285" s="1579"/>
      <c r="H285" s="1614"/>
      <c r="I285" s="1616"/>
      <c r="J285" s="1616"/>
      <c r="K285" s="1617"/>
      <c r="L285" s="1631"/>
      <c r="M285" s="1642"/>
    </row>
    <row r="286" spans="1:13">
      <c r="H286" s="1614"/>
      <c r="I286" s="1614"/>
      <c r="J286" s="1616"/>
      <c r="K286" s="1617"/>
      <c r="L286" s="1631"/>
    </row>
    <row r="287" spans="1:13" ht="20.25" customHeight="1">
      <c r="H287" s="1614"/>
      <c r="I287" s="1614"/>
      <c r="J287" s="1616"/>
      <c r="K287" s="1617"/>
      <c r="L287" s="1631"/>
    </row>
    <row r="288" spans="1:13">
      <c r="A288" s="1537"/>
      <c r="H288" s="1614"/>
      <c r="I288" s="1614"/>
      <c r="J288" s="1616"/>
      <c r="K288" s="1617"/>
      <c r="L288" s="1631"/>
    </row>
    <row r="289" spans="2:12">
      <c r="H289" s="1614"/>
      <c r="I289" s="1614"/>
      <c r="J289" s="1616"/>
      <c r="K289" s="1617"/>
      <c r="L289" s="1631"/>
    </row>
    <row r="290" spans="2:12" s="1011" customFormat="1" ht="15" customHeight="1">
      <c r="B290" s="1580"/>
      <c r="C290" s="1579"/>
      <c r="D290" s="1580"/>
      <c r="E290" s="1580"/>
      <c r="F290" s="1580"/>
      <c r="G290" s="2035"/>
      <c r="H290" s="2035"/>
      <c r="I290" s="2035"/>
      <c r="J290" s="2036"/>
      <c r="K290" s="2030"/>
      <c r="L290" s="2030"/>
    </row>
    <row r="291" spans="2:12" ht="12" customHeight="1">
      <c r="H291" s="2031"/>
      <c r="I291" s="2031"/>
      <c r="J291" s="2036"/>
      <c r="K291" s="2030"/>
      <c r="L291" s="2030"/>
    </row>
    <row r="292" spans="2:12">
      <c r="H292" s="2031"/>
      <c r="I292" s="2031"/>
      <c r="J292" s="2036"/>
      <c r="K292" s="2030"/>
      <c r="L292" s="2030"/>
    </row>
    <row r="293" spans="2:12">
      <c r="H293" s="2031"/>
      <c r="I293" s="2031"/>
      <c r="J293" s="2036"/>
      <c r="K293" s="2030"/>
      <c r="L293" s="2030"/>
    </row>
    <row r="294" spans="2:12">
      <c r="H294" s="2031"/>
      <c r="I294" s="2031"/>
      <c r="J294" s="2036"/>
      <c r="K294" s="2030"/>
      <c r="L294" s="2030"/>
    </row>
    <row r="295" spans="2:12" ht="12" customHeight="1">
      <c r="C295" s="2025"/>
      <c r="D295" s="2025"/>
      <c r="E295" s="2025"/>
      <c r="F295" s="2025"/>
      <c r="G295" s="2025"/>
      <c r="H295" s="2025"/>
      <c r="I295" s="2025"/>
      <c r="J295" s="2026"/>
      <c r="K295" s="2026"/>
      <c r="L295" s="2026"/>
    </row>
    <row r="296" spans="2:12">
      <c r="H296" s="1614"/>
      <c r="I296" s="1614"/>
      <c r="J296" s="1616"/>
      <c r="K296" s="1617"/>
      <c r="L296" s="1123"/>
    </row>
    <row r="297" spans="2:12">
      <c r="H297" s="1614"/>
      <c r="I297" s="1614"/>
      <c r="J297" s="1616"/>
      <c r="K297" s="1617"/>
      <c r="L297" s="1631"/>
    </row>
    <row r="298" spans="2:12">
      <c r="H298" s="1545"/>
      <c r="I298" s="1545"/>
      <c r="J298" s="1616"/>
      <c r="K298" s="1617"/>
      <c r="L298" s="1631"/>
    </row>
    <row r="299" spans="2:12">
      <c r="H299" s="1614"/>
      <c r="I299" s="1614"/>
      <c r="J299" s="1616"/>
      <c r="K299" s="1617"/>
      <c r="L299" s="1631"/>
    </row>
    <row r="300" spans="2:12">
      <c r="H300" s="1614"/>
      <c r="I300" s="1614"/>
      <c r="J300" s="1616"/>
      <c r="K300" s="1617"/>
      <c r="L300" s="1631"/>
    </row>
    <row r="301" spans="2:12">
      <c r="H301" s="1614"/>
      <c r="I301" s="1614"/>
      <c r="J301" s="1616"/>
      <c r="K301" s="1617"/>
      <c r="L301" s="1631"/>
    </row>
  </sheetData>
  <mergeCells count="124">
    <mergeCell ref="J153:K153"/>
    <mergeCell ref="H154:I154"/>
    <mergeCell ref="J154:K154"/>
    <mergeCell ref="L126:L131"/>
    <mergeCell ref="H127:H131"/>
    <mergeCell ref="I127:I131"/>
    <mergeCell ref="B107:L108"/>
    <mergeCell ref="B109:L112"/>
    <mergeCell ref="G126:I126"/>
    <mergeCell ref="J126:J131"/>
    <mergeCell ref="K126:K131"/>
    <mergeCell ref="B123:M124"/>
    <mergeCell ref="G173:I173"/>
    <mergeCell ref="J173:J178"/>
    <mergeCell ref="K173:K178"/>
    <mergeCell ref="L173:L178"/>
    <mergeCell ref="K3:K9"/>
    <mergeCell ref="L3:L9"/>
    <mergeCell ref="E158:G158"/>
    <mergeCell ref="H158:I158"/>
    <mergeCell ref="J158:K158"/>
    <mergeCell ref="E159:G159"/>
    <mergeCell ref="H159:I159"/>
    <mergeCell ref="J159:K159"/>
    <mergeCell ref="H155:I155"/>
    <mergeCell ref="J155:K155"/>
    <mergeCell ref="E156:G156"/>
    <mergeCell ref="H156:I156"/>
    <mergeCell ref="J156:K156"/>
    <mergeCell ref="E157:G157"/>
    <mergeCell ref="H157:I157"/>
    <mergeCell ref="J157:K157"/>
    <mergeCell ref="G132:I132"/>
    <mergeCell ref="J132:L132"/>
    <mergeCell ref="E153:G153"/>
    <mergeCell ref="H153:I153"/>
    <mergeCell ref="E200:G200"/>
    <mergeCell ref="H200:I200"/>
    <mergeCell ref="J200:K200"/>
    <mergeCell ref="E202:G202"/>
    <mergeCell ref="H202:I202"/>
    <mergeCell ref="J202:K202"/>
    <mergeCell ref="H174:H178"/>
    <mergeCell ref="I174:I178"/>
    <mergeCell ref="G179:I179"/>
    <mergeCell ref="J179:L179"/>
    <mergeCell ref="E198:G198"/>
    <mergeCell ref="H198:I198"/>
    <mergeCell ref="J198:K198"/>
    <mergeCell ref="I214:I218"/>
    <mergeCell ref="G219:I219"/>
    <mergeCell ref="J219:L219"/>
    <mergeCell ref="E249:G249"/>
    <mergeCell ref="H249:I249"/>
    <mergeCell ref="J249:K249"/>
    <mergeCell ref="H214:H218"/>
    <mergeCell ref="B204:L206"/>
    <mergeCell ref="E207:G207"/>
    <mergeCell ref="H207:I207"/>
    <mergeCell ref="J207:K207"/>
    <mergeCell ref="G213:I213"/>
    <mergeCell ref="J213:J218"/>
    <mergeCell ref="K213:K218"/>
    <mergeCell ref="L213:L218"/>
    <mergeCell ref="H254:I254"/>
    <mergeCell ref="J254:K254"/>
    <mergeCell ref="H255:I255"/>
    <mergeCell ref="J255:K255"/>
    <mergeCell ref="E257:G257"/>
    <mergeCell ref="H257:I257"/>
    <mergeCell ref="J257:K257"/>
    <mergeCell ref="H250:I250"/>
    <mergeCell ref="J250:K250"/>
    <mergeCell ref="H251:I251"/>
    <mergeCell ref="J251:K251"/>
    <mergeCell ref="E253:G253"/>
    <mergeCell ref="H253:I253"/>
    <mergeCell ref="J253:K253"/>
    <mergeCell ref="J265:K265"/>
    <mergeCell ref="H267:I267"/>
    <mergeCell ref="J267:K267"/>
    <mergeCell ref="E269:G269"/>
    <mergeCell ref="H269:I269"/>
    <mergeCell ref="J269:K269"/>
    <mergeCell ref="H258:I258"/>
    <mergeCell ref="J258:K258"/>
    <mergeCell ref="H259:I259"/>
    <mergeCell ref="J259:K259"/>
    <mergeCell ref="E261:G261"/>
    <mergeCell ref="H261:I261"/>
    <mergeCell ref="J261:K261"/>
    <mergeCell ref="C295:I295"/>
    <mergeCell ref="J295:L295"/>
    <mergeCell ref="C3:C9"/>
    <mergeCell ref="D3:D9"/>
    <mergeCell ref="E3:E9"/>
    <mergeCell ref="F3:F9"/>
    <mergeCell ref="G3:G9"/>
    <mergeCell ref="L290:L294"/>
    <mergeCell ref="H291:H294"/>
    <mergeCell ref="I291:I294"/>
    <mergeCell ref="G280:H280"/>
    <mergeCell ref="I280:L280"/>
    <mergeCell ref="I282:J282"/>
    <mergeCell ref="K282:L282"/>
    <mergeCell ref="G290:I290"/>
    <mergeCell ref="J290:J294"/>
    <mergeCell ref="K290:K294"/>
    <mergeCell ref="B270:L272"/>
    <mergeCell ref="H278:H279"/>
    <mergeCell ref="I278:J279"/>
    <mergeCell ref="K278:L279"/>
    <mergeCell ref="H4:H9"/>
    <mergeCell ref="E265:G265"/>
    <mergeCell ref="H265:I265"/>
    <mergeCell ref="I4:I9"/>
    <mergeCell ref="J4:J9"/>
    <mergeCell ref="M3:M9"/>
    <mergeCell ref="B3:B9"/>
    <mergeCell ref="B67:C67"/>
    <mergeCell ref="B71:C71"/>
    <mergeCell ref="B79:C79"/>
    <mergeCell ref="B90:C90"/>
    <mergeCell ref="H3:J3"/>
  </mergeCells>
  <pageMargins left="0.6" right="0.35" top="0.62" bottom="0.4" header="0.45" footer="0.5"/>
  <pageSetup scale="60" firstPageNumber="8" fitToHeight="0" orientation="portrait" useFirstPageNumber="1" r:id="rId1"/>
  <rowBreaks count="2" manualBreakCount="2">
    <brk id="149" max="12" man="1"/>
    <brk id="245" max="12"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Q275"/>
  <sheetViews>
    <sheetView showGridLines="0" view="pageBreakPreview" topLeftCell="A2" zoomScale="85" zoomScaleNormal="85" zoomScaleSheetLayoutView="85" workbookViewId="0">
      <selection activeCell="G2" sqref="G2"/>
    </sheetView>
  </sheetViews>
  <sheetFormatPr defaultColWidth="8.140625" defaultRowHeight="12"/>
  <cols>
    <col min="1" max="1" width="5.85546875" style="223" customWidth="1"/>
    <col min="2" max="2" width="34.85546875" style="1580" customWidth="1"/>
    <col min="3" max="3" width="13.42578125" style="1579" customWidth="1"/>
    <col min="4" max="4" width="9.85546875" style="1579" customWidth="1"/>
    <col min="5" max="5" width="11.85546875" style="1579" customWidth="1"/>
    <col min="6" max="6" width="11.42578125" style="1579" customWidth="1"/>
    <col min="7" max="7" width="10.5703125" style="1579" bestFit="1" customWidth="1"/>
    <col min="8" max="9" width="11.7109375" style="1579" bestFit="1" customWidth="1"/>
    <col min="10" max="10" width="11.42578125" style="1579" bestFit="1" customWidth="1"/>
    <col min="11" max="13" width="9.28515625" style="1579" bestFit="1" customWidth="1"/>
    <col min="14" max="14" width="9.5703125" style="223" bestFit="1" customWidth="1"/>
    <col min="15" max="15" width="8.5703125" style="223" bestFit="1" customWidth="1"/>
    <col min="16" max="16" width="13.42578125" style="223" bestFit="1" customWidth="1"/>
    <col min="17" max="17" width="10" style="223" bestFit="1" customWidth="1"/>
    <col min="18" max="194" width="8.140625" style="223"/>
    <col min="195" max="195" width="5.85546875" style="223" customWidth="1"/>
    <col min="196" max="196" width="40.140625" style="223" customWidth="1"/>
    <col min="197" max="197" width="1.5703125" style="223" customWidth="1"/>
    <col min="198" max="198" width="9.5703125" style="223" customWidth="1"/>
    <col min="199" max="199" width="11.85546875" style="223" customWidth="1"/>
    <col min="200" max="200" width="10.42578125" style="223" customWidth="1"/>
    <col min="201" max="201" width="10.28515625" style="223" customWidth="1"/>
    <col min="202" max="202" width="10.85546875" style="223" customWidth="1"/>
    <col min="203" max="203" width="9.140625" style="223" customWidth="1"/>
    <col min="204" max="204" width="8.7109375" style="223" customWidth="1"/>
    <col min="205" max="205" width="13.5703125" style="223" customWidth="1"/>
    <col min="206" max="206" width="12.28515625" style="223" customWidth="1"/>
    <col min="207" max="207" width="0.85546875" style="223" customWidth="1"/>
    <col min="208" max="208" width="14" style="223" customWidth="1"/>
    <col min="209" max="209" width="15.5703125" style="223" bestFit="1" customWidth="1"/>
    <col min="210" max="210" width="13.85546875" style="223" bestFit="1" customWidth="1"/>
    <col min="211" max="211" width="13.140625" style="223" bestFit="1" customWidth="1"/>
    <col min="212" max="212" width="9" style="223" customWidth="1"/>
    <col min="213" max="213" width="13.140625" style="223" bestFit="1" customWidth="1"/>
    <col min="214" max="214" width="8.140625" style="223"/>
    <col min="215" max="215" width="5.7109375" style="223" bestFit="1" customWidth="1"/>
    <col min="216" max="216" width="24.5703125" style="223" bestFit="1" customWidth="1"/>
    <col min="217" max="217" width="13.85546875" style="223" bestFit="1" customWidth="1"/>
    <col min="218" max="218" width="13.5703125" style="223" bestFit="1" customWidth="1"/>
    <col min="219" max="219" width="8.140625" style="223" customWidth="1"/>
    <col min="220" max="450" width="8.140625" style="223"/>
    <col min="451" max="451" width="5.85546875" style="223" customWidth="1"/>
    <col min="452" max="452" width="40.140625" style="223" customWidth="1"/>
    <col min="453" max="453" width="1.5703125" style="223" customWidth="1"/>
    <col min="454" max="454" width="9.5703125" style="223" customWidth="1"/>
    <col min="455" max="455" width="11.85546875" style="223" customWidth="1"/>
    <col min="456" max="456" width="10.42578125" style="223" customWidth="1"/>
    <col min="457" max="457" width="10.28515625" style="223" customWidth="1"/>
    <col min="458" max="458" width="10.85546875" style="223" customWidth="1"/>
    <col min="459" max="459" width="9.140625" style="223" customWidth="1"/>
    <col min="460" max="460" width="8.7109375" style="223" customWidth="1"/>
    <col min="461" max="461" width="13.5703125" style="223" customWidth="1"/>
    <col min="462" max="462" width="12.28515625" style="223" customWidth="1"/>
    <col min="463" max="463" width="0.85546875" style="223" customWidth="1"/>
    <col min="464" max="464" width="14" style="223" customWidth="1"/>
    <col min="465" max="465" width="15.5703125" style="223" bestFit="1" customWidth="1"/>
    <col min="466" max="466" width="13.85546875" style="223" bestFit="1" customWidth="1"/>
    <col min="467" max="467" width="13.140625" style="223" bestFit="1" customWidth="1"/>
    <col min="468" max="468" width="9" style="223" customWidth="1"/>
    <col min="469" max="469" width="13.140625" style="223" bestFit="1" customWidth="1"/>
    <col min="470" max="470" width="8.140625" style="223"/>
    <col min="471" max="471" width="5.7109375" style="223" bestFit="1" customWidth="1"/>
    <col min="472" max="472" width="24.5703125" style="223" bestFit="1" customWidth="1"/>
    <col min="473" max="473" width="13.85546875" style="223" bestFit="1" customWidth="1"/>
    <col min="474" max="474" width="13.5703125" style="223" bestFit="1" customWidth="1"/>
    <col min="475" max="475" width="8.140625" style="223" customWidth="1"/>
    <col min="476" max="706" width="8.140625" style="223"/>
    <col min="707" max="707" width="5.85546875" style="223" customWidth="1"/>
    <col min="708" max="708" width="40.140625" style="223" customWidth="1"/>
    <col min="709" max="709" width="1.5703125" style="223" customWidth="1"/>
    <col min="710" max="710" width="9.5703125" style="223" customWidth="1"/>
    <col min="711" max="711" width="11.85546875" style="223" customWidth="1"/>
    <col min="712" max="712" width="10.42578125" style="223" customWidth="1"/>
    <col min="713" max="713" width="10.28515625" style="223" customWidth="1"/>
    <col min="714" max="714" width="10.85546875" style="223" customWidth="1"/>
    <col min="715" max="715" width="9.140625" style="223" customWidth="1"/>
    <col min="716" max="716" width="8.7109375" style="223" customWidth="1"/>
    <col min="717" max="717" width="13.5703125" style="223" customWidth="1"/>
    <col min="718" max="718" width="12.28515625" style="223" customWidth="1"/>
    <col min="719" max="719" width="0.85546875" style="223" customWidth="1"/>
    <col min="720" max="720" width="14" style="223" customWidth="1"/>
    <col min="721" max="721" width="15.5703125" style="223" bestFit="1" customWidth="1"/>
    <col min="722" max="722" width="13.85546875" style="223" bestFit="1" customWidth="1"/>
    <col min="723" max="723" width="13.140625" style="223" bestFit="1" customWidth="1"/>
    <col min="724" max="724" width="9" style="223" customWidth="1"/>
    <col min="725" max="725" width="13.140625" style="223" bestFit="1" customWidth="1"/>
    <col min="726" max="726" width="8.140625" style="223"/>
    <col min="727" max="727" width="5.7109375" style="223" bestFit="1" customWidth="1"/>
    <col min="728" max="728" width="24.5703125" style="223" bestFit="1" customWidth="1"/>
    <col min="729" max="729" width="13.85546875" style="223" bestFit="1" customWidth="1"/>
    <col min="730" max="730" width="13.5703125" style="223" bestFit="1" customWidth="1"/>
    <col min="731" max="731" width="8.140625" style="223" customWidth="1"/>
    <col min="732" max="962" width="8.140625" style="223"/>
    <col min="963" max="963" width="5.85546875" style="223" customWidth="1"/>
    <col min="964" max="964" width="40.140625" style="223" customWidth="1"/>
    <col min="965" max="965" width="1.5703125" style="223" customWidth="1"/>
    <col min="966" max="966" width="9.5703125" style="223" customWidth="1"/>
    <col min="967" max="967" width="11.85546875" style="223" customWidth="1"/>
    <col min="968" max="968" width="10.42578125" style="223" customWidth="1"/>
    <col min="969" max="969" width="10.28515625" style="223" customWidth="1"/>
    <col min="970" max="970" width="10.85546875" style="223" customWidth="1"/>
    <col min="971" max="971" width="9.140625" style="223" customWidth="1"/>
    <col min="972" max="972" width="8.7109375" style="223" customWidth="1"/>
    <col min="973" max="973" width="13.5703125" style="223" customWidth="1"/>
    <col min="974" max="974" width="12.28515625" style="223" customWidth="1"/>
    <col min="975" max="975" width="0.85546875" style="223" customWidth="1"/>
    <col min="976" max="976" width="14" style="223" customWidth="1"/>
    <col min="977" max="977" width="15.5703125" style="223" bestFit="1" customWidth="1"/>
    <col min="978" max="978" width="13.85546875" style="223" bestFit="1" customWidth="1"/>
    <col min="979" max="979" width="13.140625" style="223" bestFit="1" customWidth="1"/>
    <col min="980" max="980" width="9" style="223" customWidth="1"/>
    <col min="981" max="981" width="13.140625" style="223" bestFit="1" customWidth="1"/>
    <col min="982" max="982" width="8.140625" style="223"/>
    <col min="983" max="983" width="5.7109375" style="223" bestFit="1" customWidth="1"/>
    <col min="984" max="984" width="24.5703125" style="223" bestFit="1" customWidth="1"/>
    <col min="985" max="985" width="13.85546875" style="223" bestFit="1" customWidth="1"/>
    <col min="986" max="986" width="13.5703125" style="223" bestFit="1" customWidth="1"/>
    <col min="987" max="987" width="8.140625" style="223" customWidth="1"/>
    <col min="988" max="1218" width="8.140625" style="223"/>
    <col min="1219" max="1219" width="5.85546875" style="223" customWidth="1"/>
    <col min="1220" max="1220" width="40.140625" style="223" customWidth="1"/>
    <col min="1221" max="1221" width="1.5703125" style="223" customWidth="1"/>
    <col min="1222" max="1222" width="9.5703125" style="223" customWidth="1"/>
    <col min="1223" max="1223" width="11.85546875" style="223" customWidth="1"/>
    <col min="1224" max="1224" width="10.42578125" style="223" customWidth="1"/>
    <col min="1225" max="1225" width="10.28515625" style="223" customWidth="1"/>
    <col min="1226" max="1226" width="10.85546875" style="223" customWidth="1"/>
    <col min="1227" max="1227" width="9.140625" style="223" customWidth="1"/>
    <col min="1228" max="1228" width="8.7109375" style="223" customWidth="1"/>
    <col min="1229" max="1229" width="13.5703125" style="223" customWidth="1"/>
    <col min="1230" max="1230" width="12.28515625" style="223" customWidth="1"/>
    <col min="1231" max="1231" width="0.85546875" style="223" customWidth="1"/>
    <col min="1232" max="1232" width="14" style="223" customWidth="1"/>
    <col min="1233" max="1233" width="15.5703125" style="223" bestFit="1" customWidth="1"/>
    <col min="1234" max="1234" width="13.85546875" style="223" bestFit="1" customWidth="1"/>
    <col min="1235" max="1235" width="13.140625" style="223" bestFit="1" customWidth="1"/>
    <col min="1236" max="1236" width="9" style="223" customWidth="1"/>
    <col min="1237" max="1237" width="13.140625" style="223" bestFit="1" customWidth="1"/>
    <col min="1238" max="1238" width="8.140625" style="223"/>
    <col min="1239" max="1239" width="5.7109375" style="223" bestFit="1" customWidth="1"/>
    <col min="1240" max="1240" width="24.5703125" style="223" bestFit="1" customWidth="1"/>
    <col min="1241" max="1241" width="13.85546875" style="223" bestFit="1" customWidth="1"/>
    <col min="1242" max="1242" width="13.5703125" style="223" bestFit="1" customWidth="1"/>
    <col min="1243" max="1243" width="8.140625" style="223" customWidth="1"/>
    <col min="1244" max="1474" width="8.140625" style="223"/>
    <col min="1475" max="1475" width="5.85546875" style="223" customWidth="1"/>
    <col min="1476" max="1476" width="40.140625" style="223" customWidth="1"/>
    <col min="1477" max="1477" width="1.5703125" style="223" customWidth="1"/>
    <col min="1478" max="1478" width="9.5703125" style="223" customWidth="1"/>
    <col min="1479" max="1479" width="11.85546875" style="223" customWidth="1"/>
    <col min="1480" max="1480" width="10.42578125" style="223" customWidth="1"/>
    <col min="1481" max="1481" width="10.28515625" style="223" customWidth="1"/>
    <col min="1482" max="1482" width="10.85546875" style="223" customWidth="1"/>
    <col min="1483" max="1483" width="9.140625" style="223" customWidth="1"/>
    <col min="1484" max="1484" width="8.7109375" style="223" customWidth="1"/>
    <col min="1485" max="1485" width="13.5703125" style="223" customWidth="1"/>
    <col min="1486" max="1486" width="12.28515625" style="223" customWidth="1"/>
    <col min="1487" max="1487" width="0.85546875" style="223" customWidth="1"/>
    <col min="1488" max="1488" width="14" style="223" customWidth="1"/>
    <col min="1489" max="1489" width="15.5703125" style="223" bestFit="1" customWidth="1"/>
    <col min="1490" max="1490" width="13.85546875" style="223" bestFit="1" customWidth="1"/>
    <col min="1491" max="1491" width="13.140625" style="223" bestFit="1" customWidth="1"/>
    <col min="1492" max="1492" width="9" style="223" customWidth="1"/>
    <col min="1493" max="1493" width="13.140625" style="223" bestFit="1" customWidth="1"/>
    <col min="1494" max="1494" width="8.140625" style="223"/>
    <col min="1495" max="1495" width="5.7109375" style="223" bestFit="1" customWidth="1"/>
    <col min="1496" max="1496" width="24.5703125" style="223" bestFit="1" customWidth="1"/>
    <col min="1497" max="1497" width="13.85546875" style="223" bestFit="1" customWidth="1"/>
    <col min="1498" max="1498" width="13.5703125" style="223" bestFit="1" customWidth="1"/>
    <col min="1499" max="1499" width="8.140625" style="223" customWidth="1"/>
    <col min="1500" max="1730" width="8.140625" style="223"/>
    <col min="1731" max="1731" width="5.85546875" style="223" customWidth="1"/>
    <col min="1732" max="1732" width="40.140625" style="223" customWidth="1"/>
    <col min="1733" max="1733" width="1.5703125" style="223" customWidth="1"/>
    <col min="1734" max="1734" width="9.5703125" style="223" customWidth="1"/>
    <col min="1735" max="1735" width="11.85546875" style="223" customWidth="1"/>
    <col min="1736" max="1736" width="10.42578125" style="223" customWidth="1"/>
    <col min="1737" max="1737" width="10.28515625" style="223" customWidth="1"/>
    <col min="1738" max="1738" width="10.85546875" style="223" customWidth="1"/>
    <col min="1739" max="1739" width="9.140625" style="223" customWidth="1"/>
    <col min="1740" max="1740" width="8.7109375" style="223" customWidth="1"/>
    <col min="1741" max="1741" width="13.5703125" style="223" customWidth="1"/>
    <col min="1742" max="1742" width="12.28515625" style="223" customWidth="1"/>
    <col min="1743" max="1743" width="0.85546875" style="223" customWidth="1"/>
    <col min="1744" max="1744" width="14" style="223" customWidth="1"/>
    <col min="1745" max="1745" width="15.5703125" style="223" bestFit="1" customWidth="1"/>
    <col min="1746" max="1746" width="13.85546875" style="223" bestFit="1" customWidth="1"/>
    <col min="1747" max="1747" width="13.140625" style="223" bestFit="1" customWidth="1"/>
    <col min="1748" max="1748" width="9" style="223" customWidth="1"/>
    <col min="1749" max="1749" width="13.140625" style="223" bestFit="1" customWidth="1"/>
    <col min="1750" max="1750" width="8.140625" style="223"/>
    <col min="1751" max="1751" width="5.7109375" style="223" bestFit="1" customWidth="1"/>
    <col min="1752" max="1752" width="24.5703125" style="223" bestFit="1" customWidth="1"/>
    <col min="1753" max="1753" width="13.85546875" style="223" bestFit="1" customWidth="1"/>
    <col min="1754" max="1754" width="13.5703125" style="223" bestFit="1" customWidth="1"/>
    <col min="1755" max="1755" width="8.140625" style="223" customWidth="1"/>
    <col min="1756" max="1986" width="8.140625" style="223"/>
    <col min="1987" max="1987" width="5.85546875" style="223" customWidth="1"/>
    <col min="1988" max="1988" width="40.140625" style="223" customWidth="1"/>
    <col min="1989" max="1989" width="1.5703125" style="223" customWidth="1"/>
    <col min="1990" max="1990" width="9.5703125" style="223" customWidth="1"/>
    <col min="1991" max="1991" width="11.85546875" style="223" customWidth="1"/>
    <col min="1992" max="1992" width="10.42578125" style="223" customWidth="1"/>
    <col min="1993" max="1993" width="10.28515625" style="223" customWidth="1"/>
    <col min="1994" max="1994" width="10.85546875" style="223" customWidth="1"/>
    <col min="1995" max="1995" width="9.140625" style="223" customWidth="1"/>
    <col min="1996" max="1996" width="8.7109375" style="223" customWidth="1"/>
    <col min="1997" max="1997" width="13.5703125" style="223" customWidth="1"/>
    <col min="1998" max="1998" width="12.28515625" style="223" customWidth="1"/>
    <col min="1999" max="1999" width="0.85546875" style="223" customWidth="1"/>
    <col min="2000" max="2000" width="14" style="223" customWidth="1"/>
    <col min="2001" max="2001" width="15.5703125" style="223" bestFit="1" customWidth="1"/>
    <col min="2002" max="2002" width="13.85546875" style="223" bestFit="1" customWidth="1"/>
    <col min="2003" max="2003" width="13.140625" style="223" bestFit="1" customWidth="1"/>
    <col min="2004" max="2004" width="9" style="223" customWidth="1"/>
    <col min="2005" max="2005" width="13.140625" style="223" bestFit="1" customWidth="1"/>
    <col min="2006" max="2006" width="8.140625" style="223"/>
    <col min="2007" max="2007" width="5.7109375" style="223" bestFit="1" customWidth="1"/>
    <col min="2008" max="2008" width="24.5703125" style="223" bestFit="1" customWidth="1"/>
    <col min="2009" max="2009" width="13.85546875" style="223" bestFit="1" customWidth="1"/>
    <col min="2010" max="2010" width="13.5703125" style="223" bestFit="1" customWidth="1"/>
    <col min="2011" max="2011" width="8.140625" style="223" customWidth="1"/>
    <col min="2012" max="2242" width="8.140625" style="223"/>
    <col min="2243" max="2243" width="5.85546875" style="223" customWidth="1"/>
    <col min="2244" max="2244" width="40.140625" style="223" customWidth="1"/>
    <col min="2245" max="2245" width="1.5703125" style="223" customWidth="1"/>
    <col min="2246" max="2246" width="9.5703125" style="223" customWidth="1"/>
    <col min="2247" max="2247" width="11.85546875" style="223" customWidth="1"/>
    <col min="2248" max="2248" width="10.42578125" style="223" customWidth="1"/>
    <col min="2249" max="2249" width="10.28515625" style="223" customWidth="1"/>
    <col min="2250" max="2250" width="10.85546875" style="223" customWidth="1"/>
    <col min="2251" max="2251" width="9.140625" style="223" customWidth="1"/>
    <col min="2252" max="2252" width="8.7109375" style="223" customWidth="1"/>
    <col min="2253" max="2253" width="13.5703125" style="223" customWidth="1"/>
    <col min="2254" max="2254" width="12.28515625" style="223" customWidth="1"/>
    <col min="2255" max="2255" width="0.85546875" style="223" customWidth="1"/>
    <col min="2256" max="2256" width="14" style="223" customWidth="1"/>
    <col min="2257" max="2257" width="15.5703125" style="223" bestFit="1" customWidth="1"/>
    <col min="2258" max="2258" width="13.85546875" style="223" bestFit="1" customWidth="1"/>
    <col min="2259" max="2259" width="13.140625" style="223" bestFit="1" customWidth="1"/>
    <col min="2260" max="2260" width="9" style="223" customWidth="1"/>
    <col min="2261" max="2261" width="13.140625" style="223" bestFit="1" customWidth="1"/>
    <col min="2262" max="2262" width="8.140625" style="223"/>
    <col min="2263" max="2263" width="5.7109375" style="223" bestFit="1" customWidth="1"/>
    <col min="2264" max="2264" width="24.5703125" style="223" bestFit="1" customWidth="1"/>
    <col min="2265" max="2265" width="13.85546875" style="223" bestFit="1" customWidth="1"/>
    <col min="2266" max="2266" width="13.5703125" style="223" bestFit="1" customWidth="1"/>
    <col min="2267" max="2267" width="8.140625" style="223" customWidth="1"/>
    <col min="2268" max="2498" width="8.140625" style="223"/>
    <col min="2499" max="2499" width="5.85546875" style="223" customWidth="1"/>
    <col min="2500" max="2500" width="40.140625" style="223" customWidth="1"/>
    <col min="2501" max="2501" width="1.5703125" style="223" customWidth="1"/>
    <col min="2502" max="2502" width="9.5703125" style="223" customWidth="1"/>
    <col min="2503" max="2503" width="11.85546875" style="223" customWidth="1"/>
    <col min="2504" max="2504" width="10.42578125" style="223" customWidth="1"/>
    <col min="2505" max="2505" width="10.28515625" style="223" customWidth="1"/>
    <col min="2506" max="2506" width="10.85546875" style="223" customWidth="1"/>
    <col min="2507" max="2507" width="9.140625" style="223" customWidth="1"/>
    <col min="2508" max="2508" width="8.7109375" style="223" customWidth="1"/>
    <col min="2509" max="2509" width="13.5703125" style="223" customWidth="1"/>
    <col min="2510" max="2510" width="12.28515625" style="223" customWidth="1"/>
    <col min="2511" max="2511" width="0.85546875" style="223" customWidth="1"/>
    <col min="2512" max="2512" width="14" style="223" customWidth="1"/>
    <col min="2513" max="2513" width="15.5703125" style="223" bestFit="1" customWidth="1"/>
    <col min="2514" max="2514" width="13.85546875" style="223" bestFit="1" customWidth="1"/>
    <col min="2515" max="2515" width="13.140625" style="223" bestFit="1" customWidth="1"/>
    <col min="2516" max="2516" width="9" style="223" customWidth="1"/>
    <col min="2517" max="2517" width="13.140625" style="223" bestFit="1" customWidth="1"/>
    <col min="2518" max="2518" width="8.140625" style="223"/>
    <col min="2519" max="2519" width="5.7109375" style="223" bestFit="1" customWidth="1"/>
    <col min="2520" max="2520" width="24.5703125" style="223" bestFit="1" customWidth="1"/>
    <col min="2521" max="2521" width="13.85546875" style="223" bestFit="1" customWidth="1"/>
    <col min="2522" max="2522" width="13.5703125" style="223" bestFit="1" customWidth="1"/>
    <col min="2523" max="2523" width="8.140625" style="223" customWidth="1"/>
    <col min="2524" max="2754" width="8.140625" style="223"/>
    <col min="2755" max="2755" width="5.85546875" style="223" customWidth="1"/>
    <col min="2756" max="2756" width="40.140625" style="223" customWidth="1"/>
    <col min="2757" max="2757" width="1.5703125" style="223" customWidth="1"/>
    <col min="2758" max="2758" width="9.5703125" style="223" customWidth="1"/>
    <col min="2759" max="2759" width="11.85546875" style="223" customWidth="1"/>
    <col min="2760" max="2760" width="10.42578125" style="223" customWidth="1"/>
    <col min="2761" max="2761" width="10.28515625" style="223" customWidth="1"/>
    <col min="2762" max="2762" width="10.85546875" style="223" customWidth="1"/>
    <col min="2763" max="2763" width="9.140625" style="223" customWidth="1"/>
    <col min="2764" max="2764" width="8.7109375" style="223" customWidth="1"/>
    <col min="2765" max="2765" width="13.5703125" style="223" customWidth="1"/>
    <col min="2766" max="2766" width="12.28515625" style="223" customWidth="1"/>
    <col min="2767" max="2767" width="0.85546875" style="223" customWidth="1"/>
    <col min="2768" max="2768" width="14" style="223" customWidth="1"/>
    <col min="2769" max="2769" width="15.5703125" style="223" bestFit="1" customWidth="1"/>
    <col min="2770" max="2770" width="13.85546875" style="223" bestFit="1" customWidth="1"/>
    <col min="2771" max="2771" width="13.140625" style="223" bestFit="1" customWidth="1"/>
    <col min="2772" max="2772" width="9" style="223" customWidth="1"/>
    <col min="2773" max="2773" width="13.140625" style="223" bestFit="1" customWidth="1"/>
    <col min="2774" max="2774" width="8.140625" style="223"/>
    <col min="2775" max="2775" width="5.7109375" style="223" bestFit="1" customWidth="1"/>
    <col min="2776" max="2776" width="24.5703125" style="223" bestFit="1" customWidth="1"/>
    <col min="2777" max="2777" width="13.85546875" style="223" bestFit="1" customWidth="1"/>
    <col min="2778" max="2778" width="13.5703125" style="223" bestFit="1" customWidth="1"/>
    <col min="2779" max="2779" width="8.140625" style="223" customWidth="1"/>
    <col min="2780" max="3010" width="8.140625" style="223"/>
    <col min="3011" max="3011" width="5.85546875" style="223" customWidth="1"/>
    <col min="3012" max="3012" width="40.140625" style="223" customWidth="1"/>
    <col min="3013" max="3013" width="1.5703125" style="223" customWidth="1"/>
    <col min="3014" max="3014" width="9.5703125" style="223" customWidth="1"/>
    <col min="3015" max="3015" width="11.85546875" style="223" customWidth="1"/>
    <col min="3016" max="3016" width="10.42578125" style="223" customWidth="1"/>
    <col min="3017" max="3017" width="10.28515625" style="223" customWidth="1"/>
    <col min="3018" max="3018" width="10.85546875" style="223" customWidth="1"/>
    <col min="3019" max="3019" width="9.140625" style="223" customWidth="1"/>
    <col min="3020" max="3020" width="8.7109375" style="223" customWidth="1"/>
    <col min="3021" max="3021" width="13.5703125" style="223" customWidth="1"/>
    <col min="3022" max="3022" width="12.28515625" style="223" customWidth="1"/>
    <col min="3023" max="3023" width="0.85546875" style="223" customWidth="1"/>
    <col min="3024" max="3024" width="14" style="223" customWidth="1"/>
    <col min="3025" max="3025" width="15.5703125" style="223" bestFit="1" customWidth="1"/>
    <col min="3026" max="3026" width="13.85546875" style="223" bestFit="1" customWidth="1"/>
    <col min="3027" max="3027" width="13.140625" style="223" bestFit="1" customWidth="1"/>
    <col min="3028" max="3028" width="9" style="223" customWidth="1"/>
    <col min="3029" max="3029" width="13.140625" style="223" bestFit="1" customWidth="1"/>
    <col min="3030" max="3030" width="8.140625" style="223"/>
    <col min="3031" max="3031" width="5.7109375" style="223" bestFit="1" customWidth="1"/>
    <col min="3032" max="3032" width="24.5703125" style="223" bestFit="1" customWidth="1"/>
    <col min="3033" max="3033" width="13.85546875" style="223" bestFit="1" customWidth="1"/>
    <col min="3034" max="3034" width="13.5703125" style="223" bestFit="1" customWidth="1"/>
    <col min="3035" max="3035" width="8.140625" style="223" customWidth="1"/>
    <col min="3036" max="3266" width="8.140625" style="223"/>
    <col min="3267" max="3267" width="5.85546875" style="223" customWidth="1"/>
    <col min="3268" max="3268" width="40.140625" style="223" customWidth="1"/>
    <col min="3269" max="3269" width="1.5703125" style="223" customWidth="1"/>
    <col min="3270" max="3270" width="9.5703125" style="223" customWidth="1"/>
    <col min="3271" max="3271" width="11.85546875" style="223" customWidth="1"/>
    <col min="3272" max="3272" width="10.42578125" style="223" customWidth="1"/>
    <col min="3273" max="3273" width="10.28515625" style="223" customWidth="1"/>
    <col min="3274" max="3274" width="10.85546875" style="223" customWidth="1"/>
    <col min="3275" max="3275" width="9.140625" style="223" customWidth="1"/>
    <col min="3276" max="3276" width="8.7109375" style="223" customWidth="1"/>
    <col min="3277" max="3277" width="13.5703125" style="223" customWidth="1"/>
    <col min="3278" max="3278" width="12.28515625" style="223" customWidth="1"/>
    <col min="3279" max="3279" width="0.85546875" style="223" customWidth="1"/>
    <col min="3280" max="3280" width="14" style="223" customWidth="1"/>
    <col min="3281" max="3281" width="15.5703125" style="223" bestFit="1" customWidth="1"/>
    <col min="3282" max="3282" width="13.85546875" style="223" bestFit="1" customWidth="1"/>
    <col min="3283" max="3283" width="13.140625" style="223" bestFit="1" customWidth="1"/>
    <col min="3284" max="3284" width="9" style="223" customWidth="1"/>
    <col min="3285" max="3285" width="13.140625" style="223" bestFit="1" customWidth="1"/>
    <col min="3286" max="3286" width="8.140625" style="223"/>
    <col min="3287" max="3287" width="5.7109375" style="223" bestFit="1" customWidth="1"/>
    <col min="3288" max="3288" width="24.5703125" style="223" bestFit="1" customWidth="1"/>
    <col min="3289" max="3289" width="13.85546875" style="223" bestFit="1" customWidth="1"/>
    <col min="3290" max="3290" width="13.5703125" style="223" bestFit="1" customWidth="1"/>
    <col min="3291" max="3291" width="8.140625" style="223" customWidth="1"/>
    <col min="3292" max="3522" width="8.140625" style="223"/>
    <col min="3523" max="3523" width="5.85546875" style="223" customWidth="1"/>
    <col min="3524" max="3524" width="40.140625" style="223" customWidth="1"/>
    <col min="3525" max="3525" width="1.5703125" style="223" customWidth="1"/>
    <col min="3526" max="3526" width="9.5703125" style="223" customWidth="1"/>
    <col min="3527" max="3527" width="11.85546875" style="223" customWidth="1"/>
    <col min="3528" max="3528" width="10.42578125" style="223" customWidth="1"/>
    <col min="3529" max="3529" width="10.28515625" style="223" customWidth="1"/>
    <col min="3530" max="3530" width="10.85546875" style="223" customWidth="1"/>
    <col min="3531" max="3531" width="9.140625" style="223" customWidth="1"/>
    <col min="3532" max="3532" width="8.7109375" style="223" customWidth="1"/>
    <col min="3533" max="3533" width="13.5703125" style="223" customWidth="1"/>
    <col min="3534" max="3534" width="12.28515625" style="223" customWidth="1"/>
    <col min="3535" max="3535" width="0.85546875" style="223" customWidth="1"/>
    <col min="3536" max="3536" width="14" style="223" customWidth="1"/>
    <col min="3537" max="3537" width="15.5703125" style="223" bestFit="1" customWidth="1"/>
    <col min="3538" max="3538" width="13.85546875" style="223" bestFit="1" customWidth="1"/>
    <col min="3539" max="3539" width="13.140625" style="223" bestFit="1" customWidth="1"/>
    <col min="3540" max="3540" width="9" style="223" customWidth="1"/>
    <col min="3541" max="3541" width="13.140625" style="223" bestFit="1" customWidth="1"/>
    <col min="3542" max="3542" width="8.140625" style="223"/>
    <col min="3543" max="3543" width="5.7109375" style="223" bestFit="1" customWidth="1"/>
    <col min="3544" max="3544" width="24.5703125" style="223" bestFit="1" customWidth="1"/>
    <col min="3545" max="3545" width="13.85546875" style="223" bestFit="1" customWidth="1"/>
    <col min="3546" max="3546" width="13.5703125" style="223" bestFit="1" customWidth="1"/>
    <col min="3547" max="3547" width="8.140625" style="223" customWidth="1"/>
    <col min="3548" max="3778" width="8.140625" style="223"/>
    <col min="3779" max="3779" width="5.85546875" style="223" customWidth="1"/>
    <col min="3780" max="3780" width="40.140625" style="223" customWidth="1"/>
    <col min="3781" max="3781" width="1.5703125" style="223" customWidth="1"/>
    <col min="3782" max="3782" width="9.5703125" style="223" customWidth="1"/>
    <col min="3783" max="3783" width="11.85546875" style="223" customWidth="1"/>
    <col min="3784" max="3784" width="10.42578125" style="223" customWidth="1"/>
    <col min="3785" max="3785" width="10.28515625" style="223" customWidth="1"/>
    <col min="3786" max="3786" width="10.85546875" style="223" customWidth="1"/>
    <col min="3787" max="3787" width="9.140625" style="223" customWidth="1"/>
    <col min="3788" max="3788" width="8.7109375" style="223" customWidth="1"/>
    <col min="3789" max="3789" width="13.5703125" style="223" customWidth="1"/>
    <col min="3790" max="3790" width="12.28515625" style="223" customWidth="1"/>
    <col min="3791" max="3791" width="0.85546875" style="223" customWidth="1"/>
    <col min="3792" max="3792" width="14" style="223" customWidth="1"/>
    <col min="3793" max="3793" width="15.5703125" style="223" bestFit="1" customWidth="1"/>
    <col min="3794" max="3794" width="13.85546875" style="223" bestFit="1" customWidth="1"/>
    <col min="3795" max="3795" width="13.140625" style="223" bestFit="1" customWidth="1"/>
    <col min="3796" max="3796" width="9" style="223" customWidth="1"/>
    <col min="3797" max="3797" width="13.140625" style="223" bestFit="1" customWidth="1"/>
    <col min="3798" max="3798" width="8.140625" style="223"/>
    <col min="3799" max="3799" width="5.7109375" style="223" bestFit="1" customWidth="1"/>
    <col min="3800" max="3800" width="24.5703125" style="223" bestFit="1" customWidth="1"/>
    <col min="3801" max="3801" width="13.85546875" style="223" bestFit="1" customWidth="1"/>
    <col min="3802" max="3802" width="13.5703125" style="223" bestFit="1" customWidth="1"/>
    <col min="3803" max="3803" width="8.140625" style="223" customWidth="1"/>
    <col min="3804" max="4034" width="8.140625" style="223"/>
    <col min="4035" max="4035" width="5.85546875" style="223" customWidth="1"/>
    <col min="4036" max="4036" width="40.140625" style="223" customWidth="1"/>
    <col min="4037" max="4037" width="1.5703125" style="223" customWidth="1"/>
    <col min="4038" max="4038" width="9.5703125" style="223" customWidth="1"/>
    <col min="4039" max="4039" width="11.85546875" style="223" customWidth="1"/>
    <col min="4040" max="4040" width="10.42578125" style="223" customWidth="1"/>
    <col min="4041" max="4041" width="10.28515625" style="223" customWidth="1"/>
    <col min="4042" max="4042" width="10.85546875" style="223" customWidth="1"/>
    <col min="4043" max="4043" width="9.140625" style="223" customWidth="1"/>
    <col min="4044" max="4044" width="8.7109375" style="223" customWidth="1"/>
    <col min="4045" max="4045" width="13.5703125" style="223" customWidth="1"/>
    <col min="4046" max="4046" width="12.28515625" style="223" customWidth="1"/>
    <col min="4047" max="4047" width="0.85546875" style="223" customWidth="1"/>
    <col min="4048" max="4048" width="14" style="223" customWidth="1"/>
    <col min="4049" max="4049" width="15.5703125" style="223" bestFit="1" customWidth="1"/>
    <col min="4050" max="4050" width="13.85546875" style="223" bestFit="1" customWidth="1"/>
    <col min="4051" max="4051" width="13.140625" style="223" bestFit="1" customWidth="1"/>
    <col min="4052" max="4052" width="9" style="223" customWidth="1"/>
    <col min="4053" max="4053" width="13.140625" style="223" bestFit="1" customWidth="1"/>
    <col min="4054" max="4054" width="8.140625" style="223"/>
    <col min="4055" max="4055" width="5.7109375" style="223" bestFit="1" customWidth="1"/>
    <col min="4056" max="4056" width="24.5703125" style="223" bestFit="1" customWidth="1"/>
    <col min="4057" max="4057" width="13.85546875" style="223" bestFit="1" customWidth="1"/>
    <col min="4058" max="4058" width="13.5703125" style="223" bestFit="1" customWidth="1"/>
    <col min="4059" max="4059" width="8.140625" style="223" customWidth="1"/>
    <col min="4060" max="4290" width="8.140625" style="223"/>
    <col min="4291" max="4291" width="5.85546875" style="223" customWidth="1"/>
    <col min="4292" max="4292" width="40.140625" style="223" customWidth="1"/>
    <col min="4293" max="4293" width="1.5703125" style="223" customWidth="1"/>
    <col min="4294" max="4294" width="9.5703125" style="223" customWidth="1"/>
    <col min="4295" max="4295" width="11.85546875" style="223" customWidth="1"/>
    <col min="4296" max="4296" width="10.42578125" style="223" customWidth="1"/>
    <col min="4297" max="4297" width="10.28515625" style="223" customWidth="1"/>
    <col min="4298" max="4298" width="10.85546875" style="223" customWidth="1"/>
    <col min="4299" max="4299" width="9.140625" style="223" customWidth="1"/>
    <col min="4300" max="4300" width="8.7109375" style="223" customWidth="1"/>
    <col min="4301" max="4301" width="13.5703125" style="223" customWidth="1"/>
    <col min="4302" max="4302" width="12.28515625" style="223" customWidth="1"/>
    <col min="4303" max="4303" width="0.85546875" style="223" customWidth="1"/>
    <col min="4304" max="4304" width="14" style="223" customWidth="1"/>
    <col min="4305" max="4305" width="15.5703125" style="223" bestFit="1" customWidth="1"/>
    <col min="4306" max="4306" width="13.85546875" style="223" bestFit="1" customWidth="1"/>
    <col min="4307" max="4307" width="13.140625" style="223" bestFit="1" customWidth="1"/>
    <col min="4308" max="4308" width="9" style="223" customWidth="1"/>
    <col min="4309" max="4309" width="13.140625" style="223" bestFit="1" customWidth="1"/>
    <col min="4310" max="4310" width="8.140625" style="223"/>
    <col min="4311" max="4311" width="5.7109375" style="223" bestFit="1" customWidth="1"/>
    <col min="4312" max="4312" width="24.5703125" style="223" bestFit="1" customWidth="1"/>
    <col min="4313" max="4313" width="13.85546875" style="223" bestFit="1" customWidth="1"/>
    <col min="4314" max="4314" width="13.5703125" style="223" bestFit="1" customWidth="1"/>
    <col min="4315" max="4315" width="8.140625" style="223" customWidth="1"/>
    <col min="4316" max="4546" width="8.140625" style="223"/>
    <col min="4547" max="4547" width="5.85546875" style="223" customWidth="1"/>
    <col min="4548" max="4548" width="40.140625" style="223" customWidth="1"/>
    <col min="4549" max="4549" width="1.5703125" style="223" customWidth="1"/>
    <col min="4550" max="4550" width="9.5703125" style="223" customWidth="1"/>
    <col min="4551" max="4551" width="11.85546875" style="223" customWidth="1"/>
    <col min="4552" max="4552" width="10.42578125" style="223" customWidth="1"/>
    <col min="4553" max="4553" width="10.28515625" style="223" customWidth="1"/>
    <col min="4554" max="4554" width="10.85546875" style="223" customWidth="1"/>
    <col min="4555" max="4555" width="9.140625" style="223" customWidth="1"/>
    <col min="4556" max="4556" width="8.7109375" style="223" customWidth="1"/>
    <col min="4557" max="4557" width="13.5703125" style="223" customWidth="1"/>
    <col min="4558" max="4558" width="12.28515625" style="223" customWidth="1"/>
    <col min="4559" max="4559" width="0.85546875" style="223" customWidth="1"/>
    <col min="4560" max="4560" width="14" style="223" customWidth="1"/>
    <col min="4561" max="4561" width="15.5703125" style="223" bestFit="1" customWidth="1"/>
    <col min="4562" max="4562" width="13.85546875" style="223" bestFit="1" customWidth="1"/>
    <col min="4563" max="4563" width="13.140625" style="223" bestFit="1" customWidth="1"/>
    <col min="4564" max="4564" width="9" style="223" customWidth="1"/>
    <col min="4565" max="4565" width="13.140625" style="223" bestFit="1" customWidth="1"/>
    <col min="4566" max="4566" width="8.140625" style="223"/>
    <col min="4567" max="4567" width="5.7109375" style="223" bestFit="1" customWidth="1"/>
    <col min="4568" max="4568" width="24.5703125" style="223" bestFit="1" customWidth="1"/>
    <col min="4569" max="4569" width="13.85546875" style="223" bestFit="1" customWidth="1"/>
    <col min="4570" max="4570" width="13.5703125" style="223" bestFit="1" customWidth="1"/>
    <col min="4571" max="4571" width="8.140625" style="223" customWidth="1"/>
    <col min="4572" max="4802" width="8.140625" style="223"/>
    <col min="4803" max="4803" width="5.85546875" style="223" customWidth="1"/>
    <col min="4804" max="4804" width="40.140625" style="223" customWidth="1"/>
    <col min="4805" max="4805" width="1.5703125" style="223" customWidth="1"/>
    <col min="4806" max="4806" width="9.5703125" style="223" customWidth="1"/>
    <col min="4807" max="4807" width="11.85546875" style="223" customWidth="1"/>
    <col min="4808" max="4808" width="10.42578125" style="223" customWidth="1"/>
    <col min="4809" max="4809" width="10.28515625" style="223" customWidth="1"/>
    <col min="4810" max="4810" width="10.85546875" style="223" customWidth="1"/>
    <col min="4811" max="4811" width="9.140625" style="223" customWidth="1"/>
    <col min="4812" max="4812" width="8.7109375" style="223" customWidth="1"/>
    <col min="4813" max="4813" width="13.5703125" style="223" customWidth="1"/>
    <col min="4814" max="4814" width="12.28515625" style="223" customWidth="1"/>
    <col min="4815" max="4815" width="0.85546875" style="223" customWidth="1"/>
    <col min="4816" max="4816" width="14" style="223" customWidth="1"/>
    <col min="4817" max="4817" width="15.5703125" style="223" bestFit="1" customWidth="1"/>
    <col min="4818" max="4818" width="13.85546875" style="223" bestFit="1" customWidth="1"/>
    <col min="4819" max="4819" width="13.140625" style="223" bestFit="1" customWidth="1"/>
    <col min="4820" max="4820" width="9" style="223" customWidth="1"/>
    <col min="4821" max="4821" width="13.140625" style="223" bestFit="1" customWidth="1"/>
    <col min="4822" max="4822" width="8.140625" style="223"/>
    <col min="4823" max="4823" width="5.7109375" style="223" bestFit="1" customWidth="1"/>
    <col min="4824" max="4824" width="24.5703125" style="223" bestFit="1" customWidth="1"/>
    <col min="4825" max="4825" width="13.85546875" style="223" bestFit="1" customWidth="1"/>
    <col min="4826" max="4826" width="13.5703125" style="223" bestFit="1" customWidth="1"/>
    <col min="4827" max="4827" width="8.140625" style="223" customWidth="1"/>
    <col min="4828" max="5058" width="8.140625" style="223"/>
    <col min="5059" max="5059" width="5.85546875" style="223" customWidth="1"/>
    <col min="5060" max="5060" width="40.140625" style="223" customWidth="1"/>
    <col min="5061" max="5061" width="1.5703125" style="223" customWidth="1"/>
    <col min="5062" max="5062" width="9.5703125" style="223" customWidth="1"/>
    <col min="5063" max="5063" width="11.85546875" style="223" customWidth="1"/>
    <col min="5064" max="5064" width="10.42578125" style="223" customWidth="1"/>
    <col min="5065" max="5065" width="10.28515625" style="223" customWidth="1"/>
    <col min="5066" max="5066" width="10.85546875" style="223" customWidth="1"/>
    <col min="5067" max="5067" width="9.140625" style="223" customWidth="1"/>
    <col min="5068" max="5068" width="8.7109375" style="223" customWidth="1"/>
    <col min="5069" max="5069" width="13.5703125" style="223" customWidth="1"/>
    <col min="5070" max="5070" width="12.28515625" style="223" customWidth="1"/>
    <col min="5071" max="5071" width="0.85546875" style="223" customWidth="1"/>
    <col min="5072" max="5072" width="14" style="223" customWidth="1"/>
    <col min="5073" max="5073" width="15.5703125" style="223" bestFit="1" customWidth="1"/>
    <col min="5074" max="5074" width="13.85546875" style="223" bestFit="1" customWidth="1"/>
    <col min="5075" max="5075" width="13.140625" style="223" bestFit="1" customWidth="1"/>
    <col min="5076" max="5076" width="9" style="223" customWidth="1"/>
    <col min="5077" max="5077" width="13.140625" style="223" bestFit="1" customWidth="1"/>
    <col min="5078" max="5078" width="8.140625" style="223"/>
    <col min="5079" max="5079" width="5.7109375" style="223" bestFit="1" customWidth="1"/>
    <col min="5080" max="5080" width="24.5703125" style="223" bestFit="1" customWidth="1"/>
    <col min="5081" max="5081" width="13.85546875" style="223" bestFit="1" customWidth="1"/>
    <col min="5082" max="5082" width="13.5703125" style="223" bestFit="1" customWidth="1"/>
    <col min="5083" max="5083" width="8.140625" style="223" customWidth="1"/>
    <col min="5084" max="5314" width="8.140625" style="223"/>
    <col min="5315" max="5315" width="5.85546875" style="223" customWidth="1"/>
    <col min="5316" max="5316" width="40.140625" style="223" customWidth="1"/>
    <col min="5317" max="5317" width="1.5703125" style="223" customWidth="1"/>
    <col min="5318" max="5318" width="9.5703125" style="223" customWidth="1"/>
    <col min="5319" max="5319" width="11.85546875" style="223" customWidth="1"/>
    <col min="5320" max="5320" width="10.42578125" style="223" customWidth="1"/>
    <col min="5321" max="5321" width="10.28515625" style="223" customWidth="1"/>
    <col min="5322" max="5322" width="10.85546875" style="223" customWidth="1"/>
    <col min="5323" max="5323" width="9.140625" style="223" customWidth="1"/>
    <col min="5324" max="5324" width="8.7109375" style="223" customWidth="1"/>
    <col min="5325" max="5325" width="13.5703125" style="223" customWidth="1"/>
    <col min="5326" max="5326" width="12.28515625" style="223" customWidth="1"/>
    <col min="5327" max="5327" width="0.85546875" style="223" customWidth="1"/>
    <col min="5328" max="5328" width="14" style="223" customWidth="1"/>
    <col min="5329" max="5329" width="15.5703125" style="223" bestFit="1" customWidth="1"/>
    <col min="5330" max="5330" width="13.85546875" style="223" bestFit="1" customWidth="1"/>
    <col min="5331" max="5331" width="13.140625" style="223" bestFit="1" customWidth="1"/>
    <col min="5332" max="5332" width="9" style="223" customWidth="1"/>
    <col min="5333" max="5333" width="13.140625" style="223" bestFit="1" customWidth="1"/>
    <col min="5334" max="5334" width="8.140625" style="223"/>
    <col min="5335" max="5335" width="5.7109375" style="223" bestFit="1" customWidth="1"/>
    <col min="5336" max="5336" width="24.5703125" style="223" bestFit="1" customWidth="1"/>
    <col min="5337" max="5337" width="13.85546875" style="223" bestFit="1" customWidth="1"/>
    <col min="5338" max="5338" width="13.5703125" style="223" bestFit="1" customWidth="1"/>
    <col min="5339" max="5339" width="8.140625" style="223" customWidth="1"/>
    <col min="5340" max="5570" width="8.140625" style="223"/>
    <col min="5571" max="5571" width="5.85546875" style="223" customWidth="1"/>
    <col min="5572" max="5572" width="40.140625" style="223" customWidth="1"/>
    <col min="5573" max="5573" width="1.5703125" style="223" customWidth="1"/>
    <col min="5574" max="5574" width="9.5703125" style="223" customWidth="1"/>
    <col min="5575" max="5575" width="11.85546875" style="223" customWidth="1"/>
    <col min="5576" max="5576" width="10.42578125" style="223" customWidth="1"/>
    <col min="5577" max="5577" width="10.28515625" style="223" customWidth="1"/>
    <col min="5578" max="5578" width="10.85546875" style="223" customWidth="1"/>
    <col min="5579" max="5579" width="9.140625" style="223" customWidth="1"/>
    <col min="5580" max="5580" width="8.7109375" style="223" customWidth="1"/>
    <col min="5581" max="5581" width="13.5703125" style="223" customWidth="1"/>
    <col min="5582" max="5582" width="12.28515625" style="223" customWidth="1"/>
    <col min="5583" max="5583" width="0.85546875" style="223" customWidth="1"/>
    <col min="5584" max="5584" width="14" style="223" customWidth="1"/>
    <col min="5585" max="5585" width="15.5703125" style="223" bestFit="1" customWidth="1"/>
    <col min="5586" max="5586" width="13.85546875" style="223" bestFit="1" customWidth="1"/>
    <col min="5587" max="5587" width="13.140625" style="223" bestFit="1" customWidth="1"/>
    <col min="5588" max="5588" width="9" style="223" customWidth="1"/>
    <col min="5589" max="5589" width="13.140625" style="223" bestFit="1" customWidth="1"/>
    <col min="5590" max="5590" width="8.140625" style="223"/>
    <col min="5591" max="5591" width="5.7109375" style="223" bestFit="1" customWidth="1"/>
    <col min="5592" max="5592" width="24.5703125" style="223" bestFit="1" customWidth="1"/>
    <col min="5593" max="5593" width="13.85546875" style="223" bestFit="1" customWidth="1"/>
    <col min="5594" max="5594" width="13.5703125" style="223" bestFit="1" customWidth="1"/>
    <col min="5595" max="5595" width="8.140625" style="223" customWidth="1"/>
    <col min="5596" max="5826" width="8.140625" style="223"/>
    <col min="5827" max="5827" width="5.85546875" style="223" customWidth="1"/>
    <col min="5828" max="5828" width="40.140625" style="223" customWidth="1"/>
    <col min="5829" max="5829" width="1.5703125" style="223" customWidth="1"/>
    <col min="5830" max="5830" width="9.5703125" style="223" customWidth="1"/>
    <col min="5831" max="5831" width="11.85546875" style="223" customWidth="1"/>
    <col min="5832" max="5832" width="10.42578125" style="223" customWidth="1"/>
    <col min="5833" max="5833" width="10.28515625" style="223" customWidth="1"/>
    <col min="5834" max="5834" width="10.85546875" style="223" customWidth="1"/>
    <col min="5835" max="5835" width="9.140625" style="223" customWidth="1"/>
    <col min="5836" max="5836" width="8.7109375" style="223" customWidth="1"/>
    <col min="5837" max="5837" width="13.5703125" style="223" customWidth="1"/>
    <col min="5838" max="5838" width="12.28515625" style="223" customWidth="1"/>
    <col min="5839" max="5839" width="0.85546875" style="223" customWidth="1"/>
    <col min="5840" max="5840" width="14" style="223" customWidth="1"/>
    <col min="5841" max="5841" width="15.5703125" style="223" bestFit="1" customWidth="1"/>
    <col min="5842" max="5842" width="13.85546875" style="223" bestFit="1" customWidth="1"/>
    <col min="5843" max="5843" width="13.140625" style="223" bestFit="1" customWidth="1"/>
    <col min="5844" max="5844" width="9" style="223" customWidth="1"/>
    <col min="5845" max="5845" width="13.140625" style="223" bestFit="1" customWidth="1"/>
    <col min="5846" max="5846" width="8.140625" style="223"/>
    <col min="5847" max="5847" width="5.7109375" style="223" bestFit="1" customWidth="1"/>
    <col min="5848" max="5848" width="24.5703125" style="223" bestFit="1" customWidth="1"/>
    <col min="5849" max="5849" width="13.85546875" style="223" bestFit="1" customWidth="1"/>
    <col min="5850" max="5850" width="13.5703125" style="223" bestFit="1" customWidth="1"/>
    <col min="5851" max="5851" width="8.140625" style="223" customWidth="1"/>
    <col min="5852" max="6082" width="8.140625" style="223"/>
    <col min="6083" max="6083" width="5.85546875" style="223" customWidth="1"/>
    <col min="6084" max="6084" width="40.140625" style="223" customWidth="1"/>
    <col min="6085" max="6085" width="1.5703125" style="223" customWidth="1"/>
    <col min="6086" max="6086" width="9.5703125" style="223" customWidth="1"/>
    <col min="6087" max="6087" width="11.85546875" style="223" customWidth="1"/>
    <col min="6088" max="6088" width="10.42578125" style="223" customWidth="1"/>
    <col min="6089" max="6089" width="10.28515625" style="223" customWidth="1"/>
    <col min="6090" max="6090" width="10.85546875" style="223" customWidth="1"/>
    <col min="6091" max="6091" width="9.140625" style="223" customWidth="1"/>
    <col min="6092" max="6092" width="8.7109375" style="223" customWidth="1"/>
    <col min="6093" max="6093" width="13.5703125" style="223" customWidth="1"/>
    <col min="6094" max="6094" width="12.28515625" style="223" customWidth="1"/>
    <col min="6095" max="6095" width="0.85546875" style="223" customWidth="1"/>
    <col min="6096" max="6096" width="14" style="223" customWidth="1"/>
    <col min="6097" max="6097" width="15.5703125" style="223" bestFit="1" customWidth="1"/>
    <col min="6098" max="6098" width="13.85546875" style="223" bestFit="1" customWidth="1"/>
    <col min="6099" max="6099" width="13.140625" style="223" bestFit="1" customWidth="1"/>
    <col min="6100" max="6100" width="9" style="223" customWidth="1"/>
    <col min="6101" max="6101" width="13.140625" style="223" bestFit="1" customWidth="1"/>
    <col min="6102" max="6102" width="8.140625" style="223"/>
    <col min="6103" max="6103" width="5.7109375" style="223" bestFit="1" customWidth="1"/>
    <col min="6104" max="6104" width="24.5703125" style="223" bestFit="1" customWidth="1"/>
    <col min="6105" max="6105" width="13.85546875" style="223" bestFit="1" customWidth="1"/>
    <col min="6106" max="6106" width="13.5703125" style="223" bestFit="1" customWidth="1"/>
    <col min="6107" max="6107" width="8.140625" style="223" customWidth="1"/>
    <col min="6108" max="6338" width="8.140625" style="223"/>
    <col min="6339" max="6339" width="5.85546875" style="223" customWidth="1"/>
    <col min="6340" max="6340" width="40.140625" style="223" customWidth="1"/>
    <col min="6341" max="6341" width="1.5703125" style="223" customWidth="1"/>
    <col min="6342" max="6342" width="9.5703125" style="223" customWidth="1"/>
    <col min="6343" max="6343" width="11.85546875" style="223" customWidth="1"/>
    <col min="6344" max="6344" width="10.42578125" style="223" customWidth="1"/>
    <col min="6345" max="6345" width="10.28515625" style="223" customWidth="1"/>
    <col min="6346" max="6346" width="10.85546875" style="223" customWidth="1"/>
    <col min="6347" max="6347" width="9.140625" style="223" customWidth="1"/>
    <col min="6348" max="6348" width="8.7109375" style="223" customWidth="1"/>
    <col min="6349" max="6349" width="13.5703125" style="223" customWidth="1"/>
    <col min="6350" max="6350" width="12.28515625" style="223" customWidth="1"/>
    <col min="6351" max="6351" width="0.85546875" style="223" customWidth="1"/>
    <col min="6352" max="6352" width="14" style="223" customWidth="1"/>
    <col min="6353" max="6353" width="15.5703125" style="223" bestFit="1" customWidth="1"/>
    <col min="6354" max="6354" width="13.85546875" style="223" bestFit="1" customWidth="1"/>
    <col min="6355" max="6355" width="13.140625" style="223" bestFit="1" customWidth="1"/>
    <col min="6356" max="6356" width="9" style="223" customWidth="1"/>
    <col min="6357" max="6357" width="13.140625" style="223" bestFit="1" customWidth="1"/>
    <col min="6358" max="6358" width="8.140625" style="223"/>
    <col min="6359" max="6359" width="5.7109375" style="223" bestFit="1" customWidth="1"/>
    <col min="6360" max="6360" width="24.5703125" style="223" bestFit="1" customWidth="1"/>
    <col min="6361" max="6361" width="13.85546875" style="223" bestFit="1" customWidth="1"/>
    <col min="6362" max="6362" width="13.5703125" style="223" bestFit="1" customWidth="1"/>
    <col min="6363" max="6363" width="8.140625" style="223" customWidth="1"/>
    <col min="6364" max="6594" width="8.140625" style="223"/>
    <col min="6595" max="6595" width="5.85546875" style="223" customWidth="1"/>
    <col min="6596" max="6596" width="40.140625" style="223" customWidth="1"/>
    <col min="6597" max="6597" width="1.5703125" style="223" customWidth="1"/>
    <col min="6598" max="6598" width="9.5703125" style="223" customWidth="1"/>
    <col min="6599" max="6599" width="11.85546875" style="223" customWidth="1"/>
    <col min="6600" max="6600" width="10.42578125" style="223" customWidth="1"/>
    <col min="6601" max="6601" width="10.28515625" style="223" customWidth="1"/>
    <col min="6602" max="6602" width="10.85546875" style="223" customWidth="1"/>
    <col min="6603" max="6603" width="9.140625" style="223" customWidth="1"/>
    <col min="6604" max="6604" width="8.7109375" style="223" customWidth="1"/>
    <col min="6605" max="6605" width="13.5703125" style="223" customWidth="1"/>
    <col min="6606" max="6606" width="12.28515625" style="223" customWidth="1"/>
    <col min="6607" max="6607" width="0.85546875" style="223" customWidth="1"/>
    <col min="6608" max="6608" width="14" style="223" customWidth="1"/>
    <col min="6609" max="6609" width="15.5703125" style="223" bestFit="1" customWidth="1"/>
    <col min="6610" max="6610" width="13.85546875" style="223" bestFit="1" customWidth="1"/>
    <col min="6611" max="6611" width="13.140625" style="223" bestFit="1" customWidth="1"/>
    <col min="6612" max="6612" width="9" style="223" customWidth="1"/>
    <col min="6613" max="6613" width="13.140625" style="223" bestFit="1" customWidth="1"/>
    <col min="6614" max="6614" width="8.140625" style="223"/>
    <col min="6615" max="6615" width="5.7109375" style="223" bestFit="1" customWidth="1"/>
    <col min="6616" max="6616" width="24.5703125" style="223" bestFit="1" customWidth="1"/>
    <col min="6617" max="6617" width="13.85546875" style="223" bestFit="1" customWidth="1"/>
    <col min="6618" max="6618" width="13.5703125" style="223" bestFit="1" customWidth="1"/>
    <col min="6619" max="6619" width="8.140625" style="223" customWidth="1"/>
    <col min="6620" max="6850" width="8.140625" style="223"/>
    <col min="6851" max="6851" width="5.85546875" style="223" customWidth="1"/>
    <col min="6852" max="6852" width="40.140625" style="223" customWidth="1"/>
    <col min="6853" max="6853" width="1.5703125" style="223" customWidth="1"/>
    <col min="6854" max="6854" width="9.5703125" style="223" customWidth="1"/>
    <col min="6855" max="6855" width="11.85546875" style="223" customWidth="1"/>
    <col min="6856" max="6856" width="10.42578125" style="223" customWidth="1"/>
    <col min="6857" max="6857" width="10.28515625" style="223" customWidth="1"/>
    <col min="6858" max="6858" width="10.85546875" style="223" customWidth="1"/>
    <col min="6859" max="6859" width="9.140625" style="223" customWidth="1"/>
    <col min="6860" max="6860" width="8.7109375" style="223" customWidth="1"/>
    <col min="6861" max="6861" width="13.5703125" style="223" customWidth="1"/>
    <col min="6862" max="6862" width="12.28515625" style="223" customWidth="1"/>
    <col min="6863" max="6863" width="0.85546875" style="223" customWidth="1"/>
    <col min="6864" max="6864" width="14" style="223" customWidth="1"/>
    <col min="6865" max="6865" width="15.5703125" style="223" bestFit="1" customWidth="1"/>
    <col min="6866" max="6866" width="13.85546875" style="223" bestFit="1" customWidth="1"/>
    <col min="6867" max="6867" width="13.140625" style="223" bestFit="1" customWidth="1"/>
    <col min="6868" max="6868" width="9" style="223" customWidth="1"/>
    <col min="6869" max="6869" width="13.140625" style="223" bestFit="1" customWidth="1"/>
    <col min="6870" max="6870" width="8.140625" style="223"/>
    <col min="6871" max="6871" width="5.7109375" style="223" bestFit="1" customWidth="1"/>
    <col min="6872" max="6872" width="24.5703125" style="223" bestFit="1" customWidth="1"/>
    <col min="6873" max="6873" width="13.85546875" style="223" bestFit="1" customWidth="1"/>
    <col min="6874" max="6874" width="13.5703125" style="223" bestFit="1" customWidth="1"/>
    <col min="6875" max="6875" width="8.140625" style="223" customWidth="1"/>
    <col min="6876" max="7106" width="8.140625" style="223"/>
    <col min="7107" max="7107" width="5.85546875" style="223" customWidth="1"/>
    <col min="7108" max="7108" width="40.140625" style="223" customWidth="1"/>
    <col min="7109" max="7109" width="1.5703125" style="223" customWidth="1"/>
    <col min="7110" max="7110" width="9.5703125" style="223" customWidth="1"/>
    <col min="7111" max="7111" width="11.85546875" style="223" customWidth="1"/>
    <col min="7112" max="7112" width="10.42578125" style="223" customWidth="1"/>
    <col min="7113" max="7113" width="10.28515625" style="223" customWidth="1"/>
    <col min="7114" max="7114" width="10.85546875" style="223" customWidth="1"/>
    <col min="7115" max="7115" width="9.140625" style="223" customWidth="1"/>
    <col min="7116" max="7116" width="8.7109375" style="223" customWidth="1"/>
    <col min="7117" max="7117" width="13.5703125" style="223" customWidth="1"/>
    <col min="7118" max="7118" width="12.28515625" style="223" customWidth="1"/>
    <col min="7119" max="7119" width="0.85546875" style="223" customWidth="1"/>
    <col min="7120" max="7120" width="14" style="223" customWidth="1"/>
    <col min="7121" max="7121" width="15.5703125" style="223" bestFit="1" customWidth="1"/>
    <col min="7122" max="7122" width="13.85546875" style="223" bestFit="1" customWidth="1"/>
    <col min="7123" max="7123" width="13.140625" style="223" bestFit="1" customWidth="1"/>
    <col min="7124" max="7124" width="9" style="223" customWidth="1"/>
    <col min="7125" max="7125" width="13.140625" style="223" bestFit="1" customWidth="1"/>
    <col min="7126" max="7126" width="8.140625" style="223"/>
    <col min="7127" max="7127" width="5.7109375" style="223" bestFit="1" customWidth="1"/>
    <col min="7128" max="7128" width="24.5703125" style="223" bestFit="1" customWidth="1"/>
    <col min="7129" max="7129" width="13.85546875" style="223" bestFit="1" customWidth="1"/>
    <col min="7130" max="7130" width="13.5703125" style="223" bestFit="1" customWidth="1"/>
    <col min="7131" max="7131" width="8.140625" style="223" customWidth="1"/>
    <col min="7132" max="7362" width="8.140625" style="223"/>
    <col min="7363" max="7363" width="5.85546875" style="223" customWidth="1"/>
    <col min="7364" max="7364" width="40.140625" style="223" customWidth="1"/>
    <col min="7365" max="7365" width="1.5703125" style="223" customWidth="1"/>
    <col min="7366" max="7366" width="9.5703125" style="223" customWidth="1"/>
    <col min="7367" max="7367" width="11.85546875" style="223" customWidth="1"/>
    <col min="7368" max="7368" width="10.42578125" style="223" customWidth="1"/>
    <col min="7369" max="7369" width="10.28515625" style="223" customWidth="1"/>
    <col min="7370" max="7370" width="10.85546875" style="223" customWidth="1"/>
    <col min="7371" max="7371" width="9.140625" style="223" customWidth="1"/>
    <col min="7372" max="7372" width="8.7109375" style="223" customWidth="1"/>
    <col min="7373" max="7373" width="13.5703125" style="223" customWidth="1"/>
    <col min="7374" max="7374" width="12.28515625" style="223" customWidth="1"/>
    <col min="7375" max="7375" width="0.85546875" style="223" customWidth="1"/>
    <col min="7376" max="7376" width="14" style="223" customWidth="1"/>
    <col min="7377" max="7377" width="15.5703125" style="223" bestFit="1" customWidth="1"/>
    <col min="7378" max="7378" width="13.85546875" style="223" bestFit="1" customWidth="1"/>
    <col min="7379" max="7379" width="13.140625" style="223" bestFit="1" customWidth="1"/>
    <col min="7380" max="7380" width="9" style="223" customWidth="1"/>
    <col min="7381" max="7381" width="13.140625" style="223" bestFit="1" customWidth="1"/>
    <col min="7382" max="7382" width="8.140625" style="223"/>
    <col min="7383" max="7383" width="5.7109375" style="223" bestFit="1" customWidth="1"/>
    <col min="7384" max="7384" width="24.5703125" style="223" bestFit="1" customWidth="1"/>
    <col min="7385" max="7385" width="13.85546875" style="223" bestFit="1" customWidth="1"/>
    <col min="7386" max="7386" width="13.5703125" style="223" bestFit="1" customWidth="1"/>
    <col min="7387" max="7387" width="8.140625" style="223" customWidth="1"/>
    <col min="7388" max="7618" width="8.140625" style="223"/>
    <col min="7619" max="7619" width="5.85546875" style="223" customWidth="1"/>
    <col min="7620" max="7620" width="40.140625" style="223" customWidth="1"/>
    <col min="7621" max="7621" width="1.5703125" style="223" customWidth="1"/>
    <col min="7622" max="7622" width="9.5703125" style="223" customWidth="1"/>
    <col min="7623" max="7623" width="11.85546875" style="223" customWidth="1"/>
    <col min="7624" max="7624" width="10.42578125" style="223" customWidth="1"/>
    <col min="7625" max="7625" width="10.28515625" style="223" customWidth="1"/>
    <col min="7626" max="7626" width="10.85546875" style="223" customWidth="1"/>
    <col min="7627" max="7627" width="9.140625" style="223" customWidth="1"/>
    <col min="7628" max="7628" width="8.7109375" style="223" customWidth="1"/>
    <col min="7629" max="7629" width="13.5703125" style="223" customWidth="1"/>
    <col min="7630" max="7630" width="12.28515625" style="223" customWidth="1"/>
    <col min="7631" max="7631" width="0.85546875" style="223" customWidth="1"/>
    <col min="7632" max="7632" width="14" style="223" customWidth="1"/>
    <col min="7633" max="7633" width="15.5703125" style="223" bestFit="1" customWidth="1"/>
    <col min="7634" max="7634" width="13.85546875" style="223" bestFit="1" customWidth="1"/>
    <col min="7635" max="7635" width="13.140625" style="223" bestFit="1" customWidth="1"/>
    <col min="7636" max="7636" width="9" style="223" customWidth="1"/>
    <col min="7637" max="7637" width="13.140625" style="223" bestFit="1" customWidth="1"/>
    <col min="7638" max="7638" width="8.140625" style="223"/>
    <col min="7639" max="7639" width="5.7109375" style="223" bestFit="1" customWidth="1"/>
    <col min="7640" max="7640" width="24.5703125" style="223" bestFit="1" customWidth="1"/>
    <col min="7641" max="7641" width="13.85546875" style="223" bestFit="1" customWidth="1"/>
    <col min="7642" max="7642" width="13.5703125" style="223" bestFit="1" customWidth="1"/>
    <col min="7643" max="7643" width="8.140625" style="223" customWidth="1"/>
    <col min="7644" max="7874" width="8.140625" style="223"/>
    <col min="7875" max="7875" width="5.85546875" style="223" customWidth="1"/>
    <col min="7876" max="7876" width="40.140625" style="223" customWidth="1"/>
    <col min="7877" max="7877" width="1.5703125" style="223" customWidth="1"/>
    <col min="7878" max="7878" width="9.5703125" style="223" customWidth="1"/>
    <col min="7879" max="7879" width="11.85546875" style="223" customWidth="1"/>
    <col min="7880" max="7880" width="10.42578125" style="223" customWidth="1"/>
    <col min="7881" max="7881" width="10.28515625" style="223" customWidth="1"/>
    <col min="7882" max="7882" width="10.85546875" style="223" customWidth="1"/>
    <col min="7883" max="7883" width="9.140625" style="223" customWidth="1"/>
    <col min="7884" max="7884" width="8.7109375" style="223" customWidth="1"/>
    <col min="7885" max="7885" width="13.5703125" style="223" customWidth="1"/>
    <col min="7886" max="7886" width="12.28515625" style="223" customWidth="1"/>
    <col min="7887" max="7887" width="0.85546875" style="223" customWidth="1"/>
    <col min="7888" max="7888" width="14" style="223" customWidth="1"/>
    <col min="7889" max="7889" width="15.5703125" style="223" bestFit="1" customWidth="1"/>
    <col min="7890" max="7890" width="13.85546875" style="223" bestFit="1" customWidth="1"/>
    <col min="7891" max="7891" width="13.140625" style="223" bestFit="1" customWidth="1"/>
    <col min="7892" max="7892" width="9" style="223" customWidth="1"/>
    <col min="7893" max="7893" width="13.140625" style="223" bestFit="1" customWidth="1"/>
    <col min="7894" max="7894" width="8.140625" style="223"/>
    <col min="7895" max="7895" width="5.7109375" style="223" bestFit="1" customWidth="1"/>
    <col min="7896" max="7896" width="24.5703125" style="223" bestFit="1" customWidth="1"/>
    <col min="7897" max="7897" width="13.85546875" style="223" bestFit="1" customWidth="1"/>
    <col min="7898" max="7898" width="13.5703125" style="223" bestFit="1" customWidth="1"/>
    <col min="7899" max="7899" width="8.140625" style="223" customWidth="1"/>
    <col min="7900" max="8130" width="8.140625" style="223"/>
    <col min="8131" max="8131" width="5.85546875" style="223" customWidth="1"/>
    <col min="8132" max="8132" width="40.140625" style="223" customWidth="1"/>
    <col min="8133" max="8133" width="1.5703125" style="223" customWidth="1"/>
    <col min="8134" max="8134" width="9.5703125" style="223" customWidth="1"/>
    <col min="8135" max="8135" width="11.85546875" style="223" customWidth="1"/>
    <col min="8136" max="8136" width="10.42578125" style="223" customWidth="1"/>
    <col min="8137" max="8137" width="10.28515625" style="223" customWidth="1"/>
    <col min="8138" max="8138" width="10.85546875" style="223" customWidth="1"/>
    <col min="8139" max="8139" width="9.140625" style="223" customWidth="1"/>
    <col min="8140" max="8140" width="8.7109375" style="223" customWidth="1"/>
    <col min="8141" max="8141" width="13.5703125" style="223" customWidth="1"/>
    <col min="8142" max="8142" width="12.28515625" style="223" customWidth="1"/>
    <col min="8143" max="8143" width="0.85546875" style="223" customWidth="1"/>
    <col min="8144" max="8144" width="14" style="223" customWidth="1"/>
    <col min="8145" max="8145" width="15.5703125" style="223" bestFit="1" customWidth="1"/>
    <col min="8146" max="8146" width="13.85546875" style="223" bestFit="1" customWidth="1"/>
    <col min="8147" max="8147" width="13.140625" style="223" bestFit="1" customWidth="1"/>
    <col min="8148" max="8148" width="9" style="223" customWidth="1"/>
    <col min="8149" max="8149" width="13.140625" style="223" bestFit="1" customWidth="1"/>
    <col min="8150" max="8150" width="8.140625" style="223"/>
    <col min="8151" max="8151" width="5.7109375" style="223" bestFit="1" customWidth="1"/>
    <col min="8152" max="8152" width="24.5703125" style="223" bestFit="1" customWidth="1"/>
    <col min="8153" max="8153" width="13.85546875" style="223" bestFit="1" customWidth="1"/>
    <col min="8154" max="8154" width="13.5703125" style="223" bestFit="1" customWidth="1"/>
    <col min="8155" max="8155" width="8.140625" style="223" customWidth="1"/>
    <col min="8156" max="8386" width="8.140625" style="223"/>
    <col min="8387" max="8387" width="5.85546875" style="223" customWidth="1"/>
    <col min="8388" max="8388" width="40.140625" style="223" customWidth="1"/>
    <col min="8389" max="8389" width="1.5703125" style="223" customWidth="1"/>
    <col min="8390" max="8390" width="9.5703125" style="223" customWidth="1"/>
    <col min="8391" max="8391" width="11.85546875" style="223" customWidth="1"/>
    <col min="8392" max="8392" width="10.42578125" style="223" customWidth="1"/>
    <col min="8393" max="8393" width="10.28515625" style="223" customWidth="1"/>
    <col min="8394" max="8394" width="10.85546875" style="223" customWidth="1"/>
    <col min="8395" max="8395" width="9.140625" style="223" customWidth="1"/>
    <col min="8396" max="8396" width="8.7109375" style="223" customWidth="1"/>
    <col min="8397" max="8397" width="13.5703125" style="223" customWidth="1"/>
    <col min="8398" max="8398" width="12.28515625" style="223" customWidth="1"/>
    <col min="8399" max="8399" width="0.85546875" style="223" customWidth="1"/>
    <col min="8400" max="8400" width="14" style="223" customWidth="1"/>
    <col min="8401" max="8401" width="15.5703125" style="223" bestFit="1" customWidth="1"/>
    <col min="8402" max="8402" width="13.85546875" style="223" bestFit="1" customWidth="1"/>
    <col min="8403" max="8403" width="13.140625" style="223" bestFit="1" customWidth="1"/>
    <col min="8404" max="8404" width="9" style="223" customWidth="1"/>
    <col min="8405" max="8405" width="13.140625" style="223" bestFit="1" customWidth="1"/>
    <col min="8406" max="8406" width="8.140625" style="223"/>
    <col min="8407" max="8407" width="5.7109375" style="223" bestFit="1" customWidth="1"/>
    <col min="8408" max="8408" width="24.5703125" style="223" bestFit="1" customWidth="1"/>
    <col min="8409" max="8409" width="13.85546875" style="223" bestFit="1" customWidth="1"/>
    <col min="8410" max="8410" width="13.5703125" style="223" bestFit="1" customWidth="1"/>
    <col min="8411" max="8411" width="8.140625" style="223" customWidth="1"/>
    <col min="8412" max="8642" width="8.140625" style="223"/>
    <col min="8643" max="8643" width="5.85546875" style="223" customWidth="1"/>
    <col min="8644" max="8644" width="40.140625" style="223" customWidth="1"/>
    <col min="8645" max="8645" width="1.5703125" style="223" customWidth="1"/>
    <col min="8646" max="8646" width="9.5703125" style="223" customWidth="1"/>
    <col min="8647" max="8647" width="11.85546875" style="223" customWidth="1"/>
    <col min="8648" max="8648" width="10.42578125" style="223" customWidth="1"/>
    <col min="8649" max="8649" width="10.28515625" style="223" customWidth="1"/>
    <col min="8650" max="8650" width="10.85546875" style="223" customWidth="1"/>
    <col min="8651" max="8651" width="9.140625" style="223" customWidth="1"/>
    <col min="8652" max="8652" width="8.7109375" style="223" customWidth="1"/>
    <col min="8653" max="8653" width="13.5703125" style="223" customWidth="1"/>
    <col min="8654" max="8654" width="12.28515625" style="223" customWidth="1"/>
    <col min="8655" max="8655" width="0.85546875" style="223" customWidth="1"/>
    <col min="8656" max="8656" width="14" style="223" customWidth="1"/>
    <col min="8657" max="8657" width="15.5703125" style="223" bestFit="1" customWidth="1"/>
    <col min="8658" max="8658" width="13.85546875" style="223" bestFit="1" customWidth="1"/>
    <col min="8659" max="8659" width="13.140625" style="223" bestFit="1" customWidth="1"/>
    <col min="8660" max="8660" width="9" style="223" customWidth="1"/>
    <col min="8661" max="8661" width="13.140625" style="223" bestFit="1" customWidth="1"/>
    <col min="8662" max="8662" width="8.140625" style="223"/>
    <col min="8663" max="8663" width="5.7109375" style="223" bestFit="1" customWidth="1"/>
    <col min="8664" max="8664" width="24.5703125" style="223" bestFit="1" customWidth="1"/>
    <col min="8665" max="8665" width="13.85546875" style="223" bestFit="1" customWidth="1"/>
    <col min="8666" max="8666" width="13.5703125" style="223" bestFit="1" customWidth="1"/>
    <col min="8667" max="8667" width="8.140625" style="223" customWidth="1"/>
    <col min="8668" max="8898" width="8.140625" style="223"/>
    <col min="8899" max="8899" width="5.85546875" style="223" customWidth="1"/>
    <col min="8900" max="8900" width="40.140625" style="223" customWidth="1"/>
    <col min="8901" max="8901" width="1.5703125" style="223" customWidth="1"/>
    <col min="8902" max="8902" width="9.5703125" style="223" customWidth="1"/>
    <col min="8903" max="8903" width="11.85546875" style="223" customWidth="1"/>
    <col min="8904" max="8904" width="10.42578125" style="223" customWidth="1"/>
    <col min="8905" max="8905" width="10.28515625" style="223" customWidth="1"/>
    <col min="8906" max="8906" width="10.85546875" style="223" customWidth="1"/>
    <col min="8907" max="8907" width="9.140625" style="223" customWidth="1"/>
    <col min="8908" max="8908" width="8.7109375" style="223" customWidth="1"/>
    <col min="8909" max="8909" width="13.5703125" style="223" customWidth="1"/>
    <col min="8910" max="8910" width="12.28515625" style="223" customWidth="1"/>
    <col min="8911" max="8911" width="0.85546875" style="223" customWidth="1"/>
    <col min="8912" max="8912" width="14" style="223" customWidth="1"/>
    <col min="8913" max="8913" width="15.5703125" style="223" bestFit="1" customWidth="1"/>
    <col min="8914" max="8914" width="13.85546875" style="223" bestFit="1" customWidth="1"/>
    <col min="8915" max="8915" width="13.140625" style="223" bestFit="1" customWidth="1"/>
    <col min="8916" max="8916" width="9" style="223" customWidth="1"/>
    <col min="8917" max="8917" width="13.140625" style="223" bestFit="1" customWidth="1"/>
    <col min="8918" max="8918" width="8.140625" style="223"/>
    <col min="8919" max="8919" width="5.7109375" style="223" bestFit="1" customWidth="1"/>
    <col min="8920" max="8920" width="24.5703125" style="223" bestFit="1" customWidth="1"/>
    <col min="8921" max="8921" width="13.85546875" style="223" bestFit="1" customWidth="1"/>
    <col min="8922" max="8922" width="13.5703125" style="223" bestFit="1" customWidth="1"/>
    <col min="8923" max="8923" width="8.140625" style="223" customWidth="1"/>
    <col min="8924" max="9154" width="8.140625" style="223"/>
    <col min="9155" max="9155" width="5.85546875" style="223" customWidth="1"/>
    <col min="9156" max="9156" width="40.140625" style="223" customWidth="1"/>
    <col min="9157" max="9157" width="1.5703125" style="223" customWidth="1"/>
    <col min="9158" max="9158" width="9.5703125" style="223" customWidth="1"/>
    <col min="9159" max="9159" width="11.85546875" style="223" customWidth="1"/>
    <col min="9160" max="9160" width="10.42578125" style="223" customWidth="1"/>
    <col min="9161" max="9161" width="10.28515625" style="223" customWidth="1"/>
    <col min="9162" max="9162" width="10.85546875" style="223" customWidth="1"/>
    <col min="9163" max="9163" width="9.140625" style="223" customWidth="1"/>
    <col min="9164" max="9164" width="8.7109375" style="223" customWidth="1"/>
    <col min="9165" max="9165" width="13.5703125" style="223" customWidth="1"/>
    <col min="9166" max="9166" width="12.28515625" style="223" customWidth="1"/>
    <col min="9167" max="9167" width="0.85546875" style="223" customWidth="1"/>
    <col min="9168" max="9168" width="14" style="223" customWidth="1"/>
    <col min="9169" max="9169" width="15.5703125" style="223" bestFit="1" customWidth="1"/>
    <col min="9170" max="9170" width="13.85546875" style="223" bestFit="1" customWidth="1"/>
    <col min="9171" max="9171" width="13.140625" style="223" bestFit="1" customWidth="1"/>
    <col min="9172" max="9172" width="9" style="223" customWidth="1"/>
    <col min="9173" max="9173" width="13.140625" style="223" bestFit="1" customWidth="1"/>
    <col min="9174" max="9174" width="8.140625" style="223"/>
    <col min="9175" max="9175" width="5.7109375" style="223" bestFit="1" customWidth="1"/>
    <col min="9176" max="9176" width="24.5703125" style="223" bestFit="1" customWidth="1"/>
    <col min="9177" max="9177" width="13.85546875" style="223" bestFit="1" customWidth="1"/>
    <col min="9178" max="9178" width="13.5703125" style="223" bestFit="1" customWidth="1"/>
    <col min="9179" max="9179" width="8.140625" style="223" customWidth="1"/>
    <col min="9180" max="9410" width="8.140625" style="223"/>
    <col min="9411" max="9411" width="5.85546875" style="223" customWidth="1"/>
    <col min="9412" max="9412" width="40.140625" style="223" customWidth="1"/>
    <col min="9413" max="9413" width="1.5703125" style="223" customWidth="1"/>
    <col min="9414" max="9414" width="9.5703125" style="223" customWidth="1"/>
    <col min="9415" max="9415" width="11.85546875" style="223" customWidth="1"/>
    <col min="9416" max="9416" width="10.42578125" style="223" customWidth="1"/>
    <col min="9417" max="9417" width="10.28515625" style="223" customWidth="1"/>
    <col min="9418" max="9418" width="10.85546875" style="223" customWidth="1"/>
    <col min="9419" max="9419" width="9.140625" style="223" customWidth="1"/>
    <col min="9420" max="9420" width="8.7109375" style="223" customWidth="1"/>
    <col min="9421" max="9421" width="13.5703125" style="223" customWidth="1"/>
    <col min="9422" max="9422" width="12.28515625" style="223" customWidth="1"/>
    <col min="9423" max="9423" width="0.85546875" style="223" customWidth="1"/>
    <col min="9424" max="9424" width="14" style="223" customWidth="1"/>
    <col min="9425" max="9425" width="15.5703125" style="223" bestFit="1" customWidth="1"/>
    <col min="9426" max="9426" width="13.85546875" style="223" bestFit="1" customWidth="1"/>
    <col min="9427" max="9427" width="13.140625" style="223" bestFit="1" customWidth="1"/>
    <col min="9428" max="9428" width="9" style="223" customWidth="1"/>
    <col min="9429" max="9429" width="13.140625" style="223" bestFit="1" customWidth="1"/>
    <col min="9430" max="9430" width="8.140625" style="223"/>
    <col min="9431" max="9431" width="5.7109375" style="223" bestFit="1" customWidth="1"/>
    <col min="9432" max="9432" width="24.5703125" style="223" bestFit="1" customWidth="1"/>
    <col min="9433" max="9433" width="13.85546875" style="223" bestFit="1" customWidth="1"/>
    <col min="9434" max="9434" width="13.5703125" style="223" bestFit="1" customWidth="1"/>
    <col min="9435" max="9435" width="8.140625" style="223" customWidth="1"/>
    <col min="9436" max="9666" width="8.140625" style="223"/>
    <col min="9667" max="9667" width="5.85546875" style="223" customWidth="1"/>
    <col min="9668" max="9668" width="40.140625" style="223" customWidth="1"/>
    <col min="9669" max="9669" width="1.5703125" style="223" customWidth="1"/>
    <col min="9670" max="9670" width="9.5703125" style="223" customWidth="1"/>
    <col min="9671" max="9671" width="11.85546875" style="223" customWidth="1"/>
    <col min="9672" max="9672" width="10.42578125" style="223" customWidth="1"/>
    <col min="9673" max="9673" width="10.28515625" style="223" customWidth="1"/>
    <col min="9674" max="9674" width="10.85546875" style="223" customWidth="1"/>
    <col min="9675" max="9675" width="9.140625" style="223" customWidth="1"/>
    <col min="9676" max="9676" width="8.7109375" style="223" customWidth="1"/>
    <col min="9677" max="9677" width="13.5703125" style="223" customWidth="1"/>
    <col min="9678" max="9678" width="12.28515625" style="223" customWidth="1"/>
    <col min="9679" max="9679" width="0.85546875" style="223" customWidth="1"/>
    <col min="9680" max="9680" width="14" style="223" customWidth="1"/>
    <col min="9681" max="9681" width="15.5703125" style="223" bestFit="1" customWidth="1"/>
    <col min="9682" max="9682" width="13.85546875" style="223" bestFit="1" customWidth="1"/>
    <col min="9683" max="9683" width="13.140625" style="223" bestFit="1" customWidth="1"/>
    <col min="9684" max="9684" width="9" style="223" customWidth="1"/>
    <col min="9685" max="9685" width="13.140625" style="223" bestFit="1" customWidth="1"/>
    <col min="9686" max="9686" width="8.140625" style="223"/>
    <col min="9687" max="9687" width="5.7109375" style="223" bestFit="1" customWidth="1"/>
    <col min="9688" max="9688" width="24.5703125" style="223" bestFit="1" customWidth="1"/>
    <col min="9689" max="9689" width="13.85546875" style="223" bestFit="1" customWidth="1"/>
    <col min="9690" max="9690" width="13.5703125" style="223" bestFit="1" customWidth="1"/>
    <col min="9691" max="9691" width="8.140625" style="223" customWidth="1"/>
    <col min="9692" max="9922" width="8.140625" style="223"/>
    <col min="9923" max="9923" width="5.85546875" style="223" customWidth="1"/>
    <col min="9924" max="9924" width="40.140625" style="223" customWidth="1"/>
    <col min="9925" max="9925" width="1.5703125" style="223" customWidth="1"/>
    <col min="9926" max="9926" width="9.5703125" style="223" customWidth="1"/>
    <col min="9927" max="9927" width="11.85546875" style="223" customWidth="1"/>
    <col min="9928" max="9928" width="10.42578125" style="223" customWidth="1"/>
    <col min="9929" max="9929" width="10.28515625" style="223" customWidth="1"/>
    <col min="9930" max="9930" width="10.85546875" style="223" customWidth="1"/>
    <col min="9931" max="9931" width="9.140625" style="223" customWidth="1"/>
    <col min="9932" max="9932" width="8.7109375" style="223" customWidth="1"/>
    <col min="9933" max="9933" width="13.5703125" style="223" customWidth="1"/>
    <col min="9934" max="9934" width="12.28515625" style="223" customWidth="1"/>
    <col min="9935" max="9935" width="0.85546875" style="223" customWidth="1"/>
    <col min="9936" max="9936" width="14" style="223" customWidth="1"/>
    <col min="9937" max="9937" width="15.5703125" style="223" bestFit="1" customWidth="1"/>
    <col min="9938" max="9938" width="13.85546875" style="223" bestFit="1" customWidth="1"/>
    <col min="9939" max="9939" width="13.140625" style="223" bestFit="1" customWidth="1"/>
    <col min="9940" max="9940" width="9" style="223" customWidth="1"/>
    <col min="9941" max="9941" width="13.140625" style="223" bestFit="1" customWidth="1"/>
    <col min="9942" max="9942" width="8.140625" style="223"/>
    <col min="9943" max="9943" width="5.7109375" style="223" bestFit="1" customWidth="1"/>
    <col min="9944" max="9944" width="24.5703125" style="223" bestFit="1" customWidth="1"/>
    <col min="9945" max="9945" width="13.85546875" style="223" bestFit="1" customWidth="1"/>
    <col min="9946" max="9946" width="13.5703125" style="223" bestFit="1" customWidth="1"/>
    <col min="9947" max="9947" width="8.140625" style="223" customWidth="1"/>
    <col min="9948" max="10178" width="8.140625" style="223"/>
    <col min="10179" max="10179" width="5.85546875" style="223" customWidth="1"/>
    <col min="10180" max="10180" width="40.140625" style="223" customWidth="1"/>
    <col min="10181" max="10181" width="1.5703125" style="223" customWidth="1"/>
    <col min="10182" max="10182" width="9.5703125" style="223" customWidth="1"/>
    <col min="10183" max="10183" width="11.85546875" style="223" customWidth="1"/>
    <col min="10184" max="10184" width="10.42578125" style="223" customWidth="1"/>
    <col min="10185" max="10185" width="10.28515625" style="223" customWidth="1"/>
    <col min="10186" max="10186" width="10.85546875" style="223" customWidth="1"/>
    <col min="10187" max="10187" width="9.140625" style="223" customWidth="1"/>
    <col min="10188" max="10188" width="8.7109375" style="223" customWidth="1"/>
    <col min="10189" max="10189" width="13.5703125" style="223" customWidth="1"/>
    <col min="10190" max="10190" width="12.28515625" style="223" customWidth="1"/>
    <col min="10191" max="10191" width="0.85546875" style="223" customWidth="1"/>
    <col min="10192" max="10192" width="14" style="223" customWidth="1"/>
    <col min="10193" max="10193" width="15.5703125" style="223" bestFit="1" customWidth="1"/>
    <col min="10194" max="10194" width="13.85546875" style="223" bestFit="1" customWidth="1"/>
    <col min="10195" max="10195" width="13.140625" style="223" bestFit="1" customWidth="1"/>
    <col min="10196" max="10196" width="9" style="223" customWidth="1"/>
    <col min="10197" max="10197" width="13.140625" style="223" bestFit="1" customWidth="1"/>
    <col min="10198" max="10198" width="8.140625" style="223"/>
    <col min="10199" max="10199" width="5.7109375" style="223" bestFit="1" customWidth="1"/>
    <col min="10200" max="10200" width="24.5703125" style="223" bestFit="1" customWidth="1"/>
    <col min="10201" max="10201" width="13.85546875" style="223" bestFit="1" customWidth="1"/>
    <col min="10202" max="10202" width="13.5703125" style="223" bestFit="1" customWidth="1"/>
    <col min="10203" max="10203" width="8.140625" style="223" customWidth="1"/>
    <col min="10204" max="10434" width="8.140625" style="223"/>
    <col min="10435" max="10435" width="5.85546875" style="223" customWidth="1"/>
    <col min="10436" max="10436" width="40.140625" style="223" customWidth="1"/>
    <col min="10437" max="10437" width="1.5703125" style="223" customWidth="1"/>
    <col min="10438" max="10438" width="9.5703125" style="223" customWidth="1"/>
    <col min="10439" max="10439" width="11.85546875" style="223" customWidth="1"/>
    <col min="10440" max="10440" width="10.42578125" style="223" customWidth="1"/>
    <col min="10441" max="10441" width="10.28515625" style="223" customWidth="1"/>
    <col min="10442" max="10442" width="10.85546875" style="223" customWidth="1"/>
    <col min="10443" max="10443" width="9.140625" style="223" customWidth="1"/>
    <col min="10444" max="10444" width="8.7109375" style="223" customWidth="1"/>
    <col min="10445" max="10445" width="13.5703125" style="223" customWidth="1"/>
    <col min="10446" max="10446" width="12.28515625" style="223" customWidth="1"/>
    <col min="10447" max="10447" width="0.85546875" style="223" customWidth="1"/>
    <col min="10448" max="10448" width="14" style="223" customWidth="1"/>
    <col min="10449" max="10449" width="15.5703125" style="223" bestFit="1" customWidth="1"/>
    <col min="10450" max="10450" width="13.85546875" style="223" bestFit="1" customWidth="1"/>
    <col min="10451" max="10451" width="13.140625" style="223" bestFit="1" customWidth="1"/>
    <col min="10452" max="10452" width="9" style="223" customWidth="1"/>
    <col min="10453" max="10453" width="13.140625" style="223" bestFit="1" customWidth="1"/>
    <col min="10454" max="10454" width="8.140625" style="223"/>
    <col min="10455" max="10455" width="5.7109375" style="223" bestFit="1" customWidth="1"/>
    <col min="10456" max="10456" width="24.5703125" style="223" bestFit="1" customWidth="1"/>
    <col min="10457" max="10457" width="13.85546875" style="223" bestFit="1" customWidth="1"/>
    <col min="10458" max="10458" width="13.5703125" style="223" bestFit="1" customWidth="1"/>
    <col min="10459" max="10459" width="8.140625" style="223" customWidth="1"/>
    <col min="10460" max="10690" width="8.140625" style="223"/>
    <col min="10691" max="10691" width="5.85546875" style="223" customWidth="1"/>
    <col min="10692" max="10692" width="40.140625" style="223" customWidth="1"/>
    <col min="10693" max="10693" width="1.5703125" style="223" customWidth="1"/>
    <col min="10694" max="10694" width="9.5703125" style="223" customWidth="1"/>
    <col min="10695" max="10695" width="11.85546875" style="223" customWidth="1"/>
    <col min="10696" max="10696" width="10.42578125" style="223" customWidth="1"/>
    <col min="10697" max="10697" width="10.28515625" style="223" customWidth="1"/>
    <col min="10698" max="10698" width="10.85546875" style="223" customWidth="1"/>
    <col min="10699" max="10699" width="9.140625" style="223" customWidth="1"/>
    <col min="10700" max="10700" width="8.7109375" style="223" customWidth="1"/>
    <col min="10701" max="10701" width="13.5703125" style="223" customWidth="1"/>
    <col min="10702" max="10702" width="12.28515625" style="223" customWidth="1"/>
    <col min="10703" max="10703" width="0.85546875" style="223" customWidth="1"/>
    <col min="10704" max="10704" width="14" style="223" customWidth="1"/>
    <col min="10705" max="10705" width="15.5703125" style="223" bestFit="1" customWidth="1"/>
    <col min="10706" max="10706" width="13.85546875" style="223" bestFit="1" customWidth="1"/>
    <col min="10707" max="10707" width="13.140625" style="223" bestFit="1" customWidth="1"/>
    <col min="10708" max="10708" width="9" style="223" customWidth="1"/>
    <col min="10709" max="10709" width="13.140625" style="223" bestFit="1" customWidth="1"/>
    <col min="10710" max="10710" width="8.140625" style="223"/>
    <col min="10711" max="10711" width="5.7109375" style="223" bestFit="1" customWidth="1"/>
    <col min="10712" max="10712" width="24.5703125" style="223" bestFit="1" customWidth="1"/>
    <col min="10713" max="10713" width="13.85546875" style="223" bestFit="1" customWidth="1"/>
    <col min="10714" max="10714" width="13.5703125" style="223" bestFit="1" customWidth="1"/>
    <col min="10715" max="10715" width="8.140625" style="223" customWidth="1"/>
    <col min="10716" max="10946" width="8.140625" style="223"/>
    <col min="10947" max="10947" width="5.85546875" style="223" customWidth="1"/>
    <col min="10948" max="10948" width="40.140625" style="223" customWidth="1"/>
    <col min="10949" max="10949" width="1.5703125" style="223" customWidth="1"/>
    <col min="10950" max="10950" width="9.5703125" style="223" customWidth="1"/>
    <col min="10951" max="10951" width="11.85546875" style="223" customWidth="1"/>
    <col min="10952" max="10952" width="10.42578125" style="223" customWidth="1"/>
    <col min="10953" max="10953" width="10.28515625" style="223" customWidth="1"/>
    <col min="10954" max="10954" width="10.85546875" style="223" customWidth="1"/>
    <col min="10955" max="10955" width="9.140625" style="223" customWidth="1"/>
    <col min="10956" max="10956" width="8.7109375" style="223" customWidth="1"/>
    <col min="10957" max="10957" width="13.5703125" style="223" customWidth="1"/>
    <col min="10958" max="10958" width="12.28515625" style="223" customWidth="1"/>
    <col min="10959" max="10959" width="0.85546875" style="223" customWidth="1"/>
    <col min="10960" max="10960" width="14" style="223" customWidth="1"/>
    <col min="10961" max="10961" width="15.5703125" style="223" bestFit="1" customWidth="1"/>
    <col min="10962" max="10962" width="13.85546875" style="223" bestFit="1" customWidth="1"/>
    <col min="10963" max="10963" width="13.140625" style="223" bestFit="1" customWidth="1"/>
    <col min="10964" max="10964" width="9" style="223" customWidth="1"/>
    <col min="10965" max="10965" width="13.140625" style="223" bestFit="1" customWidth="1"/>
    <col min="10966" max="10966" width="8.140625" style="223"/>
    <col min="10967" max="10967" width="5.7109375" style="223" bestFit="1" customWidth="1"/>
    <col min="10968" max="10968" width="24.5703125" style="223" bestFit="1" customWidth="1"/>
    <col min="10969" max="10969" width="13.85546875" style="223" bestFit="1" customWidth="1"/>
    <col min="10970" max="10970" width="13.5703125" style="223" bestFit="1" customWidth="1"/>
    <col min="10971" max="10971" width="8.140625" style="223" customWidth="1"/>
    <col min="10972" max="11202" width="8.140625" style="223"/>
    <col min="11203" max="11203" width="5.85546875" style="223" customWidth="1"/>
    <col min="11204" max="11204" width="40.140625" style="223" customWidth="1"/>
    <col min="11205" max="11205" width="1.5703125" style="223" customWidth="1"/>
    <col min="11206" max="11206" width="9.5703125" style="223" customWidth="1"/>
    <col min="11207" max="11207" width="11.85546875" style="223" customWidth="1"/>
    <col min="11208" max="11208" width="10.42578125" style="223" customWidth="1"/>
    <col min="11209" max="11209" width="10.28515625" style="223" customWidth="1"/>
    <col min="11210" max="11210" width="10.85546875" style="223" customWidth="1"/>
    <col min="11211" max="11211" width="9.140625" style="223" customWidth="1"/>
    <col min="11212" max="11212" width="8.7109375" style="223" customWidth="1"/>
    <col min="11213" max="11213" width="13.5703125" style="223" customWidth="1"/>
    <col min="11214" max="11214" width="12.28515625" style="223" customWidth="1"/>
    <col min="11215" max="11215" width="0.85546875" style="223" customWidth="1"/>
    <col min="11216" max="11216" width="14" style="223" customWidth="1"/>
    <col min="11217" max="11217" width="15.5703125" style="223" bestFit="1" customWidth="1"/>
    <col min="11218" max="11218" width="13.85546875" style="223" bestFit="1" customWidth="1"/>
    <col min="11219" max="11219" width="13.140625" style="223" bestFit="1" customWidth="1"/>
    <col min="11220" max="11220" width="9" style="223" customWidth="1"/>
    <col min="11221" max="11221" width="13.140625" style="223" bestFit="1" customWidth="1"/>
    <col min="11222" max="11222" width="8.140625" style="223"/>
    <col min="11223" max="11223" width="5.7109375" style="223" bestFit="1" customWidth="1"/>
    <col min="11224" max="11224" width="24.5703125" style="223" bestFit="1" customWidth="1"/>
    <col min="11225" max="11225" width="13.85546875" style="223" bestFit="1" customWidth="1"/>
    <col min="11226" max="11226" width="13.5703125" style="223" bestFit="1" customWidth="1"/>
    <col min="11227" max="11227" width="8.140625" style="223" customWidth="1"/>
    <col min="11228" max="11458" width="8.140625" style="223"/>
    <col min="11459" max="11459" width="5.85546875" style="223" customWidth="1"/>
    <col min="11460" max="11460" width="40.140625" style="223" customWidth="1"/>
    <col min="11461" max="11461" width="1.5703125" style="223" customWidth="1"/>
    <col min="11462" max="11462" width="9.5703125" style="223" customWidth="1"/>
    <col min="11463" max="11463" width="11.85546875" style="223" customWidth="1"/>
    <col min="11464" max="11464" width="10.42578125" style="223" customWidth="1"/>
    <col min="11465" max="11465" width="10.28515625" style="223" customWidth="1"/>
    <col min="11466" max="11466" width="10.85546875" style="223" customWidth="1"/>
    <col min="11467" max="11467" width="9.140625" style="223" customWidth="1"/>
    <col min="11468" max="11468" width="8.7109375" style="223" customWidth="1"/>
    <col min="11469" max="11469" width="13.5703125" style="223" customWidth="1"/>
    <col min="11470" max="11470" width="12.28515625" style="223" customWidth="1"/>
    <col min="11471" max="11471" width="0.85546875" style="223" customWidth="1"/>
    <col min="11472" max="11472" width="14" style="223" customWidth="1"/>
    <col min="11473" max="11473" width="15.5703125" style="223" bestFit="1" customWidth="1"/>
    <col min="11474" max="11474" width="13.85546875" style="223" bestFit="1" customWidth="1"/>
    <col min="11475" max="11475" width="13.140625" style="223" bestFit="1" customWidth="1"/>
    <col min="11476" max="11476" width="9" style="223" customWidth="1"/>
    <col min="11477" max="11477" width="13.140625" style="223" bestFit="1" customWidth="1"/>
    <col min="11478" max="11478" width="8.140625" style="223"/>
    <col min="11479" max="11479" width="5.7109375" style="223" bestFit="1" customWidth="1"/>
    <col min="11480" max="11480" width="24.5703125" style="223" bestFit="1" customWidth="1"/>
    <col min="11481" max="11481" width="13.85546875" style="223" bestFit="1" customWidth="1"/>
    <col min="11482" max="11482" width="13.5703125" style="223" bestFit="1" customWidth="1"/>
    <col min="11483" max="11483" width="8.140625" style="223" customWidth="1"/>
    <col min="11484" max="11714" width="8.140625" style="223"/>
    <col min="11715" max="11715" width="5.85546875" style="223" customWidth="1"/>
    <col min="11716" max="11716" width="40.140625" style="223" customWidth="1"/>
    <col min="11717" max="11717" width="1.5703125" style="223" customWidth="1"/>
    <col min="11718" max="11718" width="9.5703125" style="223" customWidth="1"/>
    <col min="11719" max="11719" width="11.85546875" style="223" customWidth="1"/>
    <col min="11720" max="11720" width="10.42578125" style="223" customWidth="1"/>
    <col min="11721" max="11721" width="10.28515625" style="223" customWidth="1"/>
    <col min="11722" max="11722" width="10.85546875" style="223" customWidth="1"/>
    <col min="11723" max="11723" width="9.140625" style="223" customWidth="1"/>
    <col min="11724" max="11724" width="8.7109375" style="223" customWidth="1"/>
    <col min="11725" max="11725" width="13.5703125" style="223" customWidth="1"/>
    <col min="11726" max="11726" width="12.28515625" style="223" customWidth="1"/>
    <col min="11727" max="11727" width="0.85546875" style="223" customWidth="1"/>
    <col min="11728" max="11728" width="14" style="223" customWidth="1"/>
    <col min="11729" max="11729" width="15.5703125" style="223" bestFit="1" customWidth="1"/>
    <col min="11730" max="11730" width="13.85546875" style="223" bestFit="1" customWidth="1"/>
    <col min="11731" max="11731" width="13.140625" style="223" bestFit="1" customWidth="1"/>
    <col min="11732" max="11732" width="9" style="223" customWidth="1"/>
    <col min="11733" max="11733" width="13.140625" style="223" bestFit="1" customWidth="1"/>
    <col min="11734" max="11734" width="8.140625" style="223"/>
    <col min="11735" max="11735" width="5.7109375" style="223" bestFit="1" customWidth="1"/>
    <col min="11736" max="11736" width="24.5703125" style="223" bestFit="1" customWidth="1"/>
    <col min="11737" max="11737" width="13.85546875" style="223" bestFit="1" customWidth="1"/>
    <col min="11738" max="11738" width="13.5703125" style="223" bestFit="1" customWidth="1"/>
    <col min="11739" max="11739" width="8.140625" style="223" customWidth="1"/>
    <col min="11740" max="11970" width="8.140625" style="223"/>
    <col min="11971" max="11971" width="5.85546875" style="223" customWidth="1"/>
    <col min="11972" max="11972" width="40.140625" style="223" customWidth="1"/>
    <col min="11973" max="11973" width="1.5703125" style="223" customWidth="1"/>
    <col min="11974" max="11974" width="9.5703125" style="223" customWidth="1"/>
    <col min="11975" max="11975" width="11.85546875" style="223" customWidth="1"/>
    <col min="11976" max="11976" width="10.42578125" style="223" customWidth="1"/>
    <col min="11977" max="11977" width="10.28515625" style="223" customWidth="1"/>
    <col min="11978" max="11978" width="10.85546875" style="223" customWidth="1"/>
    <col min="11979" max="11979" width="9.140625" style="223" customWidth="1"/>
    <col min="11980" max="11980" width="8.7109375" style="223" customWidth="1"/>
    <col min="11981" max="11981" width="13.5703125" style="223" customWidth="1"/>
    <col min="11982" max="11982" width="12.28515625" style="223" customWidth="1"/>
    <col min="11983" max="11983" width="0.85546875" style="223" customWidth="1"/>
    <col min="11984" max="11984" width="14" style="223" customWidth="1"/>
    <col min="11985" max="11985" width="15.5703125" style="223" bestFit="1" customWidth="1"/>
    <col min="11986" max="11986" width="13.85546875" style="223" bestFit="1" customWidth="1"/>
    <col min="11987" max="11987" width="13.140625" style="223" bestFit="1" customWidth="1"/>
    <col min="11988" max="11988" width="9" style="223" customWidth="1"/>
    <col min="11989" max="11989" width="13.140625" style="223" bestFit="1" customWidth="1"/>
    <col min="11990" max="11990" width="8.140625" style="223"/>
    <col min="11991" max="11991" width="5.7109375" style="223" bestFit="1" customWidth="1"/>
    <col min="11992" max="11992" width="24.5703125" style="223" bestFit="1" customWidth="1"/>
    <col min="11993" max="11993" width="13.85546875" style="223" bestFit="1" customWidth="1"/>
    <col min="11994" max="11994" width="13.5703125" style="223" bestFit="1" customWidth="1"/>
    <col min="11995" max="11995" width="8.140625" style="223" customWidth="1"/>
    <col min="11996" max="12226" width="8.140625" style="223"/>
    <col min="12227" max="12227" width="5.85546875" style="223" customWidth="1"/>
    <col min="12228" max="12228" width="40.140625" style="223" customWidth="1"/>
    <col min="12229" max="12229" width="1.5703125" style="223" customWidth="1"/>
    <col min="12230" max="12230" width="9.5703125" style="223" customWidth="1"/>
    <col min="12231" max="12231" width="11.85546875" style="223" customWidth="1"/>
    <col min="12232" max="12232" width="10.42578125" style="223" customWidth="1"/>
    <col min="12233" max="12233" width="10.28515625" style="223" customWidth="1"/>
    <col min="12234" max="12234" width="10.85546875" style="223" customWidth="1"/>
    <col min="12235" max="12235" width="9.140625" style="223" customWidth="1"/>
    <col min="12236" max="12236" width="8.7109375" style="223" customWidth="1"/>
    <col min="12237" max="12237" width="13.5703125" style="223" customWidth="1"/>
    <col min="12238" max="12238" width="12.28515625" style="223" customWidth="1"/>
    <col min="12239" max="12239" width="0.85546875" style="223" customWidth="1"/>
    <col min="12240" max="12240" width="14" style="223" customWidth="1"/>
    <col min="12241" max="12241" width="15.5703125" style="223" bestFit="1" customWidth="1"/>
    <col min="12242" max="12242" width="13.85546875" style="223" bestFit="1" customWidth="1"/>
    <col min="12243" max="12243" width="13.140625" style="223" bestFit="1" customWidth="1"/>
    <col min="12244" max="12244" width="9" style="223" customWidth="1"/>
    <col min="12245" max="12245" width="13.140625" style="223" bestFit="1" customWidth="1"/>
    <col min="12246" max="12246" width="8.140625" style="223"/>
    <col min="12247" max="12247" width="5.7109375" style="223" bestFit="1" customWidth="1"/>
    <col min="12248" max="12248" width="24.5703125" style="223" bestFit="1" customWidth="1"/>
    <col min="12249" max="12249" width="13.85546875" style="223" bestFit="1" customWidth="1"/>
    <col min="12250" max="12250" width="13.5703125" style="223" bestFit="1" customWidth="1"/>
    <col min="12251" max="12251" width="8.140625" style="223" customWidth="1"/>
    <col min="12252" max="12482" width="8.140625" style="223"/>
    <col min="12483" max="12483" width="5.85546875" style="223" customWidth="1"/>
    <col min="12484" max="12484" width="40.140625" style="223" customWidth="1"/>
    <col min="12485" max="12485" width="1.5703125" style="223" customWidth="1"/>
    <col min="12486" max="12486" width="9.5703125" style="223" customWidth="1"/>
    <col min="12487" max="12487" width="11.85546875" style="223" customWidth="1"/>
    <col min="12488" max="12488" width="10.42578125" style="223" customWidth="1"/>
    <col min="12489" max="12489" width="10.28515625" style="223" customWidth="1"/>
    <col min="12490" max="12490" width="10.85546875" style="223" customWidth="1"/>
    <col min="12491" max="12491" width="9.140625" style="223" customWidth="1"/>
    <col min="12492" max="12492" width="8.7109375" style="223" customWidth="1"/>
    <col min="12493" max="12493" width="13.5703125" style="223" customWidth="1"/>
    <col min="12494" max="12494" width="12.28515625" style="223" customWidth="1"/>
    <col min="12495" max="12495" width="0.85546875" style="223" customWidth="1"/>
    <col min="12496" max="12496" width="14" style="223" customWidth="1"/>
    <col min="12497" max="12497" width="15.5703125" style="223" bestFit="1" customWidth="1"/>
    <col min="12498" max="12498" width="13.85546875" style="223" bestFit="1" customWidth="1"/>
    <col min="12499" max="12499" width="13.140625" style="223" bestFit="1" customWidth="1"/>
    <col min="12500" max="12500" width="9" style="223" customWidth="1"/>
    <col min="12501" max="12501" width="13.140625" style="223" bestFit="1" customWidth="1"/>
    <col min="12502" max="12502" width="8.140625" style="223"/>
    <col min="12503" max="12503" width="5.7109375" style="223" bestFit="1" customWidth="1"/>
    <col min="12504" max="12504" width="24.5703125" style="223" bestFit="1" customWidth="1"/>
    <col min="12505" max="12505" width="13.85546875" style="223" bestFit="1" customWidth="1"/>
    <col min="12506" max="12506" width="13.5703125" style="223" bestFit="1" customWidth="1"/>
    <col min="12507" max="12507" width="8.140625" style="223" customWidth="1"/>
    <col min="12508" max="12738" width="8.140625" style="223"/>
    <col min="12739" max="12739" width="5.85546875" style="223" customWidth="1"/>
    <col min="12740" max="12740" width="40.140625" style="223" customWidth="1"/>
    <col min="12741" max="12741" width="1.5703125" style="223" customWidth="1"/>
    <col min="12742" max="12742" width="9.5703125" style="223" customWidth="1"/>
    <col min="12743" max="12743" width="11.85546875" style="223" customWidth="1"/>
    <col min="12744" max="12744" width="10.42578125" style="223" customWidth="1"/>
    <col min="12745" max="12745" width="10.28515625" style="223" customWidth="1"/>
    <col min="12746" max="12746" width="10.85546875" style="223" customWidth="1"/>
    <col min="12747" max="12747" width="9.140625" style="223" customWidth="1"/>
    <col min="12748" max="12748" width="8.7109375" style="223" customWidth="1"/>
    <col min="12749" max="12749" width="13.5703125" style="223" customWidth="1"/>
    <col min="12750" max="12750" width="12.28515625" style="223" customWidth="1"/>
    <col min="12751" max="12751" width="0.85546875" style="223" customWidth="1"/>
    <col min="12752" max="12752" width="14" style="223" customWidth="1"/>
    <col min="12753" max="12753" width="15.5703125" style="223" bestFit="1" customWidth="1"/>
    <col min="12754" max="12754" width="13.85546875" style="223" bestFit="1" customWidth="1"/>
    <col min="12755" max="12755" width="13.140625" style="223" bestFit="1" customWidth="1"/>
    <col min="12756" max="12756" width="9" style="223" customWidth="1"/>
    <col min="12757" max="12757" width="13.140625" style="223" bestFit="1" customWidth="1"/>
    <col min="12758" max="12758" width="8.140625" style="223"/>
    <col min="12759" max="12759" width="5.7109375" style="223" bestFit="1" customWidth="1"/>
    <col min="12760" max="12760" width="24.5703125" style="223" bestFit="1" customWidth="1"/>
    <col min="12761" max="12761" width="13.85546875" style="223" bestFit="1" customWidth="1"/>
    <col min="12762" max="12762" width="13.5703125" style="223" bestFit="1" customWidth="1"/>
    <col min="12763" max="12763" width="8.140625" style="223" customWidth="1"/>
    <col min="12764" max="12994" width="8.140625" style="223"/>
    <col min="12995" max="12995" width="5.85546875" style="223" customWidth="1"/>
    <col min="12996" max="12996" width="40.140625" style="223" customWidth="1"/>
    <col min="12997" max="12997" width="1.5703125" style="223" customWidth="1"/>
    <col min="12998" max="12998" width="9.5703125" style="223" customWidth="1"/>
    <col min="12999" max="12999" width="11.85546875" style="223" customWidth="1"/>
    <col min="13000" max="13000" width="10.42578125" style="223" customWidth="1"/>
    <col min="13001" max="13001" width="10.28515625" style="223" customWidth="1"/>
    <col min="13002" max="13002" width="10.85546875" style="223" customWidth="1"/>
    <col min="13003" max="13003" width="9.140625" style="223" customWidth="1"/>
    <col min="13004" max="13004" width="8.7109375" style="223" customWidth="1"/>
    <col min="13005" max="13005" width="13.5703125" style="223" customWidth="1"/>
    <col min="13006" max="13006" width="12.28515625" style="223" customWidth="1"/>
    <col min="13007" max="13007" width="0.85546875" style="223" customWidth="1"/>
    <col min="13008" max="13008" width="14" style="223" customWidth="1"/>
    <col min="13009" max="13009" width="15.5703125" style="223" bestFit="1" customWidth="1"/>
    <col min="13010" max="13010" width="13.85546875" style="223" bestFit="1" customWidth="1"/>
    <col min="13011" max="13011" width="13.140625" style="223" bestFit="1" customWidth="1"/>
    <col min="13012" max="13012" width="9" style="223" customWidth="1"/>
    <col min="13013" max="13013" width="13.140625" style="223" bestFit="1" customWidth="1"/>
    <col min="13014" max="13014" width="8.140625" style="223"/>
    <col min="13015" max="13015" width="5.7109375" style="223" bestFit="1" customWidth="1"/>
    <col min="13016" max="13016" width="24.5703125" style="223" bestFit="1" customWidth="1"/>
    <col min="13017" max="13017" width="13.85546875" style="223" bestFit="1" customWidth="1"/>
    <col min="13018" max="13018" width="13.5703125" style="223" bestFit="1" customWidth="1"/>
    <col min="13019" max="13019" width="8.140625" style="223" customWidth="1"/>
    <col min="13020" max="13250" width="8.140625" style="223"/>
    <col min="13251" max="13251" width="5.85546875" style="223" customWidth="1"/>
    <col min="13252" max="13252" width="40.140625" style="223" customWidth="1"/>
    <col min="13253" max="13253" width="1.5703125" style="223" customWidth="1"/>
    <col min="13254" max="13254" width="9.5703125" style="223" customWidth="1"/>
    <col min="13255" max="13255" width="11.85546875" style="223" customWidth="1"/>
    <col min="13256" max="13256" width="10.42578125" style="223" customWidth="1"/>
    <col min="13257" max="13257" width="10.28515625" style="223" customWidth="1"/>
    <col min="13258" max="13258" width="10.85546875" style="223" customWidth="1"/>
    <col min="13259" max="13259" width="9.140625" style="223" customWidth="1"/>
    <col min="13260" max="13260" width="8.7109375" style="223" customWidth="1"/>
    <col min="13261" max="13261" width="13.5703125" style="223" customWidth="1"/>
    <col min="13262" max="13262" width="12.28515625" style="223" customWidth="1"/>
    <col min="13263" max="13263" width="0.85546875" style="223" customWidth="1"/>
    <col min="13264" max="13264" width="14" style="223" customWidth="1"/>
    <col min="13265" max="13265" width="15.5703125" style="223" bestFit="1" customWidth="1"/>
    <col min="13266" max="13266" width="13.85546875" style="223" bestFit="1" customWidth="1"/>
    <col min="13267" max="13267" width="13.140625" style="223" bestFit="1" customWidth="1"/>
    <col min="13268" max="13268" width="9" style="223" customWidth="1"/>
    <col min="13269" max="13269" width="13.140625" style="223" bestFit="1" customWidth="1"/>
    <col min="13270" max="13270" width="8.140625" style="223"/>
    <col min="13271" max="13271" width="5.7109375" style="223" bestFit="1" customWidth="1"/>
    <col min="13272" max="13272" width="24.5703125" style="223" bestFit="1" customWidth="1"/>
    <col min="13273" max="13273" width="13.85546875" style="223" bestFit="1" customWidth="1"/>
    <col min="13274" max="13274" width="13.5703125" style="223" bestFit="1" customWidth="1"/>
    <col min="13275" max="13275" width="8.140625" style="223" customWidth="1"/>
    <col min="13276" max="13506" width="8.140625" style="223"/>
    <col min="13507" max="13507" width="5.85546875" style="223" customWidth="1"/>
    <col min="13508" max="13508" width="40.140625" style="223" customWidth="1"/>
    <col min="13509" max="13509" width="1.5703125" style="223" customWidth="1"/>
    <col min="13510" max="13510" width="9.5703125" style="223" customWidth="1"/>
    <col min="13511" max="13511" width="11.85546875" style="223" customWidth="1"/>
    <col min="13512" max="13512" width="10.42578125" style="223" customWidth="1"/>
    <col min="13513" max="13513" width="10.28515625" style="223" customWidth="1"/>
    <col min="13514" max="13514" width="10.85546875" style="223" customWidth="1"/>
    <col min="13515" max="13515" width="9.140625" style="223" customWidth="1"/>
    <col min="13516" max="13516" width="8.7109375" style="223" customWidth="1"/>
    <col min="13517" max="13517" width="13.5703125" style="223" customWidth="1"/>
    <col min="13518" max="13518" width="12.28515625" style="223" customWidth="1"/>
    <col min="13519" max="13519" width="0.85546875" style="223" customWidth="1"/>
    <col min="13520" max="13520" width="14" style="223" customWidth="1"/>
    <col min="13521" max="13521" width="15.5703125" style="223" bestFit="1" customWidth="1"/>
    <col min="13522" max="13522" width="13.85546875" style="223" bestFit="1" customWidth="1"/>
    <col min="13523" max="13523" width="13.140625" style="223" bestFit="1" customWidth="1"/>
    <col min="13524" max="13524" width="9" style="223" customWidth="1"/>
    <col min="13525" max="13525" width="13.140625" style="223" bestFit="1" customWidth="1"/>
    <col min="13526" max="13526" width="8.140625" style="223"/>
    <col min="13527" max="13527" width="5.7109375" style="223" bestFit="1" customWidth="1"/>
    <col min="13528" max="13528" width="24.5703125" style="223" bestFit="1" customWidth="1"/>
    <col min="13529" max="13529" width="13.85546875" style="223" bestFit="1" customWidth="1"/>
    <col min="13530" max="13530" width="13.5703125" style="223" bestFit="1" customWidth="1"/>
    <col min="13531" max="13531" width="8.140625" style="223" customWidth="1"/>
    <col min="13532" max="13762" width="8.140625" style="223"/>
    <col min="13763" max="13763" width="5.85546875" style="223" customWidth="1"/>
    <col min="13764" max="13764" width="40.140625" style="223" customWidth="1"/>
    <col min="13765" max="13765" width="1.5703125" style="223" customWidth="1"/>
    <col min="13766" max="13766" width="9.5703125" style="223" customWidth="1"/>
    <col min="13767" max="13767" width="11.85546875" style="223" customWidth="1"/>
    <col min="13768" max="13768" width="10.42578125" style="223" customWidth="1"/>
    <col min="13769" max="13769" width="10.28515625" style="223" customWidth="1"/>
    <col min="13770" max="13770" width="10.85546875" style="223" customWidth="1"/>
    <col min="13771" max="13771" width="9.140625" style="223" customWidth="1"/>
    <col min="13772" max="13772" width="8.7109375" style="223" customWidth="1"/>
    <col min="13773" max="13773" width="13.5703125" style="223" customWidth="1"/>
    <col min="13774" max="13774" width="12.28515625" style="223" customWidth="1"/>
    <col min="13775" max="13775" width="0.85546875" style="223" customWidth="1"/>
    <col min="13776" max="13776" width="14" style="223" customWidth="1"/>
    <col min="13777" max="13777" width="15.5703125" style="223" bestFit="1" customWidth="1"/>
    <col min="13778" max="13778" width="13.85546875" style="223" bestFit="1" customWidth="1"/>
    <col min="13779" max="13779" width="13.140625" style="223" bestFit="1" customWidth="1"/>
    <col min="13780" max="13780" width="9" style="223" customWidth="1"/>
    <col min="13781" max="13781" width="13.140625" style="223" bestFit="1" customWidth="1"/>
    <col min="13782" max="13782" width="8.140625" style="223"/>
    <col min="13783" max="13783" width="5.7109375" style="223" bestFit="1" customWidth="1"/>
    <col min="13784" max="13784" width="24.5703125" style="223" bestFit="1" customWidth="1"/>
    <col min="13785" max="13785" width="13.85546875" style="223" bestFit="1" customWidth="1"/>
    <col min="13786" max="13786" width="13.5703125" style="223" bestFit="1" customWidth="1"/>
    <col min="13787" max="13787" width="8.140625" style="223" customWidth="1"/>
    <col min="13788" max="14018" width="8.140625" style="223"/>
    <col min="14019" max="14019" width="5.85546875" style="223" customWidth="1"/>
    <col min="14020" max="14020" width="40.140625" style="223" customWidth="1"/>
    <col min="14021" max="14021" width="1.5703125" style="223" customWidth="1"/>
    <col min="14022" max="14022" width="9.5703125" style="223" customWidth="1"/>
    <col min="14023" max="14023" width="11.85546875" style="223" customWidth="1"/>
    <col min="14024" max="14024" width="10.42578125" style="223" customWidth="1"/>
    <col min="14025" max="14025" width="10.28515625" style="223" customWidth="1"/>
    <col min="14026" max="14026" width="10.85546875" style="223" customWidth="1"/>
    <col min="14027" max="14027" width="9.140625" style="223" customWidth="1"/>
    <col min="14028" max="14028" width="8.7109375" style="223" customWidth="1"/>
    <col min="14029" max="14029" width="13.5703125" style="223" customWidth="1"/>
    <col min="14030" max="14030" width="12.28515625" style="223" customWidth="1"/>
    <col min="14031" max="14031" width="0.85546875" style="223" customWidth="1"/>
    <col min="14032" max="14032" width="14" style="223" customWidth="1"/>
    <col min="14033" max="14033" width="15.5703125" style="223" bestFit="1" customWidth="1"/>
    <col min="14034" max="14034" width="13.85546875" style="223" bestFit="1" customWidth="1"/>
    <col min="14035" max="14035" width="13.140625" style="223" bestFit="1" customWidth="1"/>
    <col min="14036" max="14036" width="9" style="223" customWidth="1"/>
    <col min="14037" max="14037" width="13.140625" style="223" bestFit="1" customWidth="1"/>
    <col min="14038" max="14038" width="8.140625" style="223"/>
    <col min="14039" max="14039" width="5.7109375" style="223" bestFit="1" customWidth="1"/>
    <col min="14040" max="14040" width="24.5703125" style="223" bestFit="1" customWidth="1"/>
    <col min="14041" max="14041" width="13.85546875" style="223" bestFit="1" customWidth="1"/>
    <col min="14042" max="14042" width="13.5703125" style="223" bestFit="1" customWidth="1"/>
    <col min="14043" max="14043" width="8.140625" style="223" customWidth="1"/>
    <col min="14044" max="14274" width="8.140625" style="223"/>
    <col min="14275" max="14275" width="5.85546875" style="223" customWidth="1"/>
    <col min="14276" max="14276" width="40.140625" style="223" customWidth="1"/>
    <col min="14277" max="14277" width="1.5703125" style="223" customWidth="1"/>
    <col min="14278" max="14278" width="9.5703125" style="223" customWidth="1"/>
    <col min="14279" max="14279" width="11.85546875" style="223" customWidth="1"/>
    <col min="14280" max="14280" width="10.42578125" style="223" customWidth="1"/>
    <col min="14281" max="14281" width="10.28515625" style="223" customWidth="1"/>
    <col min="14282" max="14282" width="10.85546875" style="223" customWidth="1"/>
    <col min="14283" max="14283" width="9.140625" style="223" customWidth="1"/>
    <col min="14284" max="14284" width="8.7109375" style="223" customWidth="1"/>
    <col min="14285" max="14285" width="13.5703125" style="223" customWidth="1"/>
    <col min="14286" max="14286" width="12.28515625" style="223" customWidth="1"/>
    <col min="14287" max="14287" width="0.85546875" style="223" customWidth="1"/>
    <col min="14288" max="14288" width="14" style="223" customWidth="1"/>
    <col min="14289" max="14289" width="15.5703125" style="223" bestFit="1" customWidth="1"/>
    <col min="14290" max="14290" width="13.85546875" style="223" bestFit="1" customWidth="1"/>
    <col min="14291" max="14291" width="13.140625" style="223" bestFit="1" customWidth="1"/>
    <col min="14292" max="14292" width="9" style="223" customWidth="1"/>
    <col min="14293" max="14293" width="13.140625" style="223" bestFit="1" customWidth="1"/>
    <col min="14294" max="14294" width="8.140625" style="223"/>
    <col min="14295" max="14295" width="5.7109375" style="223" bestFit="1" customWidth="1"/>
    <col min="14296" max="14296" width="24.5703125" style="223" bestFit="1" customWidth="1"/>
    <col min="14297" max="14297" width="13.85546875" style="223" bestFit="1" customWidth="1"/>
    <col min="14298" max="14298" width="13.5703125" style="223" bestFit="1" customWidth="1"/>
    <col min="14299" max="14299" width="8.140625" style="223" customWidth="1"/>
    <col min="14300" max="14530" width="8.140625" style="223"/>
    <col min="14531" max="14531" width="5.85546875" style="223" customWidth="1"/>
    <col min="14532" max="14532" width="40.140625" style="223" customWidth="1"/>
    <col min="14533" max="14533" width="1.5703125" style="223" customWidth="1"/>
    <col min="14534" max="14534" width="9.5703125" style="223" customWidth="1"/>
    <col min="14535" max="14535" width="11.85546875" style="223" customWidth="1"/>
    <col min="14536" max="14536" width="10.42578125" style="223" customWidth="1"/>
    <col min="14537" max="14537" width="10.28515625" style="223" customWidth="1"/>
    <col min="14538" max="14538" width="10.85546875" style="223" customWidth="1"/>
    <col min="14539" max="14539" width="9.140625" style="223" customWidth="1"/>
    <col min="14540" max="14540" width="8.7109375" style="223" customWidth="1"/>
    <col min="14541" max="14541" width="13.5703125" style="223" customWidth="1"/>
    <col min="14542" max="14542" width="12.28515625" style="223" customWidth="1"/>
    <col min="14543" max="14543" width="0.85546875" style="223" customWidth="1"/>
    <col min="14544" max="14544" width="14" style="223" customWidth="1"/>
    <col min="14545" max="14545" width="15.5703125" style="223" bestFit="1" customWidth="1"/>
    <col min="14546" max="14546" width="13.85546875" style="223" bestFit="1" customWidth="1"/>
    <col min="14547" max="14547" width="13.140625" style="223" bestFit="1" customWidth="1"/>
    <col min="14548" max="14548" width="9" style="223" customWidth="1"/>
    <col min="14549" max="14549" width="13.140625" style="223" bestFit="1" customWidth="1"/>
    <col min="14550" max="14550" width="8.140625" style="223"/>
    <col min="14551" max="14551" width="5.7109375" style="223" bestFit="1" customWidth="1"/>
    <col min="14552" max="14552" width="24.5703125" style="223" bestFit="1" customWidth="1"/>
    <col min="14553" max="14553" width="13.85546875" style="223" bestFit="1" customWidth="1"/>
    <col min="14554" max="14554" width="13.5703125" style="223" bestFit="1" customWidth="1"/>
    <col min="14555" max="14555" width="8.140625" style="223" customWidth="1"/>
    <col min="14556" max="14786" width="8.140625" style="223"/>
    <col min="14787" max="14787" width="5.85546875" style="223" customWidth="1"/>
    <col min="14788" max="14788" width="40.140625" style="223" customWidth="1"/>
    <col min="14789" max="14789" width="1.5703125" style="223" customWidth="1"/>
    <col min="14790" max="14790" width="9.5703125" style="223" customWidth="1"/>
    <col min="14791" max="14791" width="11.85546875" style="223" customWidth="1"/>
    <col min="14792" max="14792" width="10.42578125" style="223" customWidth="1"/>
    <col min="14793" max="14793" width="10.28515625" style="223" customWidth="1"/>
    <col min="14794" max="14794" width="10.85546875" style="223" customWidth="1"/>
    <col min="14795" max="14795" width="9.140625" style="223" customWidth="1"/>
    <col min="14796" max="14796" width="8.7109375" style="223" customWidth="1"/>
    <col min="14797" max="14797" width="13.5703125" style="223" customWidth="1"/>
    <col min="14798" max="14798" width="12.28515625" style="223" customWidth="1"/>
    <col min="14799" max="14799" width="0.85546875" style="223" customWidth="1"/>
    <col min="14800" max="14800" width="14" style="223" customWidth="1"/>
    <col min="14801" max="14801" width="15.5703125" style="223" bestFit="1" customWidth="1"/>
    <col min="14802" max="14802" width="13.85546875" style="223" bestFit="1" customWidth="1"/>
    <col min="14803" max="14803" width="13.140625" style="223" bestFit="1" customWidth="1"/>
    <col min="14804" max="14804" width="9" style="223" customWidth="1"/>
    <col min="14805" max="14805" width="13.140625" style="223" bestFit="1" customWidth="1"/>
    <col min="14806" max="14806" width="8.140625" style="223"/>
    <col min="14807" max="14807" width="5.7109375" style="223" bestFit="1" customWidth="1"/>
    <col min="14808" max="14808" width="24.5703125" style="223" bestFit="1" customWidth="1"/>
    <col min="14809" max="14809" width="13.85546875" style="223" bestFit="1" customWidth="1"/>
    <col min="14810" max="14810" width="13.5703125" style="223" bestFit="1" customWidth="1"/>
    <col min="14811" max="14811" width="8.140625" style="223" customWidth="1"/>
    <col min="14812" max="15042" width="8.140625" style="223"/>
    <col min="15043" max="15043" width="5.85546875" style="223" customWidth="1"/>
    <col min="15044" max="15044" width="40.140625" style="223" customWidth="1"/>
    <col min="15045" max="15045" width="1.5703125" style="223" customWidth="1"/>
    <col min="15046" max="15046" width="9.5703125" style="223" customWidth="1"/>
    <col min="15047" max="15047" width="11.85546875" style="223" customWidth="1"/>
    <col min="15048" max="15048" width="10.42578125" style="223" customWidth="1"/>
    <col min="15049" max="15049" width="10.28515625" style="223" customWidth="1"/>
    <col min="15050" max="15050" width="10.85546875" style="223" customWidth="1"/>
    <col min="15051" max="15051" width="9.140625" style="223" customWidth="1"/>
    <col min="15052" max="15052" width="8.7109375" style="223" customWidth="1"/>
    <col min="15053" max="15053" width="13.5703125" style="223" customWidth="1"/>
    <col min="15054" max="15054" width="12.28515625" style="223" customWidth="1"/>
    <col min="15055" max="15055" width="0.85546875" style="223" customWidth="1"/>
    <col min="15056" max="15056" width="14" style="223" customWidth="1"/>
    <col min="15057" max="15057" width="15.5703125" style="223" bestFit="1" customWidth="1"/>
    <col min="15058" max="15058" width="13.85546875" style="223" bestFit="1" customWidth="1"/>
    <col min="15059" max="15059" width="13.140625" style="223" bestFit="1" customWidth="1"/>
    <col min="15060" max="15060" width="9" style="223" customWidth="1"/>
    <col min="15061" max="15061" width="13.140625" style="223" bestFit="1" customWidth="1"/>
    <col min="15062" max="15062" width="8.140625" style="223"/>
    <col min="15063" max="15063" width="5.7109375" style="223" bestFit="1" customWidth="1"/>
    <col min="15064" max="15064" width="24.5703125" style="223" bestFit="1" customWidth="1"/>
    <col min="15065" max="15065" width="13.85546875" style="223" bestFit="1" customWidth="1"/>
    <col min="15066" max="15066" width="13.5703125" style="223" bestFit="1" customWidth="1"/>
    <col min="15067" max="15067" width="8.140625" style="223" customWidth="1"/>
    <col min="15068" max="15298" width="8.140625" style="223"/>
    <col min="15299" max="15299" width="5.85546875" style="223" customWidth="1"/>
    <col min="15300" max="15300" width="40.140625" style="223" customWidth="1"/>
    <col min="15301" max="15301" width="1.5703125" style="223" customWidth="1"/>
    <col min="15302" max="15302" width="9.5703125" style="223" customWidth="1"/>
    <col min="15303" max="15303" width="11.85546875" style="223" customWidth="1"/>
    <col min="15304" max="15304" width="10.42578125" style="223" customWidth="1"/>
    <col min="15305" max="15305" width="10.28515625" style="223" customWidth="1"/>
    <col min="15306" max="15306" width="10.85546875" style="223" customWidth="1"/>
    <col min="15307" max="15307" width="9.140625" style="223" customWidth="1"/>
    <col min="15308" max="15308" width="8.7109375" style="223" customWidth="1"/>
    <col min="15309" max="15309" width="13.5703125" style="223" customWidth="1"/>
    <col min="15310" max="15310" width="12.28515625" style="223" customWidth="1"/>
    <col min="15311" max="15311" width="0.85546875" style="223" customWidth="1"/>
    <col min="15312" max="15312" width="14" style="223" customWidth="1"/>
    <col min="15313" max="15313" width="15.5703125" style="223" bestFit="1" customWidth="1"/>
    <col min="15314" max="15314" width="13.85546875" style="223" bestFit="1" customWidth="1"/>
    <col min="15315" max="15315" width="13.140625" style="223" bestFit="1" customWidth="1"/>
    <col min="15316" max="15316" width="9" style="223" customWidth="1"/>
    <col min="15317" max="15317" width="13.140625" style="223" bestFit="1" customWidth="1"/>
    <col min="15318" max="15318" width="8.140625" style="223"/>
    <col min="15319" max="15319" width="5.7109375" style="223" bestFit="1" customWidth="1"/>
    <col min="15320" max="15320" width="24.5703125" style="223" bestFit="1" customWidth="1"/>
    <col min="15321" max="15321" width="13.85546875" style="223" bestFit="1" customWidth="1"/>
    <col min="15322" max="15322" width="13.5703125" style="223" bestFit="1" customWidth="1"/>
    <col min="15323" max="15323" width="8.140625" style="223" customWidth="1"/>
    <col min="15324" max="15554" width="8.140625" style="223"/>
    <col min="15555" max="15555" width="5.85546875" style="223" customWidth="1"/>
    <col min="15556" max="15556" width="40.140625" style="223" customWidth="1"/>
    <col min="15557" max="15557" width="1.5703125" style="223" customWidth="1"/>
    <col min="15558" max="15558" width="9.5703125" style="223" customWidth="1"/>
    <col min="15559" max="15559" width="11.85546875" style="223" customWidth="1"/>
    <col min="15560" max="15560" width="10.42578125" style="223" customWidth="1"/>
    <col min="15561" max="15561" width="10.28515625" style="223" customWidth="1"/>
    <col min="15562" max="15562" width="10.85546875" style="223" customWidth="1"/>
    <col min="15563" max="15563" width="9.140625" style="223" customWidth="1"/>
    <col min="15564" max="15564" width="8.7109375" style="223" customWidth="1"/>
    <col min="15565" max="15565" width="13.5703125" style="223" customWidth="1"/>
    <col min="15566" max="15566" width="12.28515625" style="223" customWidth="1"/>
    <col min="15567" max="15567" width="0.85546875" style="223" customWidth="1"/>
    <col min="15568" max="15568" width="14" style="223" customWidth="1"/>
    <col min="15569" max="15569" width="15.5703125" style="223" bestFit="1" customWidth="1"/>
    <col min="15570" max="15570" width="13.85546875" style="223" bestFit="1" customWidth="1"/>
    <col min="15571" max="15571" width="13.140625" style="223" bestFit="1" customWidth="1"/>
    <col min="15572" max="15572" width="9" style="223" customWidth="1"/>
    <col min="15573" max="15573" width="13.140625" style="223" bestFit="1" customWidth="1"/>
    <col min="15574" max="15574" width="8.140625" style="223"/>
    <col min="15575" max="15575" width="5.7109375" style="223" bestFit="1" customWidth="1"/>
    <col min="15576" max="15576" width="24.5703125" style="223" bestFit="1" customWidth="1"/>
    <col min="15577" max="15577" width="13.85546875" style="223" bestFit="1" customWidth="1"/>
    <col min="15578" max="15578" width="13.5703125" style="223" bestFit="1" customWidth="1"/>
    <col min="15579" max="15579" width="8.140625" style="223" customWidth="1"/>
    <col min="15580" max="15810" width="8.140625" style="223"/>
    <col min="15811" max="15811" width="5.85546875" style="223" customWidth="1"/>
    <col min="15812" max="15812" width="40.140625" style="223" customWidth="1"/>
    <col min="15813" max="15813" width="1.5703125" style="223" customWidth="1"/>
    <col min="15814" max="15814" width="9.5703125" style="223" customWidth="1"/>
    <col min="15815" max="15815" width="11.85546875" style="223" customWidth="1"/>
    <col min="15816" max="15816" width="10.42578125" style="223" customWidth="1"/>
    <col min="15817" max="15817" width="10.28515625" style="223" customWidth="1"/>
    <col min="15818" max="15818" width="10.85546875" style="223" customWidth="1"/>
    <col min="15819" max="15819" width="9.140625" style="223" customWidth="1"/>
    <col min="15820" max="15820" width="8.7109375" style="223" customWidth="1"/>
    <col min="15821" max="15821" width="13.5703125" style="223" customWidth="1"/>
    <col min="15822" max="15822" width="12.28515625" style="223" customWidth="1"/>
    <col min="15823" max="15823" width="0.85546875" style="223" customWidth="1"/>
    <col min="15824" max="15824" width="14" style="223" customWidth="1"/>
    <col min="15825" max="15825" width="15.5703125" style="223" bestFit="1" customWidth="1"/>
    <col min="15826" max="15826" width="13.85546875" style="223" bestFit="1" customWidth="1"/>
    <col min="15827" max="15827" width="13.140625" style="223" bestFit="1" customWidth="1"/>
    <col min="15828" max="15828" width="9" style="223" customWidth="1"/>
    <col min="15829" max="15829" width="13.140625" style="223" bestFit="1" customWidth="1"/>
    <col min="15830" max="15830" width="8.140625" style="223"/>
    <col min="15831" max="15831" width="5.7109375" style="223" bestFit="1" customWidth="1"/>
    <col min="15832" max="15832" width="24.5703125" style="223" bestFit="1" customWidth="1"/>
    <col min="15833" max="15833" width="13.85546875" style="223" bestFit="1" customWidth="1"/>
    <col min="15834" max="15834" width="13.5703125" style="223" bestFit="1" customWidth="1"/>
    <col min="15835" max="15835" width="8.140625" style="223" customWidth="1"/>
    <col min="15836" max="16066" width="8.140625" style="223"/>
    <col min="16067" max="16067" width="5.85546875" style="223" customWidth="1"/>
    <col min="16068" max="16068" width="40.140625" style="223" customWidth="1"/>
    <col min="16069" max="16069" width="1.5703125" style="223" customWidth="1"/>
    <col min="16070" max="16070" width="9.5703125" style="223" customWidth="1"/>
    <col min="16071" max="16071" width="11.85546875" style="223" customWidth="1"/>
    <col min="16072" max="16072" width="10.42578125" style="223" customWidth="1"/>
    <col min="16073" max="16073" width="10.28515625" style="223" customWidth="1"/>
    <col min="16074" max="16074" width="10.85546875" style="223" customWidth="1"/>
    <col min="16075" max="16075" width="9.140625" style="223" customWidth="1"/>
    <col min="16076" max="16076" width="8.7109375" style="223" customWidth="1"/>
    <col min="16077" max="16077" width="13.5703125" style="223" customWidth="1"/>
    <col min="16078" max="16078" width="12.28515625" style="223" customWidth="1"/>
    <col min="16079" max="16079" width="0.85546875" style="223" customWidth="1"/>
    <col min="16080" max="16080" width="14" style="223" customWidth="1"/>
    <col min="16081" max="16081" width="15.5703125" style="223" bestFit="1" customWidth="1"/>
    <col min="16082" max="16082" width="13.85546875" style="223" bestFit="1" customWidth="1"/>
    <col min="16083" max="16083" width="13.140625" style="223" bestFit="1" customWidth="1"/>
    <col min="16084" max="16084" width="9" style="223" customWidth="1"/>
    <col min="16085" max="16085" width="13.140625" style="223" bestFit="1" customWidth="1"/>
    <col min="16086" max="16086" width="8.140625" style="223"/>
    <col min="16087" max="16087" width="5.7109375" style="223" bestFit="1" customWidth="1"/>
    <col min="16088" max="16088" width="24.5703125" style="223" bestFit="1" customWidth="1"/>
    <col min="16089" max="16089" width="13.85546875" style="223" bestFit="1" customWidth="1"/>
    <col min="16090" max="16090" width="13.5703125" style="223" bestFit="1" customWidth="1"/>
    <col min="16091" max="16091" width="8.140625" style="223" customWidth="1"/>
    <col min="16092" max="16384" width="8.140625" style="223"/>
  </cols>
  <sheetData>
    <row r="2" spans="1:17">
      <c r="A2" s="1572" t="s">
        <v>1894</v>
      </c>
      <c r="B2" s="1542" t="s">
        <v>1829</v>
      </c>
    </row>
    <row r="3" spans="1:17">
      <c r="B3" s="274" t="s">
        <v>1830</v>
      </c>
    </row>
    <row r="5" spans="1:17" s="1529" customFormat="1" ht="15" customHeight="1">
      <c r="B5" s="2017" t="s">
        <v>1045</v>
      </c>
      <c r="C5" s="2027" t="s">
        <v>1874</v>
      </c>
      <c r="D5" s="2027" t="s">
        <v>1823</v>
      </c>
      <c r="E5" s="2027" t="s">
        <v>1824</v>
      </c>
      <c r="F5" s="2027" t="s">
        <v>1825</v>
      </c>
      <c r="G5" s="2027" t="s">
        <v>1822</v>
      </c>
      <c r="H5" s="2046" t="s">
        <v>1821</v>
      </c>
      <c r="I5" s="2047"/>
      <c r="J5" s="2048"/>
      <c r="K5" s="2027" t="s">
        <v>1826</v>
      </c>
      <c r="L5" s="2027" t="s">
        <v>1827</v>
      </c>
      <c r="M5" s="2027" t="s">
        <v>1828</v>
      </c>
      <c r="P5" s="1530"/>
      <c r="Q5" s="1530"/>
    </row>
    <row r="6" spans="1:17" s="1529" customFormat="1" ht="15" customHeight="1">
      <c r="A6" s="1551"/>
      <c r="B6" s="2018"/>
      <c r="C6" s="2028"/>
      <c r="D6" s="2028"/>
      <c r="E6" s="2028"/>
      <c r="F6" s="2028"/>
      <c r="G6" s="2028"/>
      <c r="H6" s="2011" t="s">
        <v>1476</v>
      </c>
      <c r="I6" s="2011" t="s">
        <v>1477</v>
      </c>
      <c r="J6" s="2011" t="s">
        <v>1432</v>
      </c>
      <c r="K6" s="2028"/>
      <c r="L6" s="2028"/>
      <c r="M6" s="2028"/>
      <c r="P6" s="1530"/>
      <c r="Q6" s="1530"/>
    </row>
    <row r="7" spans="1:17" s="1529" customFormat="1" ht="15" customHeight="1">
      <c r="A7" s="1534"/>
      <c r="B7" s="2018"/>
      <c r="C7" s="2028"/>
      <c r="D7" s="2028"/>
      <c r="E7" s="2028"/>
      <c r="F7" s="2028"/>
      <c r="G7" s="2028"/>
      <c r="H7" s="2012"/>
      <c r="I7" s="2012"/>
      <c r="J7" s="2012"/>
      <c r="K7" s="2028"/>
      <c r="L7" s="2028"/>
      <c r="M7" s="2028"/>
      <c r="P7" s="1530"/>
      <c r="Q7" s="1530"/>
    </row>
    <row r="8" spans="1:17" s="1529" customFormat="1" ht="15" customHeight="1">
      <c r="B8" s="2018"/>
      <c r="C8" s="2028"/>
      <c r="D8" s="2028"/>
      <c r="E8" s="2028"/>
      <c r="F8" s="2028"/>
      <c r="G8" s="2028"/>
      <c r="H8" s="2012"/>
      <c r="I8" s="2012"/>
      <c r="J8" s="2012"/>
      <c r="K8" s="2028"/>
      <c r="L8" s="2028"/>
      <c r="M8" s="2028"/>
      <c r="P8" s="1530"/>
      <c r="Q8" s="1530"/>
    </row>
    <row r="9" spans="1:17" s="1529" customFormat="1" ht="15" customHeight="1">
      <c r="B9" s="2018"/>
      <c r="C9" s="2028"/>
      <c r="D9" s="2028"/>
      <c r="E9" s="2028"/>
      <c r="F9" s="2028"/>
      <c r="G9" s="2028"/>
      <c r="H9" s="2012"/>
      <c r="I9" s="2012"/>
      <c r="J9" s="2012"/>
      <c r="K9" s="2028"/>
      <c r="L9" s="2028"/>
      <c r="M9" s="2028"/>
      <c r="P9" s="1530"/>
      <c r="Q9" s="1530"/>
    </row>
    <row r="10" spans="1:17" s="1529" customFormat="1" ht="15" customHeight="1">
      <c r="B10" s="2018"/>
      <c r="C10" s="2028"/>
      <c r="D10" s="2028"/>
      <c r="E10" s="2028"/>
      <c r="F10" s="2028"/>
      <c r="G10" s="2028"/>
      <c r="H10" s="2012"/>
      <c r="I10" s="2012"/>
      <c r="J10" s="2012"/>
      <c r="K10" s="2028"/>
      <c r="L10" s="2028"/>
      <c r="M10" s="2028"/>
      <c r="P10" s="1530"/>
      <c r="Q10" s="1530"/>
    </row>
    <row r="11" spans="1:17" s="1529" customFormat="1" ht="15" customHeight="1">
      <c r="B11" s="2019"/>
      <c r="C11" s="2029"/>
      <c r="D11" s="2029"/>
      <c r="E11" s="2029"/>
      <c r="F11" s="2029"/>
      <c r="G11" s="2029"/>
      <c r="H11" s="2013"/>
      <c r="I11" s="2013"/>
      <c r="J11" s="2013"/>
      <c r="K11" s="2029"/>
      <c r="L11" s="2029"/>
      <c r="M11" s="2029"/>
      <c r="P11" s="1530"/>
      <c r="Q11" s="1530"/>
    </row>
    <row r="12" spans="1:17" s="1529" customFormat="1" ht="15" customHeight="1">
      <c r="B12" s="1578" t="s">
        <v>1831</v>
      </c>
      <c r="C12" s="1644"/>
      <c r="D12" s="1644"/>
      <c r="E12" s="1644"/>
      <c r="F12" s="1644"/>
      <c r="G12" s="1579"/>
      <c r="H12" s="1579"/>
      <c r="I12" s="1579"/>
      <c r="J12" s="1579"/>
      <c r="K12" s="1579"/>
      <c r="L12" s="1579"/>
      <c r="M12" s="1579"/>
      <c r="P12" s="1530"/>
      <c r="Q12" s="1530"/>
    </row>
    <row r="13" spans="1:17" s="1529" customFormat="1" ht="12" customHeight="1">
      <c r="B13" s="1683" t="s">
        <v>1875</v>
      </c>
      <c r="C13" s="1579">
        <v>0</v>
      </c>
      <c r="D13" s="1579">
        <v>73500</v>
      </c>
      <c r="E13" s="1579"/>
      <c r="F13" s="1579">
        <v>87000</v>
      </c>
      <c r="G13" s="1579">
        <f>C13+D13+E13-F13</f>
        <v>-13500</v>
      </c>
      <c r="H13" s="1579">
        <v>3067.7849999999999</v>
      </c>
      <c r="I13" s="1579">
        <v>2744.82</v>
      </c>
      <c r="J13" s="1579">
        <v>-322.96499999999997</v>
      </c>
      <c r="K13" s="1645">
        <f>I13/SOAL!$F$31</f>
        <v>3.2818309154397852E-4</v>
      </c>
      <c r="L13" s="1645">
        <f>I13/'1 - 4.2'!$G$136</f>
        <v>6.5481070497028313E-4</v>
      </c>
      <c r="M13" s="1579" t="e">
        <f>VLOOKUP(B13,[41]Sheet1!$C$7:$R$1048576,16,0)</f>
        <v>#N/A</v>
      </c>
      <c r="N13" s="1529">
        <v>-322965</v>
      </c>
      <c r="O13" s="1529">
        <f>N13/1000</f>
        <v>-322.96499999999997</v>
      </c>
      <c r="P13" s="1530" t="s">
        <v>1875</v>
      </c>
      <c r="Q13" s="1530"/>
    </row>
    <row r="14" spans="1:17" s="1529" customFormat="1" ht="12" customHeight="1">
      <c r="B14" s="1580"/>
      <c r="C14" s="1579"/>
      <c r="D14" s="1579"/>
      <c r="E14" s="1579"/>
      <c r="F14" s="1579"/>
      <c r="G14" s="1579"/>
      <c r="H14" s="1579"/>
      <c r="I14" s="1579"/>
      <c r="J14" s="1579"/>
      <c r="K14" s="1645"/>
      <c r="L14" s="1645"/>
      <c r="M14" s="1579"/>
      <c r="P14" s="1530" t="s">
        <v>764</v>
      </c>
      <c r="Q14" s="1530"/>
    </row>
    <row r="15" spans="1:17" s="1529" customFormat="1" ht="12" customHeight="1">
      <c r="B15" s="1646" t="s">
        <v>1867</v>
      </c>
      <c r="C15" s="1647"/>
      <c r="D15" s="1647"/>
      <c r="E15" s="1647"/>
      <c r="F15" s="1647"/>
      <c r="G15" s="1647"/>
      <c r="H15" s="1579"/>
      <c r="I15" s="1579"/>
      <c r="J15" s="1579"/>
      <c r="K15" s="1579"/>
      <c r="L15" s="1579"/>
      <c r="M15" s="1579"/>
      <c r="O15" s="1529">
        <f t="shared" ref="O15:O75" si="0">N15/1000</f>
        <v>0</v>
      </c>
      <c r="P15" s="1530" t="s">
        <v>1867</v>
      </c>
      <c r="Q15" s="1530"/>
    </row>
    <row r="16" spans="1:17" s="1529" customFormat="1" ht="12" customHeight="1">
      <c r="B16" s="1683" t="s">
        <v>1879</v>
      </c>
      <c r="C16" s="1579">
        <v>0</v>
      </c>
      <c r="D16" s="1579">
        <v>14000</v>
      </c>
      <c r="E16" s="1579"/>
      <c r="F16" s="1579">
        <v>38500</v>
      </c>
      <c r="G16" s="1579">
        <f>C16+D16+E16-F16</f>
        <v>-24500</v>
      </c>
      <c r="H16" s="1579">
        <v>1810.05</v>
      </c>
      <c r="I16" s="1579">
        <v>1640.52</v>
      </c>
      <c r="J16" s="1579">
        <v>-169.53</v>
      </c>
      <c r="K16" s="1645">
        <f>I16/SOAL!$F$31</f>
        <v>1.9614798979158111E-4</v>
      </c>
      <c r="L16" s="1645">
        <f>I16/'1 - 4.2'!$G$136</f>
        <v>3.9136630369854811E-4</v>
      </c>
      <c r="M16" s="1579" t="e">
        <f>VLOOKUP(B16,[41]Sheet1!$C$7:$R$1048576,16,0)</f>
        <v>#N/A</v>
      </c>
      <c r="N16" s="1529">
        <v>-169530</v>
      </c>
      <c r="O16" s="1529">
        <f t="shared" si="0"/>
        <v>-169.53</v>
      </c>
      <c r="P16" s="1530" t="s">
        <v>1879</v>
      </c>
      <c r="Q16" s="1530"/>
    </row>
    <row r="17" spans="1:17" s="1529" customFormat="1" ht="12" customHeight="1">
      <c r="B17" s="1580"/>
      <c r="C17" s="1579"/>
      <c r="D17" s="1579"/>
      <c r="E17" s="1579"/>
      <c r="F17" s="1579"/>
      <c r="G17" s="1579"/>
      <c r="H17" s="1579"/>
      <c r="I17" s="1579"/>
      <c r="J17" s="1579"/>
      <c r="K17" s="1645"/>
      <c r="L17" s="1645"/>
      <c r="M17" s="1579"/>
      <c r="P17" s="1530" t="s">
        <v>764</v>
      </c>
      <c r="Q17" s="1530"/>
    </row>
    <row r="18" spans="1:17" ht="12" customHeight="1">
      <c r="B18" s="1578" t="s">
        <v>1833</v>
      </c>
      <c r="D18" s="1644"/>
      <c r="E18" s="1644"/>
      <c r="F18" s="1644"/>
      <c r="O18" s="1529">
        <f t="shared" si="0"/>
        <v>0</v>
      </c>
      <c r="P18" s="1530" t="s">
        <v>1833</v>
      </c>
    </row>
    <row r="19" spans="1:17" ht="12" customHeight="1">
      <c r="A19" s="1552"/>
      <c r="B19" s="1683" t="s">
        <v>1918</v>
      </c>
      <c r="C19" s="1579">
        <v>0</v>
      </c>
      <c r="D19" s="1579">
        <v>1467500</v>
      </c>
      <c r="F19" s="1579">
        <v>2192000</v>
      </c>
      <c r="G19" s="1579">
        <f>C19+D19+E19-F19</f>
        <v>-724500</v>
      </c>
      <c r="H19" s="1579">
        <v>27094.127</v>
      </c>
      <c r="I19" s="1579">
        <v>24154.83</v>
      </c>
      <c r="J19" s="1579">
        <v>-2939.297</v>
      </c>
      <c r="K19" s="1645">
        <f>I19/SOAL!$F$31</f>
        <v>2.8880607052991598E-3</v>
      </c>
      <c r="L19" s="1645">
        <f>I19/'1 - 4.2'!$G$136</f>
        <v>5.7624329685507045E-3</v>
      </c>
      <c r="M19" s="1579" t="e">
        <f>VLOOKUP(B19,[41]Sheet1!$C$7:$R$1048576,16,0)</f>
        <v>#N/A</v>
      </c>
      <c r="N19" s="223">
        <v>-2939297</v>
      </c>
      <c r="O19" s="1529">
        <f t="shared" si="0"/>
        <v>-2939.297</v>
      </c>
      <c r="P19" s="1530" t="s">
        <v>1918</v>
      </c>
    </row>
    <row r="20" spans="1:17" ht="12" customHeight="1">
      <c r="A20" s="1552"/>
      <c r="K20" s="1645"/>
      <c r="L20" s="1645"/>
      <c r="O20" s="1529"/>
      <c r="P20" s="1530" t="s">
        <v>764</v>
      </c>
    </row>
    <row r="21" spans="1:17" ht="12" customHeight="1">
      <c r="A21" s="1552"/>
      <c r="B21" s="1578" t="s">
        <v>1835</v>
      </c>
      <c r="D21" s="1644"/>
      <c r="E21" s="1644"/>
      <c r="F21" s="1644"/>
      <c r="O21" s="1529">
        <f t="shared" si="0"/>
        <v>0</v>
      </c>
      <c r="P21" s="1530" t="s">
        <v>1835</v>
      </c>
    </row>
    <row r="22" spans="1:17" ht="12" customHeight="1">
      <c r="B22" s="1683" t="s">
        <v>1919</v>
      </c>
      <c r="C22" s="1579">
        <v>0</v>
      </c>
      <c r="D22" s="1579">
        <v>1019000</v>
      </c>
      <c r="F22" s="1579">
        <v>1164500</v>
      </c>
      <c r="G22" s="1579">
        <f>C22+D22+E22-F22</f>
        <v>-145500</v>
      </c>
      <c r="H22" s="1579">
        <v>16163.726000000001</v>
      </c>
      <c r="I22" s="1579">
        <v>15123.27</v>
      </c>
      <c r="J22" s="1579">
        <v>-1040.4559999999999</v>
      </c>
      <c r="K22" s="1645">
        <f>I22/SOAL!$F$31</f>
        <v>1.8082065501032142E-3</v>
      </c>
      <c r="L22" s="1645">
        <f>I22/'1 - 4.2'!$G$136</f>
        <v>3.6078428057781326E-3</v>
      </c>
      <c r="M22" s="1579" t="e">
        <f>VLOOKUP(B22,[41]Sheet1!$C$7:$R$1048576,16,0)</f>
        <v>#N/A</v>
      </c>
      <c r="N22" s="223">
        <v>-1040456</v>
      </c>
      <c r="O22" s="1529">
        <f t="shared" si="0"/>
        <v>-1040.4559999999999</v>
      </c>
      <c r="P22" s="1530" t="s">
        <v>1919</v>
      </c>
    </row>
    <row r="23" spans="1:17" ht="12" customHeight="1">
      <c r="A23" s="1533"/>
      <c r="B23" s="1683" t="s">
        <v>1920</v>
      </c>
      <c r="C23" s="1579">
        <v>0</v>
      </c>
      <c r="D23" s="1579">
        <v>1097000</v>
      </c>
      <c r="F23" s="1579">
        <v>1255500</v>
      </c>
      <c r="G23" s="1579">
        <f>C23+D23+E23-F23</f>
        <v>-158500</v>
      </c>
      <c r="H23" s="1579">
        <v>3333.4140000000002</v>
      </c>
      <c r="I23" s="1579">
        <v>3166.83</v>
      </c>
      <c r="J23" s="1579">
        <v>-166.584</v>
      </c>
      <c r="K23" s="1645">
        <f>I23/SOAL!$F$31</f>
        <v>3.7864051551439345E-4</v>
      </c>
      <c r="L23" s="1645">
        <f>I23/'1 - 4.2'!$G$136</f>
        <v>7.5548640159319792E-4</v>
      </c>
      <c r="M23" s="1579" t="e">
        <f>VLOOKUP(B23,[41]Sheet1!$C$7:$R$1048576,16,0)</f>
        <v>#N/A</v>
      </c>
      <c r="N23" s="223">
        <v>-166584</v>
      </c>
      <c r="O23" s="1529">
        <f t="shared" si="0"/>
        <v>-166.584</v>
      </c>
      <c r="P23" s="1530" t="s">
        <v>1920</v>
      </c>
    </row>
    <row r="24" spans="1:17" ht="12" customHeight="1">
      <c r="A24" s="1533"/>
      <c r="B24" s="1683" t="s">
        <v>1921</v>
      </c>
      <c r="C24" s="1579">
        <v>0</v>
      </c>
      <c r="D24" s="1579">
        <v>164000</v>
      </c>
      <c r="F24" s="1579">
        <v>183500</v>
      </c>
      <c r="G24" s="1579">
        <f t="shared" ref="G24:G30" si="1">C24+D24+E24-F24</f>
        <v>-19500</v>
      </c>
      <c r="H24" s="1579">
        <v>12886.78</v>
      </c>
      <c r="I24" s="1579">
        <v>12714.78</v>
      </c>
      <c r="J24" s="1579">
        <v>-172</v>
      </c>
      <c r="K24" s="1645">
        <f>I24/SOAL!$F$31</f>
        <v>1.5202365942763268E-3</v>
      </c>
      <c r="L24" s="1645">
        <f>I24/'1 - 4.2'!$G$136</f>
        <v>3.0332677754250029E-3</v>
      </c>
      <c r="M24" s="1579" t="e">
        <f>VLOOKUP(B24,[41]Sheet1!$C$7:$R$1048576,16,0)</f>
        <v>#N/A</v>
      </c>
      <c r="N24" s="223">
        <v>-172000</v>
      </c>
      <c r="O24" s="1529">
        <f t="shared" si="0"/>
        <v>-172</v>
      </c>
      <c r="P24" s="1530" t="s">
        <v>1921</v>
      </c>
    </row>
    <row r="25" spans="1:17" s="1011" customFormat="1" ht="12" customHeight="1">
      <c r="A25" s="1538"/>
      <c r="B25" s="1683" t="s">
        <v>1922</v>
      </c>
      <c r="C25" s="1579">
        <v>0</v>
      </c>
      <c r="D25" s="1579">
        <v>1093000</v>
      </c>
      <c r="E25" s="1579"/>
      <c r="F25" s="1579">
        <v>1556000</v>
      </c>
      <c r="G25" s="1579">
        <f t="shared" si="1"/>
        <v>-463000</v>
      </c>
      <c r="H25" s="1579">
        <v>18037.184000000001</v>
      </c>
      <c r="I25" s="1579">
        <v>16654.11</v>
      </c>
      <c r="J25" s="1579">
        <v>-1383.0740000000001</v>
      </c>
      <c r="K25" s="1645">
        <f>I25/SOAL!$F$31</f>
        <v>1.9912407031111288E-3</v>
      </c>
      <c r="L25" s="1645">
        <f>I25/'1 - 4.2'!$G$136</f>
        <v>3.9730435911107618E-3</v>
      </c>
      <c r="M25" s="1579" t="e">
        <f>VLOOKUP(B25,[41]Sheet1!$C$7:$R$1048576,16,0)</f>
        <v>#N/A</v>
      </c>
      <c r="N25" s="1011">
        <v>-1383074</v>
      </c>
      <c r="O25" s="1529">
        <f t="shared" si="0"/>
        <v>-1383.0740000000001</v>
      </c>
      <c r="P25" s="1530" t="s">
        <v>1922</v>
      </c>
    </row>
    <row r="26" spans="1:17" ht="12" customHeight="1">
      <c r="A26" s="1533"/>
      <c r="B26" s="1683" t="s">
        <v>1923</v>
      </c>
      <c r="C26" s="1579">
        <v>0</v>
      </c>
      <c r="D26" s="1579">
        <v>53000</v>
      </c>
      <c r="F26" s="1579">
        <v>61500</v>
      </c>
      <c r="G26" s="1579">
        <f t="shared" si="1"/>
        <v>-8500</v>
      </c>
      <c r="H26" s="1579">
        <v>806.5</v>
      </c>
      <c r="I26" s="1579">
        <v>778.34500000000003</v>
      </c>
      <c r="J26" s="1579">
        <v>-28.155000000000001</v>
      </c>
      <c r="K26" s="1645">
        <f>I26/SOAL!$F$31</f>
        <v>9.3062447952068977E-5</v>
      </c>
      <c r="L26" s="1645">
        <f>I26/'1 - 4.2'!$G$136</f>
        <v>1.8568381101860779E-4</v>
      </c>
      <c r="M26" s="1579" t="e">
        <f>VLOOKUP(B26,[41]Sheet1!$C$7:$R$1048576,16,0)</f>
        <v>#N/A</v>
      </c>
      <c r="N26" s="223">
        <v>-28155</v>
      </c>
      <c r="O26" s="1529">
        <f t="shared" si="0"/>
        <v>-28.155000000000001</v>
      </c>
      <c r="P26" s="1530" t="s">
        <v>1923</v>
      </c>
    </row>
    <row r="27" spans="1:17" ht="12" customHeight="1">
      <c r="A27" s="1533"/>
      <c r="K27" s="1645"/>
      <c r="L27" s="1645"/>
      <c r="O27" s="1529"/>
      <c r="P27" s="1530" t="s">
        <v>764</v>
      </c>
    </row>
    <row r="28" spans="1:17" ht="12" customHeight="1">
      <c r="A28" s="1533"/>
      <c r="B28" s="1578" t="s">
        <v>1841</v>
      </c>
      <c r="D28" s="1644"/>
      <c r="E28" s="1644"/>
      <c r="F28" s="1644"/>
      <c r="O28" s="1529">
        <f t="shared" si="0"/>
        <v>0</v>
      </c>
      <c r="P28" s="1530" t="s">
        <v>1841</v>
      </c>
    </row>
    <row r="29" spans="1:17" ht="12" customHeight="1">
      <c r="A29" s="1533"/>
      <c r="B29" s="1683" t="s">
        <v>1924</v>
      </c>
      <c r="C29" s="1579">
        <v>0</v>
      </c>
      <c r="D29" s="1579">
        <v>384500</v>
      </c>
      <c r="F29" s="1579">
        <v>492000</v>
      </c>
      <c r="G29" s="1579">
        <f t="shared" si="1"/>
        <v>-107500</v>
      </c>
      <c r="H29" s="1579">
        <v>4782.9979999999996</v>
      </c>
      <c r="I29" s="1579">
        <v>4355.8999999999996</v>
      </c>
      <c r="J29" s="1579">
        <v>-427.09800000000001</v>
      </c>
      <c r="K29" s="1645">
        <f>I29/SOAL!$F$31</f>
        <v>5.2081110180500576E-4</v>
      </c>
      <c r="L29" s="1645">
        <f>I29/'1 - 4.2'!$G$136</f>
        <v>1.0391537331337049E-3</v>
      </c>
      <c r="M29" s="1579" t="e">
        <f>VLOOKUP(B29,[41]Sheet1!$C$7:$R$1048576,16,0)</f>
        <v>#N/A</v>
      </c>
      <c r="N29" s="223">
        <v>-427098</v>
      </c>
      <c r="O29" s="1529">
        <f t="shared" si="0"/>
        <v>-427.09800000000001</v>
      </c>
      <c r="P29" s="1530" t="s">
        <v>1924</v>
      </c>
    </row>
    <row r="30" spans="1:17" ht="12" customHeight="1">
      <c r="A30" s="1533"/>
      <c r="B30" s="1683" t="s">
        <v>1925</v>
      </c>
      <c r="C30" s="1579">
        <v>0</v>
      </c>
      <c r="D30" s="1579">
        <v>723000</v>
      </c>
      <c r="F30" s="1579">
        <v>725000</v>
      </c>
      <c r="G30" s="1579">
        <f t="shared" si="1"/>
        <v>-2000</v>
      </c>
      <c r="H30" s="1579">
        <v>27</v>
      </c>
      <c r="I30" s="1579">
        <v>24.04</v>
      </c>
      <c r="J30" s="1579">
        <v>-2.96</v>
      </c>
      <c r="K30" s="1645">
        <f>I30/SOAL!$F$31</f>
        <v>2.8743311112266902E-6</v>
      </c>
      <c r="L30" s="1645">
        <f>I30/'1 - 4.2'!$G$136</f>
        <v>5.7350388540908348E-6</v>
      </c>
      <c r="M30" s="1579" t="e">
        <f>VLOOKUP(B30,[41]Sheet1!$C$7:$R$1048576,16,0)</f>
        <v>#N/A</v>
      </c>
      <c r="N30" s="223">
        <v>-2960</v>
      </c>
      <c r="O30" s="1529">
        <f t="shared" si="0"/>
        <v>-2.96</v>
      </c>
      <c r="P30" s="1530" t="s">
        <v>1925</v>
      </c>
    </row>
    <row r="31" spans="1:17" ht="12" customHeight="1">
      <c r="A31" s="1533"/>
      <c r="H31" s="1579">
        <v>0</v>
      </c>
      <c r="I31" s="1579">
        <v>0</v>
      </c>
      <c r="J31" s="1579">
        <v>0</v>
      </c>
      <c r="O31" s="1529">
        <f t="shared" si="0"/>
        <v>0</v>
      </c>
      <c r="P31" s="1530" t="s">
        <v>764</v>
      </c>
    </row>
    <row r="32" spans="1:17" ht="12" customHeight="1">
      <c r="A32" s="1533"/>
      <c r="B32" s="1578" t="s">
        <v>1844</v>
      </c>
      <c r="D32" s="1644"/>
      <c r="E32" s="1644"/>
      <c r="F32" s="1644"/>
      <c r="O32" s="1529">
        <f t="shared" si="0"/>
        <v>0</v>
      </c>
      <c r="P32" s="1530" t="s">
        <v>1844</v>
      </c>
    </row>
    <row r="33" spans="1:17" ht="12" customHeight="1">
      <c r="A33" s="1533"/>
      <c r="B33" s="1683" t="s">
        <v>1926</v>
      </c>
      <c r="C33" s="1579">
        <v>0</v>
      </c>
      <c r="D33" s="1579">
        <v>366500</v>
      </c>
      <c r="F33" s="1579">
        <v>519500</v>
      </c>
      <c r="G33" s="1579">
        <f t="shared" ref="G33:G72" si="2">C33+D33+E33-F33</f>
        <v>-153000</v>
      </c>
      <c r="H33" s="1579">
        <v>7139.99</v>
      </c>
      <c r="I33" s="1579">
        <v>6744.24</v>
      </c>
      <c r="J33" s="1579">
        <v>-395.75</v>
      </c>
      <c r="K33" s="1645">
        <f>I33/SOAL!$F$31</f>
        <v>8.0637183251162611E-4</v>
      </c>
      <c r="L33" s="1645">
        <f>I33/'1 - 4.2'!$G$136</f>
        <v>1.6089217321677857E-3</v>
      </c>
      <c r="M33" s="1579" t="e">
        <f>VLOOKUP(B33,[41]Sheet1!$C$7:$R$1048576,16,0)</f>
        <v>#N/A</v>
      </c>
      <c r="N33" s="223">
        <v>-395750</v>
      </c>
      <c r="O33" s="1529">
        <f t="shared" si="0"/>
        <v>-395.75</v>
      </c>
      <c r="P33" s="1530" t="s">
        <v>1926</v>
      </c>
    </row>
    <row r="34" spans="1:17" ht="12" customHeight="1">
      <c r="A34" s="1533"/>
      <c r="B34" s="1683" t="s">
        <v>1927</v>
      </c>
      <c r="C34" s="1579">
        <v>0</v>
      </c>
      <c r="D34" s="1579">
        <v>146000</v>
      </c>
      <c r="F34" s="1579">
        <v>160500</v>
      </c>
      <c r="G34" s="1579">
        <f t="shared" si="2"/>
        <v>-14500</v>
      </c>
      <c r="H34" s="1579">
        <v>2303.4740000000002</v>
      </c>
      <c r="I34" s="1579">
        <v>2103.2249999999999</v>
      </c>
      <c r="J34" s="1579">
        <v>-200.249</v>
      </c>
      <c r="K34" s="1645">
        <f>I34/SOAL!$F$31</f>
        <v>2.5147109198875853E-4</v>
      </c>
      <c r="L34" s="1645">
        <f>I34/'1 - 4.2'!$G$136</f>
        <v>5.0175029508715461E-4</v>
      </c>
      <c r="M34" s="1579" t="e">
        <f>VLOOKUP(B34,[41]Sheet1!$C$7:$R$1048576,16,0)</f>
        <v>#N/A</v>
      </c>
      <c r="N34" s="223">
        <v>-200249</v>
      </c>
      <c r="O34" s="1529">
        <f t="shared" si="0"/>
        <v>-200.249</v>
      </c>
      <c r="P34" s="1530" t="s">
        <v>1927</v>
      </c>
    </row>
    <row r="35" spans="1:17" ht="12" customHeight="1">
      <c r="A35" s="1533"/>
      <c r="B35" s="1683" t="s">
        <v>1928</v>
      </c>
      <c r="C35" s="1579">
        <v>0</v>
      </c>
      <c r="D35" s="1579">
        <v>215000</v>
      </c>
      <c r="F35" s="1579">
        <v>258000</v>
      </c>
      <c r="G35" s="1579">
        <f t="shared" si="2"/>
        <v>-43000</v>
      </c>
      <c r="H35" s="1579">
        <v>3521.15</v>
      </c>
      <c r="I35" s="1579">
        <v>3330.35</v>
      </c>
      <c r="J35" s="1579">
        <v>-190.8</v>
      </c>
      <c r="K35" s="1645">
        <f>I35/SOAL!$F$31</f>
        <v>3.9819170616779562E-4</v>
      </c>
      <c r="L35" s="1645">
        <f>I35/'1 - 4.2'!$G$136</f>
        <v>7.9449611679373593E-4</v>
      </c>
      <c r="M35" s="1579" t="e">
        <f>VLOOKUP(B35,[41]Sheet1!$C$7:$R$1048576,16,0)</f>
        <v>#N/A</v>
      </c>
      <c r="N35" s="223">
        <v>-190800</v>
      </c>
      <c r="O35" s="1529">
        <f t="shared" si="0"/>
        <v>-190.8</v>
      </c>
      <c r="P35" s="1530" t="s">
        <v>1928</v>
      </c>
    </row>
    <row r="36" spans="1:17" ht="12" customHeight="1">
      <c r="A36" s="1533"/>
      <c r="B36" s="1683" t="s">
        <v>1929</v>
      </c>
      <c r="C36" s="1579">
        <v>0</v>
      </c>
      <c r="D36" s="1579">
        <v>119000</v>
      </c>
      <c r="F36" s="1579">
        <v>129000</v>
      </c>
      <c r="G36" s="1579">
        <f t="shared" si="2"/>
        <v>-10000</v>
      </c>
      <c r="H36" s="1579">
        <v>690.5</v>
      </c>
      <c r="I36" s="1579">
        <v>640.70000000000005</v>
      </c>
      <c r="J36" s="1579">
        <v>-49.8</v>
      </c>
      <c r="K36" s="1645">
        <f>I36/SOAL!$F$31</f>
        <v>7.6604989307942615E-5</v>
      </c>
      <c r="L36" s="1645">
        <f>I36/'1 - 4.2'!$G$136</f>
        <v>1.5284689658136432E-4</v>
      </c>
      <c r="M36" s="1579" t="e">
        <f>VLOOKUP(B36,[41]Sheet1!$C$7:$R$1048576,16,0)</f>
        <v>#N/A</v>
      </c>
      <c r="N36" s="223">
        <v>-49800</v>
      </c>
      <c r="O36" s="1529">
        <f t="shared" si="0"/>
        <v>-49.8</v>
      </c>
      <c r="P36" s="1530" t="s">
        <v>1929</v>
      </c>
      <c r="Q36" s="1590"/>
    </row>
    <row r="37" spans="1:17" ht="12" customHeight="1">
      <c r="A37" s="1533"/>
      <c r="K37" s="1645"/>
      <c r="L37" s="1645"/>
      <c r="O37" s="1529"/>
      <c r="P37" s="1530" t="s">
        <v>764</v>
      </c>
      <c r="Q37" s="1590"/>
    </row>
    <row r="38" spans="1:17" ht="12" customHeight="1">
      <c r="A38" s="1533"/>
      <c r="B38" s="1578" t="s">
        <v>1087</v>
      </c>
      <c r="D38" s="1644"/>
      <c r="E38" s="1644"/>
      <c r="F38" s="1644"/>
      <c r="O38" s="1529">
        <f t="shared" si="0"/>
        <v>0</v>
      </c>
      <c r="P38" s="1530" t="s">
        <v>1087</v>
      </c>
      <c r="Q38" s="1590"/>
    </row>
    <row r="39" spans="1:17" ht="12" customHeight="1">
      <c r="A39" s="1533"/>
      <c r="B39" s="1683" t="s">
        <v>1930</v>
      </c>
      <c r="C39" s="1579">
        <v>0</v>
      </c>
      <c r="D39" s="1579">
        <v>77500</v>
      </c>
      <c r="F39" s="1579">
        <v>78500</v>
      </c>
      <c r="G39" s="1579">
        <f t="shared" si="2"/>
        <v>-1000</v>
      </c>
      <c r="H39" s="1579">
        <v>311.005</v>
      </c>
      <c r="I39" s="1579">
        <v>304.83999999999997</v>
      </c>
      <c r="J39" s="1579">
        <v>-6.165</v>
      </c>
      <c r="K39" s="1645">
        <f>I39/SOAL!$F$31</f>
        <v>3.6448048916237279E-5</v>
      </c>
      <c r="L39" s="1645">
        <f>I39/'1 - 4.2'!$G$136</f>
        <v>7.2723346267930536E-5</v>
      </c>
      <c r="M39" s="1579" t="e">
        <f>VLOOKUP(B39,[41]Sheet1!$C$7:$R$1048576,16,0)</f>
        <v>#N/A</v>
      </c>
      <c r="N39" s="223">
        <v>-6165</v>
      </c>
      <c r="O39" s="1529">
        <f t="shared" si="0"/>
        <v>-6.165</v>
      </c>
      <c r="P39" s="1530" t="s">
        <v>1930</v>
      </c>
      <c r="Q39" s="1590"/>
    </row>
    <row r="40" spans="1:17" ht="12" customHeight="1">
      <c r="A40" s="1533"/>
      <c r="B40" s="1683" t="s">
        <v>1931</v>
      </c>
      <c r="C40" s="1579">
        <v>0</v>
      </c>
      <c r="D40" s="1579">
        <v>270500</v>
      </c>
      <c r="F40" s="1579">
        <v>494000</v>
      </c>
      <c r="G40" s="1579">
        <f t="shared" si="2"/>
        <v>-223500</v>
      </c>
      <c r="H40" s="1579">
        <v>5112.8980000000001</v>
      </c>
      <c r="I40" s="1579">
        <v>4521.4049999999997</v>
      </c>
      <c r="J40" s="1579">
        <v>-591.49300000000005</v>
      </c>
      <c r="K40" s="1645">
        <f>I40/SOAL!$F$31</f>
        <v>5.4059962803477176E-4</v>
      </c>
      <c r="L40" s="1645">
        <f>I40/'1 - 4.2'!$G$136</f>
        <v>1.0786369945956975E-3</v>
      </c>
      <c r="M40" s="1579" t="e">
        <f>VLOOKUP(B40,[41]Sheet1!$C$7:$R$1048576,16,0)</f>
        <v>#N/A</v>
      </c>
      <c r="N40" s="223">
        <v>-591493</v>
      </c>
      <c r="O40" s="1529">
        <f t="shared" si="0"/>
        <v>-591.49300000000005</v>
      </c>
      <c r="P40" s="1530" t="s">
        <v>1931</v>
      </c>
      <c r="Q40" s="1590"/>
    </row>
    <row r="41" spans="1:17" ht="12" customHeight="1">
      <c r="A41" s="1533"/>
      <c r="K41" s="1645"/>
      <c r="L41" s="1645"/>
      <c r="O41" s="1529"/>
      <c r="P41" s="1530"/>
      <c r="Q41" s="1590"/>
    </row>
    <row r="42" spans="1:17" ht="12" customHeight="1">
      <c r="A42" s="1533"/>
      <c r="B42" s="1646" t="s">
        <v>1932</v>
      </c>
      <c r="C42" s="1647"/>
      <c r="D42" s="1647"/>
      <c r="E42" s="1647"/>
      <c r="F42" s="1647"/>
      <c r="G42" s="1647"/>
      <c r="O42" s="1529">
        <f t="shared" si="0"/>
        <v>0</v>
      </c>
      <c r="P42" s="1530" t="s">
        <v>1932</v>
      </c>
      <c r="Q42" s="1590"/>
    </row>
    <row r="43" spans="1:17" ht="12" customHeight="1">
      <c r="A43" s="1533"/>
      <c r="B43" s="1683" t="s">
        <v>1933</v>
      </c>
      <c r="C43" s="1579">
        <v>0</v>
      </c>
      <c r="D43" s="1579">
        <v>37500</v>
      </c>
      <c r="F43" s="1579">
        <v>42000</v>
      </c>
      <c r="G43" s="1579">
        <f t="shared" si="2"/>
        <v>-4500</v>
      </c>
      <c r="H43" s="1579">
        <v>478.5</v>
      </c>
      <c r="I43" s="1579">
        <v>470.02499999999998</v>
      </c>
      <c r="J43" s="1579">
        <v>-8.4749999999999996</v>
      </c>
      <c r="K43" s="1645">
        <f>I43/SOAL!$F$31</f>
        <v>5.619831449893199E-5</v>
      </c>
      <c r="L43" s="1645">
        <f>I43/'1 - 4.2'!$G$136</f>
        <v>1.1213026777845444E-4</v>
      </c>
      <c r="M43" s="1579" t="e">
        <f>VLOOKUP(B43,[41]Sheet1!$C$7:$R$1048576,16,0)</f>
        <v>#N/A</v>
      </c>
      <c r="N43" s="223">
        <v>-8475</v>
      </c>
      <c r="O43" s="1529">
        <f t="shared" si="0"/>
        <v>-8.4749999999999996</v>
      </c>
      <c r="P43" s="1530" t="s">
        <v>1933</v>
      </c>
      <c r="Q43" s="1590"/>
    </row>
    <row r="44" spans="1:17" ht="12" customHeight="1">
      <c r="A44" s="1533"/>
      <c r="B44" s="1683" t="s">
        <v>1852</v>
      </c>
      <c r="C44" s="1579">
        <v>0</v>
      </c>
      <c r="D44" s="1579">
        <v>14000</v>
      </c>
      <c r="F44" s="1579">
        <v>34000</v>
      </c>
      <c r="G44" s="1579">
        <f t="shared" si="2"/>
        <v>-20000</v>
      </c>
      <c r="H44" s="1579">
        <v>8062.7340000000004</v>
      </c>
      <c r="I44" s="1579">
        <v>7928.2</v>
      </c>
      <c r="J44" s="1579">
        <v>-134.53399999999999</v>
      </c>
      <c r="K44" s="1645">
        <f>I44/SOAL!$F$31</f>
        <v>9.4793144409431964E-4</v>
      </c>
      <c r="L44" s="1645">
        <f>I44/'1 - 4.2'!$G$136</f>
        <v>1.8913700101082761E-3</v>
      </c>
      <c r="M44" s="1579">
        <f>VLOOKUP(B44,[41]Sheet1!$C$7:$R$1048576,16,0)</f>
        <v>0.01</v>
      </c>
      <c r="N44" s="223">
        <v>-134534</v>
      </c>
      <c r="O44" s="1529">
        <f t="shared" si="0"/>
        <v>-134.53399999999999</v>
      </c>
      <c r="P44" s="1530" t="s">
        <v>1852</v>
      </c>
      <c r="Q44" s="1590"/>
    </row>
    <row r="45" spans="1:17" ht="12" customHeight="1">
      <c r="A45" s="1533"/>
      <c r="B45" s="1683" t="s">
        <v>1934</v>
      </c>
      <c r="C45" s="1579">
        <v>0</v>
      </c>
      <c r="D45" s="1579">
        <v>439500</v>
      </c>
      <c r="F45" s="1579">
        <v>1340500</v>
      </c>
      <c r="G45" s="1579">
        <f t="shared" si="2"/>
        <v>-901000</v>
      </c>
      <c r="H45" s="1579">
        <v>85185.676000000007</v>
      </c>
      <c r="I45" s="1579">
        <v>82648.73</v>
      </c>
      <c r="J45" s="1579">
        <v>-2536.9459999999999</v>
      </c>
      <c r="K45" s="1645">
        <f>I45/SOAL!$F$31</f>
        <v>9.8818559044249032E-3</v>
      </c>
      <c r="L45" s="1645">
        <f>I45/'1 - 4.2'!$G$136</f>
        <v>1.97168751161091E-2</v>
      </c>
      <c r="M45" s="1579" t="e">
        <f>VLOOKUP(B45,[41]Sheet1!$C$7:$R$1048576,16,0)</f>
        <v>#N/A</v>
      </c>
      <c r="N45" s="223">
        <v>-2536946</v>
      </c>
      <c r="O45" s="1529">
        <f t="shared" si="0"/>
        <v>-2536.9459999999999</v>
      </c>
      <c r="P45" s="1530" t="s">
        <v>1934</v>
      </c>
      <c r="Q45" s="1590"/>
    </row>
    <row r="46" spans="1:17" ht="12" customHeight="1">
      <c r="A46" s="1533"/>
      <c r="K46" s="1645"/>
      <c r="L46" s="1645"/>
      <c r="O46" s="1529"/>
      <c r="P46" s="1530" t="s">
        <v>764</v>
      </c>
      <c r="Q46" s="1590"/>
    </row>
    <row r="47" spans="1:17" ht="12" customHeight="1">
      <c r="A47" s="1533"/>
      <c r="B47" s="1646" t="s">
        <v>1869</v>
      </c>
      <c r="C47" s="1647"/>
      <c r="D47" s="1647"/>
      <c r="E47" s="1647"/>
      <c r="F47" s="1647"/>
      <c r="O47" s="1529">
        <f t="shared" si="0"/>
        <v>0</v>
      </c>
      <c r="P47" s="1530" t="s">
        <v>1869</v>
      </c>
      <c r="Q47" s="1590"/>
    </row>
    <row r="48" spans="1:17" ht="12" customHeight="1">
      <c r="A48" s="1533"/>
      <c r="B48" s="1683" t="s">
        <v>1935</v>
      </c>
      <c r="C48" s="1579">
        <v>0</v>
      </c>
      <c r="D48" s="1579">
        <v>277500</v>
      </c>
      <c r="F48" s="1579">
        <v>312000</v>
      </c>
      <c r="G48" s="1579">
        <f t="shared" si="2"/>
        <v>-34500</v>
      </c>
      <c r="H48" s="1579">
        <v>7182.8</v>
      </c>
      <c r="I48" s="1579">
        <v>6901.7250000000004</v>
      </c>
      <c r="J48" s="1579">
        <v>-281.07499999999999</v>
      </c>
      <c r="K48" s="1645">
        <f>I48/SOAL!$F$31</f>
        <v>8.2520145127416931E-4</v>
      </c>
      <c r="L48" s="1645">
        <f>I48/'1 - 4.2'!$G$136</f>
        <v>1.6464917235960927E-3</v>
      </c>
      <c r="M48" s="1579" t="e">
        <f>VLOOKUP(B48,[41]Sheet1!$C$7:$R$1048576,16,0)</f>
        <v>#N/A</v>
      </c>
      <c r="N48" s="223">
        <v>-281075</v>
      </c>
      <c r="O48" s="1529">
        <f t="shared" si="0"/>
        <v>-281.07499999999999</v>
      </c>
      <c r="P48" s="1530" t="s">
        <v>1935</v>
      </c>
      <c r="Q48" s="1590"/>
    </row>
    <row r="49" spans="1:17" ht="12" customHeight="1">
      <c r="A49" s="1533"/>
      <c r="B49" s="1683" t="s">
        <v>1936</v>
      </c>
      <c r="C49" s="1579">
        <v>0</v>
      </c>
      <c r="D49" s="1579">
        <v>430000</v>
      </c>
      <c r="F49" s="1579">
        <v>443000</v>
      </c>
      <c r="G49" s="1579">
        <f t="shared" si="2"/>
        <v>-13000</v>
      </c>
      <c r="H49" s="1579">
        <v>226.31100000000001</v>
      </c>
      <c r="I49" s="1579">
        <v>220.48</v>
      </c>
      <c r="J49" s="1579">
        <v>-5.8310000000000004</v>
      </c>
      <c r="K49" s="1645">
        <f>I49/SOAL!$F$31</f>
        <v>2.636158583208239E-5</v>
      </c>
      <c r="L49" s="1645">
        <f>I49/'1 - 4.2'!$G$136</f>
        <v>5.2598226561977838E-5</v>
      </c>
      <c r="M49" s="1579" t="e">
        <f>VLOOKUP(B49,[41]Sheet1!$C$7:$R$1048576,16,0)</f>
        <v>#N/A</v>
      </c>
      <c r="N49" s="223">
        <v>-5831</v>
      </c>
      <c r="O49" s="1529">
        <f t="shared" si="0"/>
        <v>-5.8310000000000004</v>
      </c>
      <c r="P49" s="1530" t="s">
        <v>1936</v>
      </c>
      <c r="Q49" s="1590"/>
    </row>
    <row r="50" spans="1:17" ht="12" customHeight="1">
      <c r="A50" s="1533"/>
      <c r="K50" s="1645"/>
      <c r="L50" s="1645"/>
      <c r="O50" s="1529"/>
      <c r="P50" s="1530" t="s">
        <v>764</v>
      </c>
      <c r="Q50" s="1590"/>
    </row>
    <row r="51" spans="1:17" ht="12" customHeight="1">
      <c r="A51" s="1533"/>
      <c r="B51" s="1578" t="s">
        <v>1855</v>
      </c>
      <c r="D51" s="1644"/>
      <c r="E51" s="1644"/>
      <c r="F51" s="1644"/>
      <c r="O51" s="1529">
        <f t="shared" si="0"/>
        <v>0</v>
      </c>
      <c r="P51" s="1530" t="s">
        <v>1855</v>
      </c>
      <c r="Q51" s="1590"/>
    </row>
    <row r="52" spans="1:17" ht="12" customHeight="1">
      <c r="A52" s="1533"/>
      <c r="B52" s="1683" t="s">
        <v>1937</v>
      </c>
      <c r="C52" s="1579">
        <v>0</v>
      </c>
      <c r="D52" s="1579">
        <v>231000</v>
      </c>
      <c r="F52" s="1579">
        <v>262000</v>
      </c>
      <c r="G52" s="1579">
        <f>D52-F52</f>
        <v>-31000</v>
      </c>
      <c r="H52" s="1579">
        <v>8588.15</v>
      </c>
      <c r="I52" s="1579">
        <v>7971.34</v>
      </c>
      <c r="J52" s="1579">
        <v>-616.80999999999995</v>
      </c>
      <c r="K52" s="1645">
        <f>I52/SOAL!$F$31</f>
        <v>9.5308945757761085E-4</v>
      </c>
      <c r="L52" s="1645">
        <f>I52/'1 - 4.2'!$G$136</f>
        <v>1.9016615898156588E-3</v>
      </c>
      <c r="M52" s="1579" t="e">
        <f>VLOOKUP(B52,[41]Sheet1!$C$7:$R$1048576,16,0)</f>
        <v>#N/A</v>
      </c>
      <c r="N52" s="223">
        <v>-616810</v>
      </c>
      <c r="O52" s="1529">
        <f t="shared" si="0"/>
        <v>-616.80999999999995</v>
      </c>
      <c r="P52" s="1530" t="s">
        <v>1937</v>
      </c>
      <c r="Q52" s="1590"/>
    </row>
    <row r="53" spans="1:17" ht="12" customHeight="1">
      <c r="A53" s="1533"/>
      <c r="K53" s="1645"/>
      <c r="L53" s="1645"/>
      <c r="O53" s="1529"/>
      <c r="P53" s="1530" t="s">
        <v>764</v>
      </c>
      <c r="Q53" s="1590"/>
    </row>
    <row r="54" spans="1:17" ht="12" customHeight="1">
      <c r="A54" s="1533"/>
      <c r="B54" s="1646" t="s">
        <v>1870</v>
      </c>
      <c r="C54" s="1647"/>
      <c r="D54" s="1647"/>
      <c r="E54" s="1647"/>
      <c r="F54" s="1647"/>
      <c r="O54" s="1529">
        <f t="shared" si="0"/>
        <v>0</v>
      </c>
      <c r="P54" s="1530" t="s">
        <v>1870</v>
      </c>
      <c r="Q54" s="1590"/>
    </row>
    <row r="55" spans="1:17" ht="12" customHeight="1">
      <c r="A55" s="1533"/>
      <c r="B55" s="1683" t="s">
        <v>1938</v>
      </c>
      <c r="C55" s="1579">
        <v>0</v>
      </c>
      <c r="D55" s="1545">
        <v>606500</v>
      </c>
      <c r="F55" s="1579">
        <v>-617000</v>
      </c>
      <c r="G55" s="1579">
        <f t="shared" si="2"/>
        <v>1223500</v>
      </c>
      <c r="H55" s="1579">
        <v>867.55499999999995</v>
      </c>
      <c r="I55" s="1579">
        <v>826.77</v>
      </c>
      <c r="J55" s="1579">
        <v>-40.784999999999997</v>
      </c>
      <c r="K55" s="1645">
        <f>I55/SOAL!$F$31</f>
        <v>9.8852359934646034E-5</v>
      </c>
      <c r="L55" s="1645">
        <f>I55/'1 - 4.2'!$G$136</f>
        <v>1.9723619273696671E-4</v>
      </c>
      <c r="M55" s="1579" t="e">
        <f>VLOOKUP(B55,[41]Sheet1!$C$7:$R$1048576,16,0)</f>
        <v>#N/A</v>
      </c>
      <c r="N55" s="223">
        <v>-40785</v>
      </c>
      <c r="O55" s="1529">
        <f t="shared" si="0"/>
        <v>-40.784999999999997</v>
      </c>
      <c r="P55" s="1530" t="s">
        <v>1938</v>
      </c>
      <c r="Q55" s="1590"/>
    </row>
    <row r="56" spans="1:17" ht="12" customHeight="1">
      <c r="A56" s="1533"/>
      <c r="B56" s="1683" t="s">
        <v>1939</v>
      </c>
      <c r="C56" s="1579">
        <v>0</v>
      </c>
      <c r="D56" s="1544">
        <v>2757500</v>
      </c>
      <c r="F56" s="1579">
        <v>2891000</v>
      </c>
      <c r="G56" s="1579">
        <f t="shared" si="2"/>
        <v>-133500</v>
      </c>
      <c r="H56" s="1579">
        <v>571.11300000000006</v>
      </c>
      <c r="I56" s="1579">
        <v>563.37</v>
      </c>
      <c r="J56" s="1579">
        <v>-7.7430000000000003</v>
      </c>
      <c r="K56" s="1645">
        <f>I56/SOAL!$F$31</f>
        <v>6.7359064814133962E-5</v>
      </c>
      <c r="L56" s="1645">
        <f>I56/'1 - 4.2'!$G$136</f>
        <v>1.34398870184241E-4</v>
      </c>
      <c r="M56" s="1579" t="e">
        <f>VLOOKUP(B56,[41]Sheet1!$C$7:$R$1048576,16,0)</f>
        <v>#N/A</v>
      </c>
      <c r="N56" s="223">
        <v>-7743</v>
      </c>
      <c r="O56" s="1529">
        <f t="shared" si="0"/>
        <v>-7.7430000000000003</v>
      </c>
      <c r="P56" s="1530" t="s">
        <v>1939</v>
      </c>
      <c r="Q56" s="1590"/>
    </row>
    <row r="57" spans="1:17" ht="12" customHeight="1">
      <c r="A57" s="1533"/>
      <c r="B57" s="1683" t="s">
        <v>1940</v>
      </c>
      <c r="C57" s="1579">
        <v>0</v>
      </c>
      <c r="D57" s="1544">
        <v>1887500</v>
      </c>
      <c r="F57" s="1579">
        <v>2393000</v>
      </c>
      <c r="G57" s="1579">
        <f t="shared" si="2"/>
        <v>-505500</v>
      </c>
      <c r="H57" s="1579">
        <v>14036.673000000001</v>
      </c>
      <c r="I57" s="1579">
        <v>13410.915000000001</v>
      </c>
      <c r="J57" s="1579">
        <v>-625.75800000000004</v>
      </c>
      <c r="K57" s="1645">
        <f>I57/SOAL!$F$31</f>
        <v>1.6034696428667509E-3</v>
      </c>
      <c r="L57" s="1645">
        <f>I57/'1 - 4.2'!$G$136</f>
        <v>3.1993393757865887E-3</v>
      </c>
      <c r="M57" s="1579" t="e">
        <f>VLOOKUP(B57,[41]Sheet1!$C$7:$R$1048576,16,0)</f>
        <v>#N/A</v>
      </c>
      <c r="N57" s="223">
        <v>-625758</v>
      </c>
      <c r="O57" s="1529">
        <f t="shared" si="0"/>
        <v>-625.75800000000004</v>
      </c>
      <c r="P57" s="1530" t="s">
        <v>1940</v>
      </c>
      <c r="Q57" s="1590"/>
    </row>
    <row r="58" spans="1:17" ht="12" customHeight="1">
      <c r="A58" s="1533"/>
      <c r="D58" s="1544"/>
      <c r="K58" s="1645"/>
      <c r="L58" s="1645"/>
      <c r="O58" s="1529"/>
      <c r="P58" s="1530" t="s">
        <v>764</v>
      </c>
      <c r="Q58" s="1590"/>
    </row>
    <row r="59" spans="1:17" ht="12" customHeight="1">
      <c r="A59" s="1533"/>
      <c r="B59" s="1578" t="s">
        <v>1858</v>
      </c>
      <c r="D59" s="1644"/>
      <c r="E59" s="1644"/>
      <c r="F59" s="1644"/>
      <c r="O59" s="1529">
        <f t="shared" si="0"/>
        <v>0</v>
      </c>
      <c r="P59" s="1530" t="s">
        <v>1858</v>
      </c>
      <c r="Q59" s="1590"/>
    </row>
    <row r="60" spans="1:17" ht="12" customHeight="1">
      <c r="A60" s="1533"/>
      <c r="B60" s="1683" t="s">
        <v>1941</v>
      </c>
      <c r="C60" s="1579">
        <v>0</v>
      </c>
      <c r="D60" s="1579">
        <v>177500</v>
      </c>
      <c r="F60" s="1579">
        <v>305000</v>
      </c>
      <c r="G60" s="1579">
        <f t="shared" si="2"/>
        <v>-127500</v>
      </c>
      <c r="H60" s="1579">
        <v>20409.919999999998</v>
      </c>
      <c r="I60" s="1579">
        <v>17972.400000000001</v>
      </c>
      <c r="J60" s="1579">
        <v>-2437.52</v>
      </c>
      <c r="K60" s="1645">
        <f>I60/SOAL!$F$31</f>
        <v>2.1488614169471953E-3</v>
      </c>
      <c r="L60" s="1645">
        <f>I60/'1 - 4.2'!$G$136</f>
        <v>4.2875379493037494E-3</v>
      </c>
      <c r="M60" s="1579" t="e">
        <f>VLOOKUP(B60,[41]Sheet1!$C$7:$R$1048576,16,0)</f>
        <v>#N/A</v>
      </c>
      <c r="N60" s="223">
        <v>-2437520</v>
      </c>
      <c r="O60" s="1529">
        <f t="shared" si="0"/>
        <v>-2437.52</v>
      </c>
      <c r="P60" s="1530" t="s">
        <v>1941</v>
      </c>
      <c r="Q60" s="1590"/>
    </row>
    <row r="61" spans="1:17" ht="12" customHeight="1">
      <c r="A61" s="1533"/>
      <c r="B61" s="1683" t="s">
        <v>1876</v>
      </c>
      <c r="C61" s="1579">
        <v>0</v>
      </c>
      <c r="D61" s="1579">
        <v>162000</v>
      </c>
      <c r="F61" s="1579">
        <v>112500</v>
      </c>
      <c r="G61" s="1579">
        <f t="shared" si="2"/>
        <v>49500</v>
      </c>
      <c r="H61" s="1579">
        <v>12538.153</v>
      </c>
      <c r="I61" s="1579">
        <v>11094.3</v>
      </c>
      <c r="J61" s="1579">
        <v>-1443.8530000000001</v>
      </c>
      <c r="K61" s="1645">
        <f>I61/SOAL!$F$31</f>
        <v>1.3264846775075819E-3</v>
      </c>
      <c r="L61" s="1645">
        <f>I61/'1 - 4.2'!$G$136</f>
        <v>2.6466822611871856E-3</v>
      </c>
      <c r="M61" s="1579" t="e">
        <f>VLOOKUP(B61,[41]Sheet1!$C$7:$R$1048576,16,0)</f>
        <v>#N/A</v>
      </c>
      <c r="N61" s="223">
        <v>-1443853</v>
      </c>
      <c r="O61" s="1529">
        <f t="shared" si="0"/>
        <v>-1443.8530000000001</v>
      </c>
      <c r="P61" s="1530" t="s">
        <v>1876</v>
      </c>
      <c r="Q61" s="1590"/>
    </row>
    <row r="62" spans="1:17" ht="12" customHeight="1">
      <c r="A62" s="1533"/>
      <c r="K62" s="1645"/>
      <c r="L62" s="1645"/>
      <c r="O62" s="1529"/>
      <c r="P62" s="1530" t="s">
        <v>764</v>
      </c>
      <c r="Q62" s="1590"/>
    </row>
    <row r="63" spans="1:17" ht="12" customHeight="1">
      <c r="A63" s="1533"/>
      <c r="B63" s="1646" t="s">
        <v>1871</v>
      </c>
      <c r="C63" s="1647"/>
      <c r="D63" s="1647"/>
      <c r="E63" s="1647"/>
      <c r="F63" s="1647"/>
      <c r="G63" s="1579">
        <f t="shared" si="2"/>
        <v>0</v>
      </c>
      <c r="O63" s="1529">
        <f t="shared" si="0"/>
        <v>0</v>
      </c>
      <c r="P63" s="1530" t="s">
        <v>1871</v>
      </c>
    </row>
    <row r="64" spans="1:17" s="1011" customFormat="1" ht="12" customHeight="1">
      <c r="A64" s="1538"/>
      <c r="B64" s="1683" t="s">
        <v>1877</v>
      </c>
      <c r="C64" s="1579">
        <v>0</v>
      </c>
      <c r="D64" s="1579">
        <v>635500</v>
      </c>
      <c r="E64" s="1579"/>
      <c r="F64" s="1579">
        <v>703000</v>
      </c>
      <c r="G64" s="1579">
        <f t="shared" si="2"/>
        <v>-67500</v>
      </c>
      <c r="H64" s="1579">
        <v>4416.9709999999995</v>
      </c>
      <c r="I64" s="1579">
        <v>4578.5249999999996</v>
      </c>
      <c r="J64" s="1579">
        <v>161.55500000000001</v>
      </c>
      <c r="K64" s="1645">
        <f>I64/SOAL!$F$31</f>
        <v>5.4742915353698759E-4</v>
      </c>
      <c r="L64" s="1645">
        <f>I64/'1 - 4.2'!$G$136</f>
        <v>1.0922636759328717E-3</v>
      </c>
      <c r="M64" s="1579" t="e">
        <f>VLOOKUP(B64,[41]Sheet1!$C$7:$R$1048576,16,0)</f>
        <v>#N/A</v>
      </c>
      <c r="N64" s="1011">
        <v>161555</v>
      </c>
      <c r="O64" s="1529">
        <f t="shared" si="0"/>
        <v>161.55500000000001</v>
      </c>
      <c r="P64" s="1530" t="s">
        <v>1877</v>
      </c>
    </row>
    <row r="65" spans="1:17" s="1011" customFormat="1" ht="12" customHeight="1">
      <c r="A65" s="1538"/>
      <c r="B65" s="1683" t="s">
        <v>1878</v>
      </c>
      <c r="C65" s="1579">
        <v>0</v>
      </c>
      <c r="D65" s="1579">
        <v>253500</v>
      </c>
      <c r="E65" s="1579"/>
      <c r="F65" s="1579">
        <v>334000</v>
      </c>
      <c r="G65" s="1579">
        <f t="shared" si="2"/>
        <v>-80500</v>
      </c>
      <c r="H65" s="1579">
        <v>5210.1930000000002</v>
      </c>
      <c r="I65" s="1579">
        <v>4880.7150000000001</v>
      </c>
      <c r="J65" s="1579">
        <v>-329.47800000000001</v>
      </c>
      <c r="K65" s="1645">
        <f>I65/SOAL!$F$31</f>
        <v>5.8356035646966618E-4</v>
      </c>
      <c r="L65" s="1645">
        <f>I65/'1 - 4.2'!$G$136</f>
        <v>1.1643548319777018E-3</v>
      </c>
      <c r="M65" s="1579" t="e">
        <f>VLOOKUP(B65,[41]Sheet1!$C$7:$R$1048576,16,0)</f>
        <v>#N/A</v>
      </c>
      <c r="N65" s="1011">
        <v>-329478</v>
      </c>
      <c r="O65" s="1529">
        <f t="shared" si="0"/>
        <v>-329.47800000000001</v>
      </c>
      <c r="P65" s="1530" t="s">
        <v>1878</v>
      </c>
    </row>
    <row r="66" spans="1:17" s="1011" customFormat="1" ht="12" customHeight="1">
      <c r="A66" s="1538"/>
      <c r="B66" s="1580"/>
      <c r="C66" s="1579"/>
      <c r="D66" s="1579"/>
      <c r="E66" s="1579"/>
      <c r="F66" s="1579"/>
      <c r="G66" s="1579"/>
      <c r="H66" s="1579"/>
      <c r="I66" s="1579"/>
      <c r="J66" s="1579"/>
      <c r="K66" s="1645"/>
      <c r="L66" s="1645"/>
      <c r="M66" s="1579"/>
      <c r="O66" s="1529"/>
      <c r="P66" s="1530" t="s">
        <v>764</v>
      </c>
    </row>
    <row r="67" spans="1:17" ht="12" customHeight="1">
      <c r="A67" s="1533"/>
      <c r="B67" s="1578" t="s">
        <v>1863</v>
      </c>
      <c r="D67" s="1644"/>
      <c r="E67" s="1644"/>
      <c r="F67" s="1644"/>
      <c r="O67" s="1529">
        <f t="shared" si="0"/>
        <v>0</v>
      </c>
      <c r="P67" s="1530" t="s">
        <v>1863</v>
      </c>
    </row>
    <row r="68" spans="1:17" s="1011" customFormat="1" ht="12" customHeight="1">
      <c r="A68" s="1538"/>
      <c r="B68" s="1683" t="s">
        <v>1942</v>
      </c>
      <c r="C68" s="1579">
        <v>0</v>
      </c>
      <c r="D68" s="1579">
        <v>37500</v>
      </c>
      <c r="E68" s="1579"/>
      <c r="F68" s="1579">
        <v>40000</v>
      </c>
      <c r="G68" s="1579">
        <f t="shared" si="2"/>
        <v>-2500</v>
      </c>
      <c r="H68" s="1579">
        <v>99.375</v>
      </c>
      <c r="I68" s="1579">
        <v>94.05</v>
      </c>
      <c r="J68" s="1579">
        <v>-5.3250000000000002</v>
      </c>
      <c r="K68" s="1645">
        <f>I68/SOAL!$F$31</f>
        <v>1.124504330328079E-5</v>
      </c>
      <c r="L68" s="1645">
        <f>I68/'1 - 4.2'!$G$136</f>
        <v>2.243678886136618E-5</v>
      </c>
      <c r="M68" s="1579" t="e">
        <f>VLOOKUP(B68,[41]Sheet1!$C$7:$R$1048576,16,0)</f>
        <v>#N/A</v>
      </c>
      <c r="N68" s="1011">
        <v>-5325</v>
      </c>
      <c r="O68" s="1529">
        <f t="shared" si="0"/>
        <v>-5.3250000000000002</v>
      </c>
      <c r="P68" s="1530" t="s">
        <v>1942</v>
      </c>
    </row>
    <row r="69" spans="1:17" s="1011" customFormat="1" ht="12" customHeight="1">
      <c r="A69" s="1538"/>
      <c r="B69" s="1683" t="s">
        <v>1943</v>
      </c>
      <c r="C69" s="1579">
        <v>0</v>
      </c>
      <c r="D69" s="1579">
        <v>10500</v>
      </c>
      <c r="E69" s="1579"/>
      <c r="F69" s="1579">
        <v>136500</v>
      </c>
      <c r="G69" s="1579">
        <f t="shared" si="2"/>
        <v>-126000</v>
      </c>
      <c r="H69" s="1579">
        <v>12942.216</v>
      </c>
      <c r="I69" s="1579">
        <v>12545.82</v>
      </c>
      <c r="J69" s="1579">
        <v>-396.39600000000002</v>
      </c>
      <c r="K69" s="1645">
        <f>I69/SOAL!$F$31</f>
        <v>1.5000349726227136E-3</v>
      </c>
      <c r="L69" s="1645">
        <f>I69/'1 - 4.2'!$G$136</f>
        <v>2.9929602810494955E-3</v>
      </c>
      <c r="M69" s="1579" t="e">
        <f>VLOOKUP(B69,[41]Sheet1!$C$7:$R$1048576,16,0)</f>
        <v>#N/A</v>
      </c>
      <c r="N69" s="1011">
        <v>-396396</v>
      </c>
      <c r="O69" s="1529">
        <f t="shared" si="0"/>
        <v>-396.39600000000002</v>
      </c>
      <c r="P69" s="1530" t="s">
        <v>1943</v>
      </c>
    </row>
    <row r="70" spans="1:17" s="1011" customFormat="1" ht="12" customHeight="1">
      <c r="A70" s="1538"/>
      <c r="B70" s="1580"/>
      <c r="C70" s="1579"/>
      <c r="D70" s="1579"/>
      <c r="E70" s="1579"/>
      <c r="F70" s="1579"/>
      <c r="G70" s="1579"/>
      <c r="H70" s="1579"/>
      <c r="I70" s="1579"/>
      <c r="J70" s="1579"/>
      <c r="K70" s="1645"/>
      <c r="L70" s="1645"/>
      <c r="M70" s="1579"/>
      <c r="O70" s="1529"/>
      <c r="P70" s="1530" t="s">
        <v>764</v>
      </c>
    </row>
    <row r="71" spans="1:17" s="1011" customFormat="1" ht="12" customHeight="1">
      <c r="A71" s="1538"/>
      <c r="B71" s="1578" t="s">
        <v>1865</v>
      </c>
      <c r="C71" s="1579"/>
      <c r="D71" s="1644"/>
      <c r="E71" s="1644"/>
      <c r="F71" s="1644"/>
      <c r="G71" s="1579"/>
      <c r="H71" s="1579"/>
      <c r="I71" s="1579"/>
      <c r="J71" s="1579"/>
      <c r="K71" s="1579"/>
      <c r="L71" s="1579"/>
      <c r="M71" s="1579"/>
      <c r="O71" s="1529">
        <f t="shared" si="0"/>
        <v>0</v>
      </c>
      <c r="P71" s="1530" t="s">
        <v>1865</v>
      </c>
    </row>
    <row r="72" spans="1:17" s="1011" customFormat="1" ht="12" customHeight="1">
      <c r="A72" s="1535"/>
      <c r="B72" s="1683" t="s">
        <v>1944</v>
      </c>
      <c r="C72" s="1579">
        <v>0</v>
      </c>
      <c r="D72" s="1544">
        <v>5476500</v>
      </c>
      <c r="E72" s="1579"/>
      <c r="F72" s="1579">
        <v>7613500</v>
      </c>
      <c r="G72" s="1579">
        <f t="shared" si="2"/>
        <v>-2137000</v>
      </c>
      <c r="H72" s="1579">
        <v>29242.921999999999</v>
      </c>
      <c r="I72" s="1579">
        <v>26477.43</v>
      </c>
      <c r="J72" s="1579">
        <v>-2765.4920000000002</v>
      </c>
      <c r="K72" s="1645">
        <f>I72/SOAL!$F$31</f>
        <v>3.1657612643230825E-3</v>
      </c>
      <c r="L72" s="1645">
        <f>I72/'1 - 4.2'!$G$136</f>
        <v>6.316517878804921E-3</v>
      </c>
      <c r="M72" s="1579" t="e">
        <f>VLOOKUP(B72,[41]Sheet1!$C$7:$R$1048576,16,0)</f>
        <v>#N/A</v>
      </c>
      <c r="N72" s="1011">
        <v>-2765492</v>
      </c>
      <c r="O72" s="1529">
        <f t="shared" si="0"/>
        <v>-2765.4920000000002</v>
      </c>
      <c r="P72" s="1530" t="s">
        <v>1944</v>
      </c>
    </row>
    <row r="73" spans="1:17" s="1011" customFormat="1" ht="12" customHeight="1">
      <c r="A73" s="1535"/>
      <c r="B73" s="1580"/>
      <c r="C73" s="1579"/>
      <c r="D73" s="1544"/>
      <c r="E73" s="1579"/>
      <c r="F73" s="1579"/>
      <c r="G73" s="1579"/>
      <c r="H73" s="1579"/>
      <c r="I73" s="1579"/>
      <c r="J73" s="1579"/>
      <c r="K73" s="1645"/>
      <c r="L73" s="1645"/>
      <c r="M73" s="1579"/>
      <c r="O73" s="1529"/>
      <c r="P73" s="1530" t="s">
        <v>764</v>
      </c>
    </row>
    <row r="74" spans="1:17" ht="12" customHeight="1">
      <c r="A74" s="1531"/>
      <c r="B74" s="1646" t="s">
        <v>1872</v>
      </c>
      <c r="C74" s="1647"/>
      <c r="D74" s="1647"/>
      <c r="E74" s="1647"/>
      <c r="F74" s="1647"/>
      <c r="G74" s="1647"/>
      <c r="O74" s="1529">
        <f t="shared" si="0"/>
        <v>0</v>
      </c>
      <c r="P74" s="1530" t="s">
        <v>1872</v>
      </c>
    </row>
    <row r="75" spans="1:17" ht="12" customHeight="1">
      <c r="A75" s="1531"/>
      <c r="B75" s="1683" t="s">
        <v>1945</v>
      </c>
      <c r="C75" s="1579">
        <v>0</v>
      </c>
      <c r="D75" s="1579">
        <v>0</v>
      </c>
      <c r="F75" s="1579">
        <v>6204500</v>
      </c>
      <c r="G75" s="1579">
        <v>6204500</v>
      </c>
      <c r="H75" s="1579">
        <v>114791.31600000001</v>
      </c>
      <c r="I75" s="1579">
        <v>103615.15</v>
      </c>
      <c r="J75" s="1579">
        <v>-11176.165999999999</v>
      </c>
      <c r="K75" s="1645">
        <f>I75/SOAL!$F$31</f>
        <v>1.2388695891822803E-2</v>
      </c>
      <c r="L75" s="1645">
        <f>I75/'1 - 4.2'!$G$136</f>
        <v>2.4718673507589432E-2</v>
      </c>
      <c r="M75" s="1579" t="e">
        <f>VLOOKUP(B75,[41]Sheet1!$C$7:$R$1048576,16,0)</f>
        <v>#N/A</v>
      </c>
      <c r="N75" s="223">
        <v>-11176166</v>
      </c>
      <c r="O75" s="1529">
        <f t="shared" si="0"/>
        <v>-11176.165999999999</v>
      </c>
      <c r="P75" s="1530" t="s">
        <v>1945</v>
      </c>
    </row>
    <row r="76" spans="1:17" ht="12" customHeight="1">
      <c r="A76" s="1533"/>
    </row>
    <row r="77" spans="1:17" s="1011" customFormat="1" ht="12" customHeight="1" thickBot="1">
      <c r="A77" s="1538"/>
      <c r="B77" s="1580"/>
      <c r="C77" s="1579"/>
      <c r="D77" s="1579">
        <v>0</v>
      </c>
      <c r="E77" s="1579"/>
      <c r="F77" s="1579"/>
      <c r="G77" s="1579"/>
      <c r="H77" s="1648">
        <f>SUM(H13:H75)</f>
        <v>431939.15900000004</v>
      </c>
      <c r="I77" s="1648">
        <f>SUM(I13:I75)</f>
        <v>401202.14999999991</v>
      </c>
      <c r="J77" s="1648">
        <f>SUM(J13:J75)</f>
        <v>-30737.008000000002</v>
      </c>
      <c r="K77" s="1579"/>
      <c r="L77" s="1579"/>
      <c r="M77" s="1579"/>
    </row>
    <row r="78" spans="1:17" ht="12" customHeight="1" thickTop="1">
      <c r="A78" s="1533"/>
    </row>
    <row r="79" spans="1:17" ht="12" customHeight="1">
      <c r="A79" s="1533"/>
    </row>
    <row r="80" spans="1:17">
      <c r="A80" s="1533"/>
      <c r="P80" s="1602"/>
      <c r="Q80" s="1544"/>
    </row>
    <row r="81" spans="1:17">
      <c r="A81" s="1533"/>
      <c r="P81" s="1602"/>
      <c r="Q81" s="1544"/>
    </row>
    <row r="82" spans="1:17" ht="9.75" customHeight="1">
      <c r="A82" s="1533"/>
      <c r="O82" s="1602"/>
      <c r="P82" s="1602"/>
      <c r="Q82" s="1544"/>
    </row>
    <row r="83" spans="1:17" ht="9.75" customHeight="1">
      <c r="A83" s="1533"/>
      <c r="O83" s="1602"/>
      <c r="P83" s="1602"/>
      <c r="Q83" s="1544"/>
    </row>
    <row r="84" spans="1:17" ht="9.75" customHeight="1">
      <c r="A84" s="1533"/>
    </row>
    <row r="85" spans="1:17" ht="9.75" customHeight="1">
      <c r="A85" s="1533"/>
    </row>
    <row r="86" spans="1:17" ht="9.75" customHeight="1">
      <c r="A86" s="1533"/>
    </row>
    <row r="87" spans="1:17" ht="9.75" customHeight="1">
      <c r="A87" s="1533"/>
    </row>
    <row r="88" spans="1:17" ht="9.75" customHeight="1">
      <c r="A88" s="1533"/>
    </row>
    <row r="89" spans="1:17" ht="9.75" customHeight="1">
      <c r="A89" s="1533"/>
    </row>
    <row r="90" spans="1:17" ht="9.75" customHeight="1">
      <c r="A90" s="1533"/>
    </row>
    <row r="91" spans="1:17" ht="9.75" customHeight="1">
      <c r="A91" s="1533"/>
    </row>
    <row r="92" spans="1:17" ht="9.75" customHeight="1">
      <c r="A92" s="1533"/>
    </row>
    <row r="93" spans="1:17" ht="9.75" customHeight="1">
      <c r="A93" s="1533"/>
    </row>
    <row r="94" spans="1:17" ht="21" customHeight="1">
      <c r="A94" s="1533"/>
    </row>
    <row r="95" spans="1:17" ht="12" hidden="1" customHeight="1">
      <c r="A95" s="1531"/>
    </row>
    <row r="96" spans="1:17" ht="12" hidden="1" customHeight="1"/>
    <row r="97" spans="1:13" ht="12" hidden="1" customHeight="1">
      <c r="A97" s="1537"/>
    </row>
    <row r="98" spans="1:13" ht="12" hidden="1" customHeight="1"/>
    <row r="99" spans="1:13" ht="12" hidden="1" customHeight="1"/>
    <row r="100" spans="1:13" ht="12" hidden="1" customHeight="1"/>
    <row r="101" spans="1:13" ht="12" hidden="1" customHeight="1"/>
    <row r="102" spans="1:13">
      <c r="A102" s="1425"/>
    </row>
    <row r="103" spans="1:13">
      <c r="A103" s="1425"/>
    </row>
    <row r="104" spans="1:13">
      <c r="A104" s="1533"/>
    </row>
    <row r="105" spans="1:13">
      <c r="A105" s="1533"/>
    </row>
    <row r="106" spans="1:13" s="1011" customFormat="1" ht="15" customHeight="1">
      <c r="A106" s="1538"/>
      <c r="B106" s="1580"/>
      <c r="C106" s="1579"/>
      <c r="D106" s="1579"/>
      <c r="E106" s="1579"/>
      <c r="F106" s="1579"/>
      <c r="G106" s="1579"/>
      <c r="H106" s="1579"/>
      <c r="I106" s="1579"/>
      <c r="J106" s="1579"/>
      <c r="K106" s="1579"/>
      <c r="L106" s="1579"/>
      <c r="M106" s="1579"/>
    </row>
    <row r="107" spans="1:13" ht="8.1" customHeight="1">
      <c r="A107" s="1533"/>
    </row>
    <row r="108" spans="1:13" ht="16.5" customHeight="1">
      <c r="A108" s="1533"/>
    </row>
    <row r="109" spans="1:13" ht="11.25" customHeight="1">
      <c r="A109" s="1533"/>
    </row>
    <row r="110" spans="1:13" ht="8.1" customHeight="1">
      <c r="A110" s="1533"/>
    </row>
    <row r="111" spans="1:13" ht="8.1" customHeight="1">
      <c r="A111" s="1533"/>
    </row>
    <row r="112" spans="1:13" ht="13.5" customHeight="1">
      <c r="A112" s="1533"/>
    </row>
    <row r="115" spans="2:17">
      <c r="N115" s="1610"/>
      <c r="P115" s="1590"/>
      <c r="Q115" s="1590"/>
    </row>
    <row r="116" spans="2:17">
      <c r="N116" s="1610"/>
      <c r="P116" s="1590"/>
      <c r="Q116" s="1590"/>
    </row>
    <row r="117" spans="2:17">
      <c r="N117" s="1610"/>
      <c r="P117" s="1590"/>
      <c r="Q117" s="1590"/>
    </row>
    <row r="118" spans="2:17" ht="11.85" customHeight="1">
      <c r="N118" s="1610"/>
      <c r="P118" s="1590"/>
      <c r="Q118" s="1590"/>
    </row>
    <row r="119" spans="2:17">
      <c r="N119" s="1610"/>
      <c r="P119" s="1590"/>
      <c r="Q119" s="1590"/>
    </row>
    <row r="120" spans="2:17" ht="3.95" customHeight="1"/>
    <row r="124" spans="2:17">
      <c r="N124" s="1610"/>
      <c r="P124" s="1590"/>
      <c r="Q124" s="1590"/>
    </row>
    <row r="126" spans="2:17" s="1011" customFormat="1" ht="21" customHeight="1">
      <c r="B126" s="1580"/>
      <c r="C126" s="1579"/>
      <c r="D126" s="1579"/>
      <c r="E126" s="1579"/>
      <c r="F126" s="1579"/>
      <c r="G126" s="1579"/>
      <c r="H126" s="1579"/>
      <c r="I126" s="1579"/>
      <c r="J126" s="1579"/>
      <c r="K126" s="1579"/>
      <c r="L126" s="1579"/>
      <c r="M126" s="1579"/>
    </row>
    <row r="128" spans="2:17" s="1011" customFormat="1" ht="21" customHeight="1">
      <c r="B128" s="1580"/>
      <c r="C128" s="1579"/>
      <c r="D128" s="1579"/>
      <c r="E128" s="1579"/>
      <c r="F128" s="1579"/>
      <c r="G128" s="1579"/>
      <c r="H128" s="1579"/>
      <c r="I128" s="1579"/>
      <c r="J128" s="1579"/>
      <c r="K128" s="1579"/>
      <c r="L128" s="1579"/>
      <c r="M128" s="1579"/>
    </row>
    <row r="131" spans="1:17">
      <c r="A131" s="1531"/>
    </row>
    <row r="132" spans="1:17">
      <c r="A132" s="1539"/>
    </row>
    <row r="133" spans="1:17" s="1011" customFormat="1" ht="15" customHeight="1">
      <c r="A133" s="1540"/>
      <c r="B133" s="1580"/>
      <c r="C133" s="1579"/>
      <c r="D133" s="1579"/>
      <c r="E133" s="1579"/>
      <c r="F133" s="1579"/>
      <c r="G133" s="1579"/>
      <c r="H133" s="1579"/>
      <c r="I133" s="1579"/>
      <c r="J133" s="1579"/>
      <c r="K133" s="1579"/>
      <c r="L133" s="1579"/>
      <c r="M133" s="1579"/>
    </row>
    <row r="134" spans="1:17">
      <c r="A134" s="1539"/>
    </row>
    <row r="135" spans="1:17">
      <c r="A135" s="1539"/>
    </row>
    <row r="136" spans="1:17">
      <c r="A136" s="1539"/>
      <c r="N136" s="1610"/>
      <c r="O136" s="1610"/>
      <c r="P136" s="1602"/>
      <c r="Q136" s="1544"/>
    </row>
    <row r="137" spans="1:17">
      <c r="A137" s="1539"/>
      <c r="N137" s="1610"/>
      <c r="O137" s="1610"/>
      <c r="P137" s="1602"/>
      <c r="Q137" s="1544"/>
    </row>
    <row r="138" spans="1:17">
      <c r="A138" s="1539"/>
      <c r="P138" s="1602"/>
      <c r="Q138" s="1544"/>
    </row>
    <row r="139" spans="1:17">
      <c r="A139" s="1539"/>
      <c r="P139" s="1602"/>
      <c r="Q139" s="1544"/>
    </row>
    <row r="140" spans="1:17">
      <c r="A140" s="1539"/>
      <c r="P140" s="1602"/>
      <c r="Q140" s="1544"/>
    </row>
    <row r="141" spans="1:17">
      <c r="A141" s="1539"/>
      <c r="P141" s="1602"/>
      <c r="Q141" s="1544"/>
    </row>
    <row r="142" spans="1:17">
      <c r="A142" s="1539"/>
      <c r="P142" s="1602"/>
      <c r="Q142" s="1544"/>
    </row>
    <row r="143" spans="1:17">
      <c r="A143" s="1539"/>
      <c r="P143" s="1602"/>
      <c r="Q143" s="1544"/>
    </row>
    <row r="144" spans="1:17" ht="12" hidden="1" customHeight="1">
      <c r="A144" s="1531"/>
    </row>
    <row r="145" spans="1:13" ht="12" hidden="1" customHeight="1">
      <c r="A145" s="1531"/>
    </row>
    <row r="146" spans="1:13" ht="12" hidden="1" customHeight="1"/>
    <row r="147" spans="1:13" ht="6" customHeight="1"/>
    <row r="149" spans="1:13">
      <c r="A149" s="1425"/>
    </row>
    <row r="150" spans="1:13">
      <c r="A150" s="1425"/>
    </row>
    <row r="151" spans="1:13">
      <c r="A151" s="1533"/>
    </row>
    <row r="152" spans="1:13" ht="11.25" customHeight="1">
      <c r="A152" s="1539"/>
    </row>
    <row r="153" spans="1:13" s="1011" customFormat="1" ht="15" customHeight="1">
      <c r="A153" s="1540"/>
      <c r="B153" s="1580"/>
      <c r="C153" s="1579"/>
      <c r="D153" s="1579"/>
      <c r="E153" s="1579"/>
      <c r="F153" s="1579"/>
      <c r="G153" s="1579"/>
      <c r="H153" s="1579"/>
      <c r="I153" s="1579"/>
      <c r="J153" s="1579"/>
      <c r="K153" s="1579"/>
      <c r="L153" s="1579"/>
      <c r="M153" s="1579"/>
    </row>
    <row r="154" spans="1:13" ht="9" customHeight="1">
      <c r="A154" s="1539"/>
    </row>
    <row r="155" spans="1:13" ht="13.5" customHeight="1">
      <c r="A155" s="1539"/>
    </row>
    <row r="156" spans="1:13" ht="9" customHeight="1">
      <c r="A156" s="1539"/>
    </row>
    <row r="157" spans="1:13" ht="9" customHeight="1">
      <c r="A157" s="1539"/>
    </row>
    <row r="158" spans="1:13" ht="9" customHeight="1">
      <c r="A158" s="1539"/>
    </row>
    <row r="159" spans="1:13" ht="9" customHeight="1">
      <c r="A159" s="1539"/>
    </row>
    <row r="160" spans="1:13">
      <c r="A160" s="1539"/>
    </row>
    <row r="161" spans="1:17">
      <c r="A161" s="1539"/>
    </row>
    <row r="162" spans="1:17">
      <c r="A162" s="1539"/>
      <c r="N162" s="1610"/>
      <c r="P162" s="1590"/>
      <c r="Q162" s="1590"/>
    </row>
    <row r="163" spans="1:17" ht="9" hidden="1" customHeight="1">
      <c r="A163" s="1539"/>
      <c r="N163" s="1610"/>
      <c r="P163" s="1590"/>
      <c r="Q163" s="1590"/>
    </row>
    <row r="164" spans="1:17">
      <c r="A164" s="1539"/>
    </row>
    <row r="165" spans="1:17">
      <c r="A165" s="1539"/>
      <c r="N165" s="1610"/>
      <c r="P165" s="1590"/>
      <c r="Q165" s="1590"/>
    </row>
    <row r="166" spans="1:17">
      <c r="A166" s="1539"/>
      <c r="N166" s="1610"/>
      <c r="P166" s="1590"/>
      <c r="Q166" s="1590"/>
    </row>
    <row r="167" spans="1:17">
      <c r="A167" s="1539"/>
      <c r="N167" s="1610"/>
      <c r="P167" s="1590"/>
      <c r="Q167" s="1590"/>
    </row>
    <row r="168" spans="1:17">
      <c r="A168" s="1539"/>
      <c r="N168" s="1610"/>
      <c r="P168" s="1590"/>
      <c r="Q168" s="1590"/>
    </row>
    <row r="169" spans="1:17">
      <c r="A169" s="1539"/>
      <c r="N169" s="1610"/>
      <c r="P169" s="1590"/>
      <c r="Q169" s="1590"/>
    </row>
    <row r="170" spans="1:17">
      <c r="A170" s="1539"/>
      <c r="N170" s="1610"/>
      <c r="P170" s="1590"/>
      <c r="Q170" s="1590"/>
    </row>
    <row r="171" spans="1:17">
      <c r="A171" s="1539"/>
      <c r="N171" s="1610"/>
      <c r="P171" s="1590"/>
      <c r="Q171" s="1590"/>
    </row>
    <row r="172" spans="1:17" s="1011" customFormat="1" ht="21" customHeight="1">
      <c r="A172" s="1632"/>
      <c r="B172" s="1580"/>
      <c r="C172" s="1579"/>
      <c r="D172" s="1579"/>
      <c r="E172" s="1579"/>
      <c r="F172" s="1579"/>
      <c r="G172" s="1579"/>
      <c r="H172" s="1579"/>
      <c r="I172" s="1579"/>
      <c r="J172" s="1579"/>
      <c r="K172" s="1579"/>
      <c r="L172" s="1579"/>
      <c r="M172" s="1579"/>
      <c r="N172" s="1633"/>
      <c r="P172" s="1634"/>
      <c r="Q172" s="1634"/>
    </row>
    <row r="173" spans="1:17">
      <c r="A173" s="1539"/>
      <c r="N173" s="1610"/>
      <c r="P173" s="1590"/>
      <c r="Q173" s="1590"/>
    </row>
    <row r="174" spans="1:17">
      <c r="A174" s="1539"/>
      <c r="N174" s="1610"/>
      <c r="P174" s="1590"/>
      <c r="Q174" s="1590"/>
    </row>
    <row r="175" spans="1:17">
      <c r="A175" s="1539"/>
      <c r="N175" s="1610"/>
      <c r="P175" s="1590"/>
      <c r="Q175" s="1590"/>
    </row>
    <row r="176" spans="1:17">
      <c r="A176" s="1531"/>
      <c r="N176" s="1610"/>
      <c r="P176" s="1590"/>
      <c r="Q176" s="1590"/>
    </row>
    <row r="177" spans="1:17">
      <c r="A177" s="1539"/>
      <c r="N177" s="1610"/>
      <c r="P177" s="1590"/>
      <c r="Q177" s="1590"/>
    </row>
    <row r="178" spans="1:17" s="1011" customFormat="1" ht="15" customHeight="1">
      <c r="A178" s="1540"/>
      <c r="B178" s="1580"/>
      <c r="C178" s="1579"/>
      <c r="D178" s="1579"/>
      <c r="E178" s="1579"/>
      <c r="F178" s="1579"/>
      <c r="G178" s="1579"/>
      <c r="H178" s="1579"/>
      <c r="I178" s="1579"/>
      <c r="J178" s="1579"/>
      <c r="K178" s="1579"/>
      <c r="L178" s="1579"/>
      <c r="M178" s="1579"/>
      <c r="N178" s="1633"/>
      <c r="P178" s="1634"/>
      <c r="Q178" s="1634"/>
    </row>
    <row r="179" spans="1:17">
      <c r="A179" s="1539"/>
      <c r="N179" s="1610"/>
      <c r="P179" s="1590"/>
      <c r="Q179" s="1590"/>
    </row>
    <row r="180" spans="1:17">
      <c r="A180" s="1539"/>
      <c r="N180" s="1610"/>
      <c r="P180" s="1602"/>
      <c r="Q180" s="1544"/>
    </row>
    <row r="181" spans="1:17">
      <c r="A181" s="1539"/>
      <c r="N181" s="1610"/>
      <c r="P181" s="1590"/>
      <c r="Q181" s="1590"/>
    </row>
    <row r="182" spans="1:17">
      <c r="A182" s="1539"/>
      <c r="P182" s="1602"/>
      <c r="Q182" s="1544"/>
    </row>
    <row r="183" spans="1:17" ht="9" customHeight="1">
      <c r="A183" s="1539"/>
      <c r="N183" s="1610"/>
      <c r="P183" s="1590"/>
      <c r="Q183" s="1590"/>
    </row>
    <row r="184" spans="1:17" ht="12" hidden="1" customHeight="1">
      <c r="A184" s="1531"/>
    </row>
    <row r="185" spans="1:17" ht="12" hidden="1" customHeight="1">
      <c r="A185" s="1531"/>
    </row>
    <row r="186" spans="1:17" ht="12" hidden="1" customHeight="1"/>
    <row r="189" spans="1:17">
      <c r="A189" s="1425"/>
    </row>
    <row r="190" spans="1:17">
      <c r="A190" s="1425"/>
    </row>
    <row r="191" spans="1:17">
      <c r="A191" s="1533"/>
    </row>
    <row r="192" spans="1:17">
      <c r="A192" s="1533"/>
    </row>
    <row r="193" spans="1:17" s="1011" customFormat="1" ht="15" customHeight="1">
      <c r="A193" s="1538"/>
      <c r="B193" s="1580"/>
      <c r="C193" s="1579"/>
      <c r="D193" s="1579"/>
      <c r="E193" s="1579"/>
      <c r="F193" s="1579"/>
      <c r="G193" s="1579"/>
      <c r="H193" s="1579"/>
      <c r="I193" s="1579"/>
      <c r="J193" s="1579"/>
      <c r="K193" s="1579"/>
      <c r="L193" s="1579"/>
      <c r="M193" s="1579"/>
    </row>
    <row r="194" spans="1:17" ht="12" customHeight="1">
      <c r="A194" s="1533"/>
    </row>
    <row r="195" spans="1:17" ht="4.5" customHeight="1">
      <c r="A195" s="1533"/>
    </row>
    <row r="196" spans="1:17">
      <c r="A196" s="1533"/>
    </row>
    <row r="197" spans="1:17" ht="11.85" customHeight="1">
      <c r="A197" s="1533"/>
    </row>
    <row r="198" spans="1:17" ht="11.85" customHeight="1">
      <c r="N198" s="1610"/>
    </row>
    <row r="199" spans="1:17" ht="11.85" customHeight="1">
      <c r="N199" s="1610"/>
    </row>
    <row r="200" spans="1:17" ht="11.85" customHeight="1">
      <c r="N200" s="1610"/>
    </row>
    <row r="201" spans="1:17" ht="11.85" customHeight="1">
      <c r="N201" s="1610"/>
    </row>
    <row r="202" spans="1:17" ht="11.85" customHeight="1">
      <c r="N202" s="1610"/>
      <c r="P202" s="1590"/>
      <c r="Q202" s="1590"/>
    </row>
    <row r="203" spans="1:17" ht="7.5" customHeight="1">
      <c r="N203" s="1610"/>
    </row>
    <row r="204" spans="1:17" ht="11.85" customHeight="1">
      <c r="N204" s="1610"/>
    </row>
    <row r="205" spans="1:17" ht="11.85" customHeight="1">
      <c r="N205" s="1610"/>
    </row>
    <row r="206" spans="1:17" ht="11.85" customHeight="1">
      <c r="N206" s="1610"/>
      <c r="P206" s="1590"/>
      <c r="Q206" s="1590"/>
    </row>
    <row r="207" spans="1:17" ht="7.5" customHeight="1"/>
    <row r="208" spans="1:17" ht="11.85" customHeight="1">
      <c r="N208" s="1610"/>
      <c r="P208" s="1590"/>
      <c r="Q208" s="1590"/>
    </row>
    <row r="209" spans="1:17" ht="11.85" customHeight="1">
      <c r="N209" s="1610"/>
      <c r="P209" s="1590"/>
      <c r="Q209" s="1590"/>
    </row>
    <row r="210" spans="1:17" ht="11.85" customHeight="1">
      <c r="N210" s="1610"/>
      <c r="P210" s="1590"/>
      <c r="Q210" s="1590"/>
    </row>
    <row r="211" spans="1:17" ht="7.5" customHeight="1">
      <c r="N211" s="1610"/>
      <c r="P211" s="1590"/>
      <c r="Q211" s="1590"/>
    </row>
    <row r="212" spans="1:17" ht="11.85" customHeight="1">
      <c r="N212" s="1610"/>
      <c r="P212" s="1590"/>
      <c r="Q212" s="1590"/>
    </row>
    <row r="213" spans="1:17" ht="11.85" customHeight="1">
      <c r="N213" s="1610"/>
      <c r="P213" s="1590"/>
      <c r="Q213" s="1590"/>
    </row>
    <row r="214" spans="1:17" ht="11.85" customHeight="1">
      <c r="N214" s="1610"/>
      <c r="P214" s="1590"/>
      <c r="Q214" s="1590"/>
    </row>
    <row r="215" spans="1:17" ht="7.5" customHeight="1">
      <c r="N215" s="1610"/>
      <c r="P215" s="1590"/>
      <c r="Q215" s="1590"/>
    </row>
    <row r="216" spans="1:17" ht="11.85" customHeight="1">
      <c r="N216" s="1610"/>
      <c r="P216" s="1590"/>
      <c r="Q216" s="1590"/>
    </row>
    <row r="217" spans="1:17" ht="11.85" customHeight="1">
      <c r="N217" s="1610"/>
      <c r="P217" s="1590"/>
      <c r="Q217" s="1590"/>
    </row>
    <row r="218" spans="1:17" ht="11.85" customHeight="1">
      <c r="N218" s="1610"/>
      <c r="P218" s="1590"/>
      <c r="Q218" s="1590"/>
    </row>
    <row r="220" spans="1:17" s="1011" customFormat="1" ht="21" customHeight="1">
      <c r="B220" s="1580"/>
      <c r="C220" s="1579"/>
      <c r="D220" s="1579"/>
      <c r="E220" s="1579"/>
      <c r="F220" s="1579"/>
      <c r="G220" s="1579"/>
      <c r="H220" s="1579"/>
      <c r="I220" s="1579"/>
      <c r="J220" s="1579"/>
      <c r="K220" s="1579"/>
      <c r="L220" s="1579"/>
      <c r="M220" s="1579"/>
    </row>
    <row r="224" spans="1:17">
      <c r="A224" s="1541"/>
    </row>
    <row r="227" spans="1:17">
      <c r="A227" s="1531"/>
    </row>
    <row r="228" spans="1:17" ht="14.25" customHeight="1">
      <c r="A228" s="1539"/>
    </row>
    <row r="229" spans="1:17" s="1011" customFormat="1" ht="15" customHeight="1">
      <c r="A229" s="1540"/>
      <c r="B229" s="1580"/>
      <c r="C229" s="1579"/>
      <c r="D229" s="1579"/>
      <c r="E229" s="1579"/>
      <c r="F229" s="1579"/>
      <c r="G229" s="1579"/>
      <c r="H229" s="1579"/>
      <c r="I229" s="1579"/>
      <c r="J229" s="1579"/>
      <c r="K229" s="1579"/>
      <c r="L229" s="1579"/>
      <c r="M229" s="1579"/>
    </row>
    <row r="230" spans="1:17">
      <c r="A230" s="1539"/>
    </row>
    <row r="231" spans="1:17">
      <c r="A231" s="1539"/>
    </row>
    <row r="232" spans="1:17">
      <c r="A232" s="1539"/>
    </row>
    <row r="233" spans="1:17">
      <c r="A233" s="1539"/>
      <c r="P233" s="1602"/>
      <c r="Q233" s="1544"/>
    </row>
    <row r="234" spans="1:17">
      <c r="A234" s="1539"/>
    </row>
    <row r="235" spans="1:17">
      <c r="A235" s="1539"/>
      <c r="P235" s="1602"/>
      <c r="Q235" s="1544"/>
    </row>
    <row r="236" spans="1:17">
      <c r="A236" s="1539"/>
      <c r="P236" s="1602"/>
      <c r="Q236" s="1544"/>
    </row>
    <row r="237" spans="1:17">
      <c r="A237" s="1539"/>
      <c r="P237" s="1602"/>
      <c r="Q237" s="1544"/>
    </row>
    <row r="238" spans="1:17" ht="9" customHeight="1">
      <c r="A238" s="1539"/>
    </row>
    <row r="239" spans="1:17">
      <c r="A239" s="1539"/>
    </row>
    <row r="240" spans="1:17">
      <c r="A240" s="1539"/>
    </row>
    <row r="241" spans="1:17">
      <c r="A241" s="1539"/>
      <c r="P241" s="1602"/>
      <c r="Q241" s="1544"/>
    </row>
    <row r="242" spans="1:17" ht="9" customHeight="1">
      <c r="A242" s="1539"/>
      <c r="P242" s="1602"/>
      <c r="Q242" s="1544"/>
    </row>
    <row r="243" spans="1:17">
      <c r="A243" s="1539"/>
      <c r="P243" s="1602"/>
      <c r="Q243" s="1544"/>
    </row>
    <row r="244" spans="1:17">
      <c r="A244" s="1539"/>
      <c r="P244" s="1602"/>
      <c r="Q244" s="1544"/>
    </row>
    <row r="245" spans="1:17">
      <c r="A245" s="1539"/>
      <c r="P245" s="1602"/>
      <c r="Q245" s="1544"/>
    </row>
    <row r="246" spans="1:17">
      <c r="A246" s="1539"/>
      <c r="P246" s="1602"/>
      <c r="Q246" s="1544"/>
    </row>
    <row r="247" spans="1:17">
      <c r="A247" s="1539"/>
    </row>
    <row r="248" spans="1:17">
      <c r="A248" s="1539"/>
    </row>
    <row r="249" spans="1:17">
      <c r="A249" s="1539"/>
    </row>
    <row r="250" spans="1:17" ht="12" hidden="1" customHeight="1">
      <c r="A250" s="1531"/>
    </row>
    <row r="251" spans="1:17" ht="12" hidden="1" customHeight="1">
      <c r="A251" s="1531"/>
    </row>
    <row r="252" spans="1:17" ht="12" hidden="1" customHeight="1"/>
    <row r="256" spans="1:17">
      <c r="A256" s="1537"/>
    </row>
    <row r="258" spans="1:13" ht="12" customHeight="1"/>
    <row r="259" spans="1:13" ht="12" customHeight="1"/>
    <row r="261" spans="1:13" s="31" customFormat="1" ht="12" customHeight="1">
      <c r="A261" s="1425"/>
      <c r="B261" s="1580"/>
      <c r="C261" s="1579"/>
      <c r="D261" s="1579"/>
      <c r="E261" s="1579"/>
      <c r="F261" s="1579"/>
      <c r="G261" s="1579"/>
      <c r="H261" s="1579"/>
      <c r="I261" s="1579"/>
      <c r="J261" s="1579"/>
      <c r="K261" s="1579"/>
      <c r="L261" s="1579"/>
      <c r="M261" s="1579"/>
    </row>
    <row r="262" spans="1:13" s="31" customFormat="1" ht="12" customHeight="1">
      <c r="A262" s="286"/>
      <c r="B262" s="1580"/>
      <c r="C262" s="1579"/>
      <c r="D262" s="1579"/>
      <c r="E262" s="1579"/>
      <c r="F262" s="1579"/>
      <c r="G262" s="1579"/>
      <c r="H262" s="1579"/>
      <c r="I262" s="1579"/>
      <c r="J262" s="1579"/>
      <c r="K262" s="1579"/>
      <c r="L262" s="1579"/>
      <c r="M262" s="1579"/>
    </row>
    <row r="263" spans="1:13" s="31" customFormat="1" ht="9" customHeight="1">
      <c r="A263" s="286"/>
      <c r="B263" s="1580"/>
      <c r="C263" s="1579"/>
      <c r="D263" s="1579"/>
      <c r="E263" s="1579"/>
      <c r="F263" s="1579"/>
      <c r="G263" s="1579"/>
      <c r="H263" s="1579"/>
      <c r="I263" s="1579"/>
      <c r="J263" s="1579"/>
      <c r="K263" s="1579"/>
      <c r="L263" s="1579"/>
      <c r="M263" s="1579"/>
    </row>
    <row r="264" spans="1:13" s="211" customFormat="1" ht="17.25" customHeight="1">
      <c r="A264" s="1641"/>
      <c r="B264" s="1580"/>
      <c r="C264" s="1579"/>
      <c r="D264" s="1579"/>
      <c r="E264" s="1579"/>
      <c r="F264" s="1579"/>
      <c r="G264" s="1579"/>
      <c r="H264" s="1579"/>
      <c r="I264" s="1579"/>
      <c r="J264" s="1579"/>
      <c r="K264" s="1579"/>
      <c r="L264" s="1579"/>
      <c r="M264" s="1579"/>
    </row>
    <row r="265" spans="1:13" s="211" customFormat="1" ht="9" customHeight="1">
      <c r="A265" s="1641"/>
      <c r="B265" s="1580"/>
      <c r="C265" s="1579"/>
      <c r="D265" s="1579"/>
      <c r="E265" s="1579"/>
      <c r="F265" s="1579"/>
      <c r="G265" s="1579"/>
      <c r="H265" s="1579"/>
      <c r="I265" s="1579"/>
      <c r="J265" s="1579"/>
      <c r="K265" s="1579"/>
      <c r="L265" s="1579"/>
      <c r="M265" s="1579"/>
    </row>
    <row r="267" spans="1:13" ht="20.25" customHeight="1"/>
    <row r="268" spans="1:13">
      <c r="A268" s="1537"/>
    </row>
    <row r="270" spans="1:13" s="1011" customFormat="1" ht="15" customHeight="1">
      <c r="B270" s="1580"/>
      <c r="C270" s="1579"/>
      <c r="D270" s="1579"/>
      <c r="E270" s="1579"/>
      <c r="F270" s="1579"/>
      <c r="G270" s="1579"/>
      <c r="H270" s="1579"/>
      <c r="I270" s="1579"/>
      <c r="J270" s="1579"/>
      <c r="K270" s="1579"/>
      <c r="L270" s="1579"/>
      <c r="M270" s="1579"/>
    </row>
    <row r="271" spans="1:13" ht="12" customHeight="1"/>
    <row r="275" ht="12" customHeight="1"/>
  </sheetData>
  <mergeCells count="13">
    <mergeCell ref="K5:K11"/>
    <mergeCell ref="L5:L11"/>
    <mergeCell ref="M5:M11"/>
    <mergeCell ref="H6:H11"/>
    <mergeCell ref="I6:I11"/>
    <mergeCell ref="J6:J11"/>
    <mergeCell ref="G5:G11"/>
    <mergeCell ref="H5:J5"/>
    <mergeCell ref="B5:B11"/>
    <mergeCell ref="C5:C11"/>
    <mergeCell ref="D5:D11"/>
    <mergeCell ref="E5:E11"/>
    <mergeCell ref="F5:F11"/>
  </mergeCells>
  <pageMargins left="0.6" right="0.35" top="0.62" bottom="0.4" header="0.45" footer="0.5"/>
  <pageSetup scale="63" firstPageNumber="8" fitToHeight="0" orientation="portrait" useFirstPageNumber="1" r:id="rId1"/>
  <rowBreaks count="2" manualBreakCount="2">
    <brk id="129" max="12" man="1"/>
    <brk id="225" max="12"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D595"/>
  <sheetViews>
    <sheetView showGridLines="0" view="pageBreakPreview" topLeftCell="A465" zoomScale="115" zoomScaleNormal="100" zoomScaleSheetLayoutView="115" workbookViewId="0">
      <selection activeCell="M43" sqref="M1:XFD1048576"/>
    </sheetView>
  </sheetViews>
  <sheetFormatPr defaultColWidth="0" defaultRowHeight="12"/>
  <cols>
    <col min="1" max="1" width="7.7109375" style="5" customWidth="1"/>
    <col min="2" max="2" width="4.140625" style="5" customWidth="1"/>
    <col min="3" max="3" width="21.28515625" style="5" customWidth="1"/>
    <col min="4" max="4" width="4.5703125" style="5" customWidth="1"/>
    <col min="5" max="5" width="10" style="5" customWidth="1"/>
    <col min="6" max="6" width="8.85546875" style="5" customWidth="1"/>
    <col min="7" max="7" width="9.5703125" style="5" customWidth="1"/>
    <col min="8" max="8" width="10.42578125" style="5" customWidth="1"/>
    <col min="9" max="9" width="1.140625" style="5" customWidth="1"/>
    <col min="10" max="10" width="13.28515625" style="5" customWidth="1"/>
    <col min="11" max="11" width="1.140625" style="5" customWidth="1"/>
    <col min="12" max="12" width="13.28515625" style="5" customWidth="1"/>
    <col min="13" max="13" width="16.7109375" style="1829" hidden="1"/>
    <col min="14" max="14" width="13.140625" style="5" hidden="1"/>
    <col min="15" max="15" width="14" style="5" hidden="1"/>
    <col min="16" max="16" width="10.42578125" style="5" hidden="1"/>
    <col min="17" max="17" width="10.5703125" style="5" hidden="1"/>
    <col min="18" max="18" width="10" style="5" hidden="1"/>
    <col min="19" max="19" width="13.7109375" style="5" hidden="1"/>
    <col min="20" max="20" width="25.85546875" style="5" hidden="1"/>
    <col min="21" max="21" width="27.85546875" style="5" hidden="1"/>
    <col min="22" max="22" width="26.140625" style="5" hidden="1"/>
    <col min="23" max="23" width="17.28515625" style="5" hidden="1"/>
    <col min="24" max="30" width="0" style="5" hidden="1"/>
    <col min="31" max="16384" width="9.140625" style="5" hidden="1"/>
  </cols>
  <sheetData>
    <row r="1" spans="1:14" hidden="1"/>
    <row r="2" spans="1:14" s="10" customFormat="1" ht="12.75" hidden="1">
      <c r="A2" s="246"/>
      <c r="B2" s="246"/>
      <c r="C2" s="248"/>
      <c r="D2" s="1881"/>
      <c r="E2" s="1881"/>
      <c r="F2" s="1881"/>
      <c r="G2" s="1881"/>
      <c r="H2" s="1881"/>
      <c r="I2" s="1881"/>
      <c r="J2" s="1882" t="s">
        <v>1809</v>
      </c>
      <c r="K2" s="1881"/>
      <c r="L2" s="752" t="s">
        <v>1314</v>
      </c>
      <c r="M2" s="1830"/>
      <c r="N2" s="752"/>
    </row>
    <row r="3" spans="1:14" s="10" customFormat="1" ht="12.75" hidden="1">
      <c r="A3" s="327"/>
      <c r="B3" s="327"/>
      <c r="C3" s="1883"/>
      <c r="D3" s="978"/>
      <c r="E3" s="978"/>
      <c r="F3" s="979"/>
      <c r="G3" s="979"/>
      <c r="H3" s="980" t="s">
        <v>910</v>
      </c>
      <c r="I3" s="1884"/>
      <c r="J3" s="1885">
        <v>2020</v>
      </c>
      <c r="K3" s="174"/>
      <c r="L3" s="173" t="s">
        <v>909</v>
      </c>
      <c r="M3" s="617"/>
    </row>
    <row r="4" spans="1:14" s="10" customFormat="1" ht="12.75" hidden="1">
      <c r="A4" s="327"/>
      <c r="B4" s="327"/>
      <c r="C4" s="981"/>
      <c r="D4" s="978"/>
      <c r="E4" s="978"/>
      <c r="F4" s="979"/>
      <c r="G4" s="979"/>
      <c r="H4" s="979"/>
      <c r="I4" s="172"/>
      <c r="J4" s="1902" t="s">
        <v>1310</v>
      </c>
      <c r="K4" s="1903"/>
      <c r="L4" s="1903"/>
      <c r="M4" s="617"/>
    </row>
    <row r="5" spans="1:14" s="10" customFormat="1" ht="12.75" hidden="1">
      <c r="A5" s="319">
        <f>'5.2 - 5.3'!A8+0</f>
        <v>7.1999999999999993</v>
      </c>
      <c r="B5" s="976" t="s">
        <v>1694</v>
      </c>
      <c r="C5" s="981"/>
      <c r="D5" s="978"/>
      <c r="E5" s="978"/>
      <c r="F5" s="979"/>
      <c r="G5" s="979"/>
      <c r="H5" s="979"/>
      <c r="I5" s="974"/>
      <c r="J5" s="974"/>
      <c r="K5" s="974"/>
      <c r="L5" s="974"/>
      <c r="M5" s="617"/>
    </row>
    <row r="6" spans="1:14" s="10" customFormat="1" ht="12.75" hidden="1">
      <c r="A6" s="319"/>
      <c r="B6" s="977" t="s">
        <v>1481</v>
      </c>
      <c r="C6" s="981"/>
      <c r="D6" s="978"/>
      <c r="E6" s="978"/>
      <c r="F6" s="979"/>
      <c r="G6" s="979"/>
      <c r="H6" s="979"/>
      <c r="I6" s="974"/>
      <c r="J6" s="974"/>
      <c r="K6" s="974"/>
      <c r="L6" s="974"/>
      <c r="M6" s="617"/>
    </row>
    <row r="7" spans="1:14" s="10" customFormat="1" ht="12.75" hidden="1">
      <c r="A7" s="1886"/>
      <c r="B7" s="1886"/>
      <c r="C7" s="981"/>
      <c r="D7" s="978"/>
      <c r="E7" s="978"/>
      <c r="F7" s="979"/>
      <c r="G7" s="979"/>
      <c r="H7" s="979"/>
      <c r="I7" s="974"/>
      <c r="J7" s="974"/>
      <c r="K7" s="974"/>
      <c r="L7" s="974"/>
      <c r="M7" s="617"/>
    </row>
    <row r="8" spans="1:14" s="10" customFormat="1" ht="12.75" hidden="1">
      <c r="A8" s="982"/>
      <c r="B8" s="570" t="s">
        <v>1482</v>
      </c>
      <c r="C8" s="981"/>
      <c r="D8" s="978"/>
      <c r="E8" s="978"/>
      <c r="F8" s="979"/>
      <c r="G8" s="979"/>
      <c r="H8" s="979"/>
      <c r="I8" s="1887" t="s">
        <v>1735</v>
      </c>
      <c r="J8" s="1888" t="e">
        <f>'5 - 5.1.2'!I36+'5 - 5.1.2'!#REF!+'5.1.2.1 - 5.1.7'!H28+'5.1.2.1 - 5.1.7'!H71+'5.1.2.1 - 5.1.7'!#REF!+'5.1.2.1 - 5.1.7'!H117+'5.1.2.1 - 5.1.7'!#REF!</f>
        <v>#REF!</v>
      </c>
      <c r="K8" s="1889"/>
      <c r="L8" s="983">
        <v>1117107</v>
      </c>
      <c r="M8" s="617"/>
    </row>
    <row r="9" spans="1:14" s="10" customFormat="1" ht="12.75" hidden="1">
      <c r="A9" s="982"/>
      <c r="B9" s="570" t="s">
        <v>1483</v>
      </c>
      <c r="C9" s="981"/>
      <c r="D9" s="978"/>
      <c r="E9" s="978"/>
      <c r="F9" s="979"/>
      <c r="G9" s="979"/>
      <c r="H9" s="979"/>
      <c r="I9" s="1887" t="s">
        <v>1735</v>
      </c>
      <c r="J9" s="1888" t="e">
        <f>-('5 - 5.1.2'!H36+'5 - 5.1.2'!#REF!+'5.1.2.1 - 5.1.7'!G28+'5.1.2.1 - 5.1.7'!G71+'5.1.2.1 - 5.1.7'!#REF!+'5.1.2.1 - 5.1.7'!G117+'5.1.2.1 - 5.1.7'!#REF!)</f>
        <v>#REF!</v>
      </c>
      <c r="K9" s="1889"/>
      <c r="L9" s="1890">
        <v>-1123674</v>
      </c>
      <c r="M9" s="617"/>
    </row>
    <row r="10" spans="1:14" s="39" customFormat="1" ht="21" hidden="1" customHeight="1" thickBot="1">
      <c r="A10" s="1891"/>
      <c r="B10" s="1892"/>
      <c r="C10" s="1893"/>
      <c r="D10" s="333"/>
      <c r="E10" s="333"/>
      <c r="F10" s="1894"/>
      <c r="G10" s="1894"/>
      <c r="H10" s="1894"/>
      <c r="I10" s="1895"/>
      <c r="J10" s="1896" t="e">
        <f>SUM(J8:J9)</f>
        <v>#REF!</v>
      </c>
      <c r="K10" s="1897"/>
      <c r="L10" s="1898">
        <v>-6567</v>
      </c>
      <c r="M10" s="1145"/>
      <c r="N10" s="39" t="e">
        <f>'5 - 5.1.2'!J36+'5.1.2.1 - 5.1.7'!I28+'5.1.2.1 - 5.1.7'!I71+'5.1.2.1 - 5.1.7'!#REF!+'5.1.2.1 - 5.1.7'!I117</f>
        <v>#REF!</v>
      </c>
    </row>
    <row r="11" spans="1:14" s="10" customFormat="1" ht="13.5" hidden="1" thickTop="1">
      <c r="A11" s="982"/>
      <c r="B11" s="976"/>
      <c r="C11" s="981"/>
      <c r="D11" s="978"/>
      <c r="E11" s="978"/>
      <c r="F11" s="979"/>
      <c r="G11" s="979"/>
      <c r="H11" s="979"/>
      <c r="I11" s="974"/>
      <c r="J11" s="984"/>
      <c r="K11" s="1284"/>
      <c r="L11" s="983"/>
      <c r="M11" s="617"/>
    </row>
    <row r="12" spans="1:14" s="10" customFormat="1" ht="12.75" hidden="1">
      <c r="A12" s="319">
        <f>A5+0.1</f>
        <v>7.2999999999999989</v>
      </c>
      <c r="B12" s="976" t="s">
        <v>987</v>
      </c>
      <c r="C12" s="981"/>
      <c r="D12" s="978"/>
      <c r="E12" s="978"/>
      <c r="F12" s="979"/>
      <c r="G12" s="979"/>
      <c r="H12" s="979"/>
      <c r="I12" s="974"/>
      <c r="J12" s="984"/>
      <c r="K12" s="1284"/>
      <c r="L12" s="983"/>
      <c r="M12" s="617"/>
    </row>
    <row r="13" spans="1:14" s="10" customFormat="1" ht="12.75" hidden="1">
      <c r="A13" s="319"/>
      <c r="B13" s="977" t="s">
        <v>1101</v>
      </c>
      <c r="C13" s="981"/>
      <c r="D13" s="978"/>
      <c r="E13" s="978"/>
      <c r="F13" s="979"/>
      <c r="G13" s="979"/>
      <c r="H13" s="979"/>
      <c r="I13" s="974"/>
      <c r="J13" s="984"/>
      <c r="K13" s="1284"/>
      <c r="L13" s="983"/>
      <c r="M13" s="617"/>
    </row>
    <row r="14" spans="1:14" s="10" customFormat="1" ht="12.75" hidden="1">
      <c r="A14" s="982"/>
      <c r="B14" s="976"/>
      <c r="C14" s="981"/>
      <c r="D14" s="978"/>
      <c r="E14" s="978"/>
      <c r="F14" s="979"/>
      <c r="G14" s="979"/>
      <c r="H14" s="979"/>
      <c r="I14" s="974"/>
      <c r="J14" s="984"/>
      <c r="K14" s="1284"/>
      <c r="L14" s="983"/>
      <c r="M14" s="617"/>
    </row>
    <row r="15" spans="1:14" s="10" customFormat="1" ht="12.75" hidden="1">
      <c r="A15" s="982"/>
      <c r="B15" s="570" t="s">
        <v>1020</v>
      </c>
      <c r="C15" s="981"/>
      <c r="D15" s="978"/>
      <c r="E15" s="978"/>
      <c r="F15" s="979"/>
      <c r="G15" s="979"/>
      <c r="H15" s="979"/>
      <c r="I15" s="974"/>
      <c r="J15" s="984">
        <f>'5.2 - 5.3'!J18</f>
        <v>0</v>
      </c>
      <c r="K15" s="1284"/>
      <c r="L15" s="983">
        <f>'5.2 - 5.3'!J20</f>
        <v>7462</v>
      </c>
      <c r="M15" s="617"/>
    </row>
    <row r="16" spans="1:14" s="10" customFormat="1" ht="12.75" hidden="1">
      <c r="A16" s="982"/>
      <c r="B16" s="570" t="s">
        <v>1102</v>
      </c>
      <c r="C16" s="981"/>
      <c r="D16" s="978"/>
      <c r="E16" s="978"/>
      <c r="F16" s="979"/>
      <c r="G16" s="979"/>
      <c r="H16" s="979"/>
      <c r="I16" s="974"/>
      <c r="J16" s="984">
        <f>-'5.2 - 5.3'!I18</f>
        <v>0</v>
      </c>
      <c r="K16" s="1284"/>
      <c r="L16" s="983">
        <f>-'5.2 - 5.3'!I20</f>
        <v>-7424</v>
      </c>
      <c r="M16" s="617"/>
    </row>
    <row r="17" spans="1:14" s="10" customFormat="1" ht="12.75" hidden="1">
      <c r="A17" s="982"/>
      <c r="B17" s="570"/>
      <c r="C17" s="981"/>
      <c r="D17" s="978"/>
      <c r="E17" s="978"/>
      <c r="F17" s="979"/>
      <c r="G17" s="979"/>
      <c r="H17" s="979"/>
      <c r="I17" s="974"/>
      <c r="J17" s="985">
        <f>SUM(J15:J16)</f>
        <v>0</v>
      </c>
      <c r="K17" s="1284"/>
      <c r="L17" s="986">
        <f>SUM(L15:L16)</f>
        <v>38</v>
      </c>
      <c r="M17" s="617"/>
    </row>
    <row r="18" spans="1:14" s="10" customFormat="1" ht="12.75" hidden="1">
      <c r="A18" s="982"/>
      <c r="B18" s="570" t="s">
        <v>1103</v>
      </c>
      <c r="C18" s="981"/>
      <c r="D18" s="978"/>
      <c r="E18" s="978"/>
      <c r="F18" s="979"/>
      <c r="G18" s="979"/>
      <c r="H18" s="979"/>
      <c r="I18" s="974"/>
      <c r="J18" s="984"/>
      <c r="K18" s="1284"/>
      <c r="L18" s="983"/>
      <c r="M18" s="617"/>
    </row>
    <row r="19" spans="1:14" s="10" customFormat="1" ht="12.75" hidden="1">
      <c r="A19" s="982"/>
      <c r="B19" s="987" t="s">
        <v>1104</v>
      </c>
      <c r="C19" s="981"/>
      <c r="D19" s="978"/>
      <c r="E19" s="978"/>
      <c r="F19" s="979"/>
      <c r="G19" s="979"/>
      <c r="H19" s="979"/>
      <c r="I19" s="974"/>
      <c r="J19" s="984">
        <f>-L17*0</f>
        <v>0</v>
      </c>
      <c r="K19" s="1284"/>
      <c r="L19" s="983">
        <v>179</v>
      </c>
      <c r="M19" s="617"/>
    </row>
    <row r="20" spans="1:14" s="10" customFormat="1" ht="13.5" hidden="1" thickBot="1">
      <c r="A20" s="982"/>
      <c r="B20" s="570"/>
      <c r="C20" s="981"/>
      <c r="D20" s="978"/>
      <c r="E20" s="978"/>
      <c r="F20" s="979"/>
      <c r="G20" s="979"/>
      <c r="H20" s="979"/>
      <c r="I20" s="974"/>
      <c r="J20" s="975">
        <f>J17+J19</f>
        <v>0</v>
      </c>
      <c r="K20" s="1284"/>
      <c r="L20" s="988">
        <f>L17+L19</f>
        <v>217</v>
      </c>
      <c r="M20" s="617"/>
    </row>
    <row r="21" spans="1:14" s="10" customFormat="1" ht="12.75" hidden="1">
      <c r="A21" s="319"/>
      <c r="B21" s="1459"/>
      <c r="C21" s="1459"/>
      <c r="D21" s="1459"/>
      <c r="E21" s="1459"/>
      <c r="F21" s="1459"/>
      <c r="G21" s="1459"/>
      <c r="H21" s="1459"/>
      <c r="I21" s="1459"/>
      <c r="J21" s="1459"/>
      <c r="K21" s="1459"/>
      <c r="L21" s="1459"/>
      <c r="M21" s="1831"/>
      <c r="N21" s="1459"/>
    </row>
    <row r="22" spans="1:14" s="10" customFormat="1" ht="12.75">
      <c r="A22" s="1674" t="s">
        <v>2105</v>
      </c>
      <c r="B22" s="976" t="s">
        <v>1487</v>
      </c>
      <c r="C22" s="976"/>
      <c r="D22" s="976"/>
      <c r="E22" s="976"/>
      <c r="F22" s="976"/>
      <c r="G22" s="976"/>
      <c r="H22" s="976"/>
      <c r="I22" s="976"/>
      <c r="J22" s="976"/>
      <c r="K22" s="976"/>
      <c r="L22" s="976"/>
      <c r="M22" s="1832"/>
      <c r="N22" s="976"/>
    </row>
    <row r="23" spans="1:14" s="10" customFormat="1" ht="12.75">
      <c r="A23" s="319"/>
      <c r="B23" s="1511" t="s">
        <v>1488</v>
      </c>
      <c r="C23" s="976"/>
      <c r="D23" s="976"/>
      <c r="E23" s="976"/>
      <c r="F23" s="976"/>
      <c r="G23" s="976"/>
      <c r="H23" s="976"/>
      <c r="I23" s="976"/>
      <c r="J23" s="976"/>
      <c r="K23" s="976"/>
      <c r="L23" s="976"/>
      <c r="M23" s="1832"/>
      <c r="N23" s="976"/>
    </row>
    <row r="24" spans="1:14" s="10" customFormat="1" ht="12.75">
      <c r="A24" s="319"/>
      <c r="B24" s="1511"/>
      <c r="C24" s="976"/>
      <c r="D24" s="976"/>
      <c r="E24" s="976"/>
      <c r="F24" s="976"/>
      <c r="G24" s="976"/>
      <c r="H24" s="976"/>
      <c r="I24" s="976"/>
      <c r="J24" s="976"/>
      <c r="K24" s="976"/>
      <c r="L24" s="976"/>
      <c r="M24" s="1832"/>
      <c r="N24" s="976"/>
    </row>
    <row r="25" spans="1:14" s="10" customFormat="1" ht="12.75">
      <c r="A25" s="319"/>
      <c r="B25" s="2061" t="s">
        <v>1107</v>
      </c>
      <c r="C25" s="2061"/>
      <c r="D25" s="2061"/>
      <c r="E25" s="2061"/>
      <c r="F25" s="2061"/>
      <c r="G25" s="2061"/>
      <c r="H25" s="2061"/>
      <c r="I25" s="2061"/>
      <c r="J25" s="2061"/>
      <c r="K25" s="2061"/>
      <c r="L25" s="2061"/>
      <c r="M25" s="1830"/>
      <c r="N25" s="1463"/>
    </row>
    <row r="26" spans="1:14" s="10" customFormat="1" ht="12.75">
      <c r="A26" s="319"/>
      <c r="B26" s="2061"/>
      <c r="C26" s="2061"/>
      <c r="D26" s="2061"/>
      <c r="E26" s="2061"/>
      <c r="F26" s="2061"/>
      <c r="G26" s="2061"/>
      <c r="H26" s="2061"/>
      <c r="I26" s="2061"/>
      <c r="J26" s="2061"/>
      <c r="K26" s="2061"/>
      <c r="L26" s="2061"/>
      <c r="M26" s="1830"/>
      <c r="N26" s="1463"/>
    </row>
    <row r="27" spans="1:14" s="10" customFormat="1" ht="12.75">
      <c r="A27" s="319"/>
      <c r="B27" s="2061"/>
      <c r="C27" s="2061"/>
      <c r="D27" s="2061"/>
      <c r="E27" s="2061"/>
      <c r="F27" s="2061"/>
      <c r="G27" s="2061"/>
      <c r="H27" s="2061"/>
      <c r="I27" s="2061"/>
      <c r="J27" s="2061"/>
      <c r="K27" s="2061"/>
      <c r="L27" s="2061"/>
      <c r="M27" s="1830"/>
      <c r="N27" s="1463"/>
    </row>
    <row r="28" spans="1:14" s="10" customFormat="1" ht="12.75">
      <c r="A28" s="319"/>
      <c r="B28" s="2061"/>
      <c r="C28" s="2061"/>
      <c r="D28" s="2061"/>
      <c r="E28" s="2061"/>
      <c r="F28" s="2061"/>
      <c r="G28" s="2061"/>
      <c r="H28" s="2061"/>
      <c r="I28" s="2061"/>
      <c r="J28" s="2061"/>
      <c r="K28" s="2061"/>
      <c r="L28" s="2061"/>
      <c r="M28" s="1830"/>
      <c r="N28" s="1463"/>
    </row>
    <row r="29" spans="1:14" s="10" customFormat="1" ht="12.75">
      <c r="A29" s="319"/>
      <c r="B29" s="1459"/>
      <c r="C29" s="1459"/>
      <c r="D29" s="1459"/>
      <c r="E29" s="1459"/>
      <c r="F29" s="1459"/>
      <c r="G29" s="1459"/>
      <c r="H29" s="1459"/>
      <c r="I29" s="1459"/>
      <c r="J29" s="1459"/>
      <c r="K29" s="1459"/>
      <c r="L29" s="1459"/>
      <c r="M29" s="1831"/>
    </row>
    <row r="30" spans="1:14" s="10" customFormat="1" ht="12.75" customHeight="1">
      <c r="A30" s="1512"/>
      <c r="B30" s="2062" t="s">
        <v>1108</v>
      </c>
      <c r="C30" s="2063"/>
      <c r="D30" s="2051" t="s">
        <v>910</v>
      </c>
      <c r="E30" s="2051" t="s">
        <v>1109</v>
      </c>
      <c r="F30" s="2051" t="s">
        <v>1110</v>
      </c>
      <c r="G30" s="2051" t="s">
        <v>1111</v>
      </c>
      <c r="H30" s="2051" t="s">
        <v>1112</v>
      </c>
      <c r="I30" s="2054" t="s">
        <v>1113</v>
      </c>
      <c r="J30" s="2055"/>
      <c r="K30" s="2068" t="s">
        <v>1114</v>
      </c>
      <c r="L30" s="2069"/>
      <c r="M30" s="617"/>
    </row>
    <row r="31" spans="1:14" s="10" customFormat="1" ht="12.75">
      <c r="A31" s="1512"/>
      <c r="B31" s="2064"/>
      <c r="C31" s="2065"/>
      <c r="D31" s="2052"/>
      <c r="E31" s="2052"/>
      <c r="F31" s="2052"/>
      <c r="G31" s="2052"/>
      <c r="H31" s="2052"/>
      <c r="I31" s="2056"/>
      <c r="J31" s="2057"/>
      <c r="K31" s="2070"/>
      <c r="L31" s="2071"/>
      <c r="M31" s="617"/>
    </row>
    <row r="32" spans="1:14" s="10" customFormat="1" ht="21" customHeight="1">
      <c r="A32" s="1512"/>
      <c r="B32" s="2064"/>
      <c r="C32" s="2065"/>
      <c r="D32" s="2052"/>
      <c r="E32" s="2052"/>
      <c r="F32" s="2052"/>
      <c r="G32" s="2052"/>
      <c r="H32" s="2052"/>
      <c r="I32" s="2056"/>
      <c r="J32" s="2057"/>
      <c r="K32" s="2070"/>
      <c r="L32" s="2071"/>
      <c r="M32" s="617"/>
    </row>
    <row r="33" spans="1:19" s="10" customFormat="1" ht="12.75">
      <c r="A33" s="1512"/>
      <c r="B33" s="2066"/>
      <c r="C33" s="2067"/>
      <c r="D33" s="2053"/>
      <c r="E33" s="2053"/>
      <c r="F33" s="2053"/>
      <c r="G33" s="2053"/>
      <c r="H33" s="2053"/>
      <c r="I33" s="2058"/>
      <c r="J33" s="2059"/>
      <c r="K33" s="2072"/>
      <c r="L33" s="2073"/>
      <c r="M33" s="617"/>
    </row>
    <row r="34" spans="1:19" s="10" customFormat="1" ht="12.75">
      <c r="A34" s="1512"/>
      <c r="B34" s="1513"/>
      <c r="C34" s="1513"/>
      <c r="D34" s="1513"/>
      <c r="E34" s="1514"/>
      <c r="F34" s="1514"/>
      <c r="G34" s="1514"/>
      <c r="H34" s="1514"/>
      <c r="I34" s="1515"/>
      <c r="J34" s="1515"/>
      <c r="K34" s="1515"/>
      <c r="L34" s="1514"/>
      <c r="M34" s="617"/>
    </row>
    <row r="35" spans="1:19" s="10" customFormat="1" ht="12.75">
      <c r="A35" s="1516"/>
      <c r="B35" s="1517" t="s">
        <v>1484</v>
      </c>
      <c r="C35" s="1518"/>
      <c r="D35" s="1519" t="s">
        <v>2162</v>
      </c>
      <c r="E35" s="1520" t="s">
        <v>1048</v>
      </c>
      <c r="F35" s="1521">
        <v>18743</v>
      </c>
      <c r="G35" s="1522">
        <v>-18743</v>
      </c>
      <c r="H35" s="1522">
        <v>0</v>
      </c>
      <c r="I35" s="1522"/>
      <c r="J35" s="1522">
        <v>0</v>
      </c>
      <c r="K35" s="1522"/>
      <c r="L35" s="1522">
        <v>0</v>
      </c>
      <c r="M35" s="1833"/>
    </row>
    <row r="36" spans="1:19" s="10" customFormat="1" ht="12.75">
      <c r="A36" s="1516"/>
      <c r="B36" s="1523"/>
      <c r="C36" s="1518"/>
      <c r="D36" s="1519"/>
      <c r="E36" s="1520"/>
      <c r="F36" s="1521"/>
      <c r="G36" s="1522"/>
      <c r="H36" s="1522"/>
      <c r="I36" s="1522"/>
      <c r="J36" s="1522"/>
      <c r="K36" s="1522"/>
      <c r="L36" s="1522"/>
      <c r="M36" s="1833"/>
    </row>
    <row r="37" spans="1:19" s="10" customFormat="1" ht="12.75">
      <c r="A37" s="1512"/>
      <c r="B37" s="472" t="s">
        <v>1485</v>
      </c>
      <c r="C37" s="1524"/>
      <c r="D37" s="1525" t="s">
        <v>2162</v>
      </c>
      <c r="E37" s="1520" t="s">
        <v>1048</v>
      </c>
      <c r="F37" s="1526">
        <v>31088</v>
      </c>
      <c r="G37" s="1527">
        <v>-31088</v>
      </c>
      <c r="H37" s="1522">
        <v>0</v>
      </c>
      <c r="I37" s="1522"/>
      <c r="J37" s="1527">
        <v>0</v>
      </c>
      <c r="K37" s="1527"/>
      <c r="L37" s="1527">
        <v>0</v>
      </c>
      <c r="M37" s="1834"/>
    </row>
    <row r="38" spans="1:19" s="10" customFormat="1" ht="12.75">
      <c r="A38" s="1512"/>
      <c r="B38" s="1528"/>
      <c r="C38" s="1524"/>
      <c r="D38" s="1525"/>
      <c r="E38" s="1520"/>
      <c r="F38" s="1526"/>
      <c r="G38" s="1527"/>
      <c r="H38" s="1522"/>
      <c r="I38" s="1522"/>
      <c r="J38" s="1527"/>
      <c r="K38" s="1527"/>
      <c r="L38" s="1527"/>
      <c r="M38" s="1834"/>
    </row>
    <row r="39" spans="1:19" s="10" customFormat="1" ht="12.75">
      <c r="A39" s="1512"/>
      <c r="B39" s="472" t="s">
        <v>1486</v>
      </c>
      <c r="C39" s="1524"/>
      <c r="D39" s="1525" t="s">
        <v>2162</v>
      </c>
      <c r="E39" s="1520" t="s">
        <v>1048</v>
      </c>
      <c r="F39" s="1526">
        <v>49940</v>
      </c>
      <c r="G39" s="1527">
        <v>-49940</v>
      </c>
      <c r="H39" s="1522">
        <v>0</v>
      </c>
      <c r="I39" s="1522"/>
      <c r="J39" s="1527">
        <v>0</v>
      </c>
      <c r="K39" s="1527"/>
      <c r="L39" s="1527">
        <v>0</v>
      </c>
      <c r="M39" s="1834"/>
    </row>
    <row r="40" spans="1:19" s="10" customFormat="1" ht="12.75">
      <c r="A40" s="319"/>
      <c r="B40" s="989"/>
      <c r="C40" s="1459"/>
      <c r="D40" s="1459"/>
      <c r="E40" s="1459"/>
      <c r="F40" s="1459"/>
      <c r="G40" s="1459"/>
      <c r="H40" s="1459"/>
      <c r="I40" s="1459"/>
      <c r="J40" s="1459"/>
      <c r="K40" s="1459"/>
      <c r="L40" s="1459"/>
      <c r="M40" s="1831"/>
    </row>
    <row r="41" spans="1:19" s="10" customFormat="1" ht="12.75">
      <c r="A41" s="319"/>
      <c r="B41" s="989"/>
      <c r="C41" s="1459"/>
      <c r="D41" s="1459"/>
      <c r="E41" s="1459"/>
      <c r="F41" s="1459"/>
      <c r="G41" s="1459"/>
      <c r="H41" s="1459"/>
      <c r="I41" s="1459"/>
      <c r="J41" s="1459"/>
      <c r="K41" s="1459"/>
      <c r="L41" s="1459"/>
      <c r="M41" s="1831"/>
    </row>
    <row r="42" spans="1:19" s="10" customFormat="1" ht="12.75" customHeight="1">
      <c r="A42" s="319"/>
      <c r="B42" s="2074" t="s">
        <v>1293</v>
      </c>
      <c r="C42" s="2074"/>
      <c r="D42" s="2074"/>
      <c r="E42" s="2074"/>
      <c r="F42" s="2074"/>
      <c r="G42" s="2074"/>
      <c r="H42" s="2074"/>
      <c r="I42" s="2074"/>
      <c r="J42" s="2074"/>
      <c r="K42" s="2074"/>
      <c r="L42" s="2074"/>
      <c r="M42" s="1835"/>
    </row>
    <row r="43" spans="1:19" s="10" customFormat="1" ht="12.75">
      <c r="A43" s="319"/>
      <c r="B43" s="2074"/>
      <c r="C43" s="2074"/>
      <c r="D43" s="2074"/>
      <c r="E43" s="2074"/>
      <c r="F43" s="2074"/>
      <c r="G43" s="2074"/>
      <c r="H43" s="2074"/>
      <c r="I43" s="2074"/>
      <c r="J43" s="2074"/>
      <c r="K43" s="2074"/>
      <c r="L43" s="2074"/>
      <c r="M43" s="1835"/>
    </row>
    <row r="44" spans="1:19" s="10" customFormat="1" ht="12.75">
      <c r="A44" s="319"/>
      <c r="B44" s="2074"/>
      <c r="C44" s="2074"/>
      <c r="D44" s="2074"/>
      <c r="E44" s="2074"/>
      <c r="F44" s="2074"/>
      <c r="G44" s="2074"/>
      <c r="H44" s="2074"/>
      <c r="I44" s="2074"/>
      <c r="J44" s="2074"/>
      <c r="K44" s="2074"/>
      <c r="L44" s="2074"/>
      <c r="M44" s="1835"/>
    </row>
    <row r="45" spans="1:19" s="10" customFormat="1" ht="12.75">
      <c r="A45" s="319"/>
      <c r="B45" s="2074"/>
      <c r="C45" s="2074"/>
      <c r="D45" s="2074"/>
      <c r="E45" s="2074"/>
      <c r="F45" s="2074"/>
      <c r="G45" s="2074"/>
      <c r="H45" s="2074"/>
      <c r="I45" s="2074"/>
      <c r="J45" s="2074"/>
      <c r="K45" s="2074"/>
      <c r="L45" s="2074"/>
      <c r="M45" s="1835"/>
    </row>
    <row r="46" spans="1:19" s="10" customFormat="1" ht="12.75">
      <c r="A46" s="319"/>
      <c r="B46" s="2074"/>
      <c r="C46" s="2074"/>
      <c r="D46" s="2074"/>
      <c r="E46" s="2074"/>
      <c r="F46" s="2074"/>
      <c r="G46" s="2074"/>
      <c r="H46" s="2074"/>
      <c r="I46" s="2074"/>
      <c r="J46" s="2074"/>
      <c r="K46" s="2074"/>
      <c r="L46" s="2074"/>
      <c r="M46" s="1835"/>
    </row>
    <row r="47" spans="1:19" s="10" customFormat="1" ht="12.75" hidden="1">
      <c r="A47" s="319"/>
      <c r="B47" s="989"/>
      <c r="C47" s="1459"/>
      <c r="D47" s="1459"/>
      <c r="E47" s="1459"/>
      <c r="F47" s="1459"/>
      <c r="G47" s="1459"/>
      <c r="H47" s="1459"/>
      <c r="I47" s="1459"/>
      <c r="J47" s="1459"/>
      <c r="K47" s="1459"/>
      <c r="L47" s="1459"/>
      <c r="M47" s="1831"/>
    </row>
    <row r="48" spans="1:19" s="255" customFormat="1" ht="12.75" hidden="1">
      <c r="A48" s="316"/>
      <c r="B48" s="317"/>
      <c r="C48" s="317"/>
      <c r="D48" s="317"/>
      <c r="E48" s="317"/>
      <c r="F48" s="317"/>
      <c r="G48" s="317"/>
      <c r="H48" s="317"/>
      <c r="I48" s="317"/>
      <c r="J48" s="752" t="s">
        <v>1809</v>
      </c>
      <c r="K48" s="89"/>
      <c r="L48" s="752" t="s">
        <v>1314</v>
      </c>
      <c r="M48" s="1836"/>
      <c r="N48" s="318"/>
      <c r="O48" s="318"/>
      <c r="P48" s="318"/>
      <c r="Q48" s="318"/>
      <c r="R48" s="318"/>
      <c r="S48" s="318"/>
    </row>
    <row r="49" spans="1:23" s="321" customFormat="1" ht="12.95" hidden="1" customHeight="1">
      <c r="A49" s="319"/>
      <c r="B49" s="1459"/>
      <c r="C49" s="320"/>
      <c r="D49" s="320"/>
      <c r="E49" s="320"/>
      <c r="F49" s="320"/>
      <c r="G49" s="320"/>
      <c r="H49" s="980"/>
      <c r="I49" s="177"/>
      <c r="J49" s="173" t="s">
        <v>1535</v>
      </c>
      <c r="K49" s="174"/>
      <c r="L49" s="173" t="s">
        <v>1535</v>
      </c>
      <c r="M49" s="1837"/>
      <c r="N49" s="320"/>
      <c r="O49" s="320"/>
      <c r="P49" s="320"/>
      <c r="Q49" s="320"/>
      <c r="R49" s="320"/>
      <c r="S49" s="320"/>
    </row>
    <row r="50" spans="1:23" s="321" customFormat="1" ht="12.95" hidden="1" customHeight="1">
      <c r="A50" s="322"/>
      <c r="B50" s="323"/>
      <c r="C50" s="320"/>
      <c r="D50" s="320"/>
      <c r="E50" s="320"/>
      <c r="F50" s="320"/>
      <c r="G50" s="320"/>
      <c r="H50" s="177"/>
      <c r="I50" s="172"/>
      <c r="J50" s="2075" t="s">
        <v>1310</v>
      </c>
      <c r="K50" s="2076"/>
      <c r="L50" s="2076"/>
      <c r="M50" s="1837"/>
      <c r="N50" s="320"/>
      <c r="O50" s="320"/>
      <c r="P50" s="320"/>
      <c r="Q50" s="320"/>
      <c r="R50" s="320"/>
      <c r="S50" s="320"/>
    </row>
    <row r="51" spans="1:23" s="321" customFormat="1" ht="12.95" hidden="1" customHeight="1">
      <c r="A51" s="324" t="s">
        <v>1115</v>
      </c>
      <c r="B51" s="325" t="s">
        <v>1116</v>
      </c>
      <c r="C51" s="320"/>
      <c r="D51" s="320"/>
      <c r="E51" s="320"/>
      <c r="F51" s="320"/>
      <c r="G51" s="320"/>
      <c r="H51" s="172"/>
      <c r="I51" s="172"/>
      <c r="J51" s="1873"/>
      <c r="K51" s="1874"/>
      <c r="L51" s="1874"/>
      <c r="M51" s="1837"/>
      <c r="N51" s="320"/>
      <c r="O51" s="320"/>
      <c r="P51" s="320"/>
      <c r="Q51" s="320"/>
      <c r="R51" s="320"/>
      <c r="S51" s="320"/>
    </row>
    <row r="52" spans="1:23" s="321" customFormat="1" ht="12.95" hidden="1" customHeight="1">
      <c r="A52" s="322"/>
      <c r="B52" s="323"/>
      <c r="C52" s="320"/>
      <c r="D52" s="320"/>
      <c r="E52" s="320"/>
      <c r="F52" s="320"/>
      <c r="G52" s="320"/>
      <c r="H52" s="172"/>
      <c r="I52" s="172"/>
      <c r="J52" s="1873"/>
      <c r="K52" s="1874"/>
      <c r="L52" s="1874"/>
      <c r="M52" s="1837"/>
      <c r="N52" s="320"/>
      <c r="O52" s="320"/>
      <c r="P52" s="320"/>
      <c r="Q52" s="320"/>
      <c r="R52" s="320"/>
      <c r="S52" s="320"/>
    </row>
    <row r="53" spans="1:23" s="306" customFormat="1" ht="12.95" hidden="1" customHeight="1">
      <c r="A53" s="322"/>
      <c r="B53" s="317" t="s">
        <v>1117</v>
      </c>
      <c r="C53" s="323"/>
      <c r="D53" s="323"/>
      <c r="E53" s="323"/>
      <c r="F53" s="323"/>
      <c r="G53" s="323"/>
      <c r="H53" s="323"/>
      <c r="I53" s="323"/>
      <c r="J53" s="326"/>
      <c r="K53" s="323"/>
      <c r="L53" s="323"/>
      <c r="M53" s="1838"/>
      <c r="N53" s="327"/>
      <c r="O53" s="327"/>
      <c r="P53" s="327"/>
      <c r="Q53" s="327"/>
      <c r="R53" s="327"/>
      <c r="S53" s="327"/>
    </row>
    <row r="54" spans="1:23" s="306" customFormat="1" ht="12.95" hidden="1" customHeight="1">
      <c r="A54" s="322"/>
      <c r="B54" s="997" t="s">
        <v>1507</v>
      </c>
      <c r="C54" s="323"/>
      <c r="D54" s="323"/>
      <c r="E54" s="323"/>
      <c r="F54" s="323"/>
      <c r="G54" s="323"/>
      <c r="H54" s="323"/>
      <c r="I54" s="323"/>
      <c r="J54" s="1064">
        <f>'Lead - 2020'!K99</f>
        <v>4200.0083699999996</v>
      </c>
      <c r="K54" s="323"/>
      <c r="L54" s="328">
        <v>2586</v>
      </c>
      <c r="M54" s="1838"/>
      <c r="N54" s="1066"/>
      <c r="O54" s="1066"/>
      <c r="P54" s="327"/>
      <c r="Q54" s="327"/>
      <c r="R54" s="327"/>
      <c r="S54" s="327"/>
    </row>
    <row r="55" spans="1:23" s="306" customFormat="1" ht="12.95" hidden="1" customHeight="1">
      <c r="A55" s="322"/>
      <c r="B55" s="998" t="s">
        <v>1508</v>
      </c>
      <c r="C55" s="323"/>
      <c r="D55" s="323"/>
      <c r="E55" s="323"/>
      <c r="F55" s="323"/>
      <c r="G55" s="323"/>
      <c r="H55" s="323"/>
      <c r="I55" s="323"/>
      <c r="J55" s="326"/>
      <c r="K55" s="323"/>
      <c r="L55" s="323"/>
      <c r="M55" s="1838"/>
      <c r="N55" s="707" t="s">
        <v>1352</v>
      </c>
      <c r="O55" s="327"/>
      <c r="P55" s="327"/>
      <c r="Q55" s="327"/>
      <c r="R55" s="327"/>
      <c r="S55" s="327"/>
    </row>
    <row r="56" spans="1:23" s="306" customFormat="1" ht="12.95" hidden="1" customHeight="1">
      <c r="A56" s="322"/>
      <c r="B56" s="999" t="s">
        <v>1014</v>
      </c>
      <c r="C56" s="323"/>
      <c r="D56" s="323"/>
      <c r="E56" s="323"/>
      <c r="F56" s="323"/>
      <c r="G56" s="323"/>
      <c r="H56" s="323"/>
      <c r="I56" s="323"/>
      <c r="J56" s="1064">
        <v>0</v>
      </c>
      <c r="K56" s="323"/>
      <c r="L56" s="328">
        <v>0</v>
      </c>
      <c r="M56" s="1838"/>
      <c r="N56" s="327"/>
      <c r="O56" s="327"/>
      <c r="P56" s="327"/>
      <c r="Q56" s="327"/>
      <c r="R56" s="327"/>
      <c r="S56" s="327"/>
    </row>
    <row r="57" spans="1:23" s="306" customFormat="1" ht="12.95" hidden="1" customHeight="1">
      <c r="A57" s="322"/>
      <c r="B57" s="329" t="s">
        <v>1433</v>
      </c>
      <c r="C57" s="323"/>
      <c r="D57" s="323"/>
      <c r="E57" s="323"/>
      <c r="F57" s="323"/>
      <c r="G57" s="323"/>
      <c r="H57" s="323"/>
      <c r="I57" s="323"/>
      <c r="J57" s="1064">
        <v>5259</v>
      </c>
      <c r="K57" s="323"/>
      <c r="L57" s="328">
        <v>23527</v>
      </c>
      <c r="M57" s="1838"/>
      <c r="N57" s="327">
        <f>'Lead - 2020'!K109</f>
        <v>5224.9124000000002</v>
      </c>
      <c r="O57" s="327"/>
      <c r="P57" s="327"/>
      <c r="Q57" s="327"/>
      <c r="R57" s="327"/>
      <c r="S57" s="327"/>
    </row>
    <row r="58" spans="1:23" s="306" customFormat="1" ht="12.95" hidden="1" customHeight="1">
      <c r="A58" s="322"/>
      <c r="B58" s="999" t="s">
        <v>1353</v>
      </c>
      <c r="C58" s="323"/>
      <c r="D58" s="323"/>
      <c r="E58" s="323"/>
      <c r="F58" s="323"/>
      <c r="G58" s="323"/>
      <c r="H58" s="323"/>
      <c r="I58" s="323"/>
      <c r="J58" s="1064">
        <v>0</v>
      </c>
      <c r="K58" s="323"/>
      <c r="L58" s="328">
        <v>0</v>
      </c>
      <c r="M58" s="1838"/>
      <c r="N58" s="327"/>
      <c r="O58" s="327" t="s">
        <v>1048</v>
      </c>
      <c r="P58" s="327" t="s">
        <v>1350</v>
      </c>
      <c r="Q58" s="327"/>
      <c r="R58" s="327"/>
      <c r="S58" s="327"/>
    </row>
    <row r="59" spans="1:23" s="306" customFormat="1" ht="12.95" hidden="1" customHeight="1">
      <c r="A59" s="322"/>
      <c r="B59" s="329" t="s">
        <v>1011</v>
      </c>
      <c r="C59" s="323"/>
      <c r="D59" s="323"/>
      <c r="E59" s="323"/>
      <c r="F59" s="323"/>
      <c r="G59" s="323"/>
      <c r="H59" s="323"/>
      <c r="I59" s="323"/>
      <c r="J59" s="1064">
        <f>'Lead - 2020'!K113</f>
        <v>3557.52016</v>
      </c>
      <c r="K59" s="323"/>
      <c r="L59" s="328">
        <v>0</v>
      </c>
      <c r="M59" s="1838"/>
      <c r="N59" s="327"/>
      <c r="O59" s="327">
        <f>N57-P59</f>
        <v>-2180.0875999999998</v>
      </c>
      <c r="P59" s="327">
        <v>7405</v>
      </c>
      <c r="Q59" s="327"/>
      <c r="R59" s="327"/>
      <c r="S59" s="327"/>
    </row>
    <row r="60" spans="1:23" s="306" customFormat="1" ht="12.95" hidden="1" customHeight="1">
      <c r="A60" s="322"/>
      <c r="B60" s="997" t="s">
        <v>1509</v>
      </c>
      <c r="C60" s="323"/>
      <c r="D60" s="323"/>
      <c r="E60" s="323"/>
      <c r="F60" s="323"/>
      <c r="G60" s="323"/>
      <c r="H60" s="323"/>
      <c r="I60" s="323"/>
      <c r="J60" s="1064">
        <f>'Lead - 2020'!K119</f>
        <v>365.49200000000002</v>
      </c>
      <c r="K60" s="323"/>
      <c r="L60" s="328">
        <v>0</v>
      </c>
      <c r="M60" s="1838"/>
      <c r="N60" s="327"/>
      <c r="O60" s="327"/>
      <c r="P60" s="327"/>
      <c r="Q60" s="327"/>
      <c r="R60" s="327"/>
      <c r="S60" s="327"/>
    </row>
    <row r="61" spans="1:23" s="334" customFormat="1" ht="21" hidden="1" customHeight="1" thickBot="1">
      <c r="A61" s="322"/>
      <c r="B61" s="331"/>
      <c r="C61" s="331"/>
      <c r="D61" s="331"/>
      <c r="E61" s="331"/>
      <c r="F61" s="331"/>
      <c r="G61" s="331"/>
      <c r="H61" s="331"/>
      <c r="I61" s="331"/>
      <c r="J61" s="1065">
        <f>SUM(J54:J60)</f>
        <v>13382.02053</v>
      </c>
      <c r="K61" s="331"/>
      <c r="L61" s="332">
        <v>26113</v>
      </c>
      <c r="M61" s="1839"/>
      <c r="N61" s="333"/>
      <c r="O61" s="333"/>
      <c r="P61" s="333"/>
      <c r="Q61" s="333"/>
      <c r="R61" s="333"/>
      <c r="S61" s="333"/>
    </row>
    <row r="62" spans="1:23" ht="12.95" hidden="1" customHeight="1" thickTop="1">
      <c r="A62" s="10"/>
      <c r="B62" s="10"/>
      <c r="C62" s="10"/>
      <c r="D62" s="10"/>
      <c r="E62" s="10"/>
      <c r="F62" s="10"/>
      <c r="G62" s="10"/>
      <c r="H62" s="10"/>
      <c r="I62" s="10"/>
      <c r="J62" s="9"/>
      <c r="K62" s="10"/>
      <c r="L62" s="10"/>
      <c r="M62" s="617"/>
      <c r="N62" s="10"/>
      <c r="O62" s="10"/>
      <c r="P62" s="10"/>
      <c r="Q62" s="10"/>
      <c r="R62" s="10"/>
      <c r="S62" s="10"/>
      <c r="T62" s="1285"/>
      <c r="U62" s="1285"/>
      <c r="V62" s="1286"/>
      <c r="W62" s="1286"/>
    </row>
    <row r="63" spans="1:23" ht="12.95" hidden="1" customHeight="1">
      <c r="A63" s="10"/>
      <c r="B63" s="10"/>
      <c r="C63" s="10"/>
      <c r="D63" s="10"/>
      <c r="E63" s="10"/>
      <c r="F63" s="10"/>
      <c r="G63" s="10"/>
      <c r="H63" s="10"/>
      <c r="I63" s="10"/>
      <c r="J63" s="9"/>
      <c r="K63" s="10"/>
      <c r="L63" s="10"/>
      <c r="M63" s="617"/>
      <c r="N63" s="10"/>
      <c r="O63" s="10"/>
      <c r="P63" s="10"/>
      <c r="Q63" s="10"/>
      <c r="R63" s="10"/>
      <c r="S63" s="10"/>
      <c r="T63" s="1285"/>
      <c r="U63" s="1285"/>
      <c r="V63" s="1286"/>
      <c r="W63" s="1286"/>
    </row>
    <row r="64" spans="1:23" s="306" customFormat="1" ht="12.95" hidden="1" customHeight="1">
      <c r="A64" s="324" t="s">
        <v>1119</v>
      </c>
      <c r="B64" s="325" t="s">
        <v>1120</v>
      </c>
      <c r="C64" s="323"/>
      <c r="D64" s="323"/>
      <c r="E64" s="323"/>
      <c r="F64" s="323"/>
      <c r="G64" s="323"/>
      <c r="H64" s="323"/>
      <c r="I64" s="323"/>
      <c r="J64" s="326"/>
      <c r="K64" s="323"/>
      <c r="L64" s="323"/>
      <c r="M64" s="1838"/>
      <c r="N64" s="327"/>
      <c r="O64" s="327"/>
      <c r="P64" s="327"/>
      <c r="Q64" s="327"/>
      <c r="R64" s="327"/>
      <c r="S64" s="327"/>
      <c r="T64" s="1285"/>
      <c r="U64" s="1285"/>
    </row>
    <row r="65" spans="1:21" s="306" customFormat="1" ht="12.95" hidden="1" customHeight="1">
      <c r="A65" s="322"/>
      <c r="B65" s="323"/>
      <c r="C65" s="323"/>
      <c r="D65" s="323"/>
      <c r="E65" s="323"/>
      <c r="F65" s="323"/>
      <c r="G65" s="323"/>
      <c r="H65" s="323"/>
      <c r="I65" s="323"/>
      <c r="J65" s="326"/>
      <c r="K65" s="323"/>
      <c r="L65" s="323"/>
      <c r="M65" s="1838"/>
      <c r="N65" s="327"/>
      <c r="O65" s="327"/>
      <c r="P65" s="327"/>
      <c r="Q65" s="327"/>
      <c r="R65" s="327"/>
      <c r="S65" s="327"/>
      <c r="T65" s="1285"/>
      <c r="U65" s="1285"/>
    </row>
    <row r="66" spans="1:21" s="306" customFormat="1" ht="12.95" hidden="1" customHeight="1">
      <c r="A66" s="322"/>
      <c r="B66" s="317" t="s">
        <v>1121</v>
      </c>
      <c r="C66" s="323"/>
      <c r="D66" s="323"/>
      <c r="E66" s="323"/>
      <c r="F66" s="323"/>
      <c r="G66" s="323"/>
      <c r="H66" s="335"/>
      <c r="I66" s="335"/>
      <c r="J66" s="336">
        <f>'Lead - 2020'!K135</f>
        <v>4186.4848700000002</v>
      </c>
      <c r="K66" s="323"/>
      <c r="L66" s="328">
        <v>4187</v>
      </c>
      <c r="M66" s="1838"/>
      <c r="N66" s="327">
        <f>'Lead - 2020'!K121</f>
        <v>5</v>
      </c>
      <c r="O66" s="327"/>
      <c r="P66" s="327"/>
      <c r="Q66" s="327"/>
      <c r="R66" s="327"/>
      <c r="S66" s="327"/>
      <c r="T66" s="1285"/>
      <c r="U66" s="1285"/>
    </row>
    <row r="67" spans="1:21" s="306" customFormat="1" ht="12.95" hidden="1" customHeight="1">
      <c r="A67" s="322"/>
      <c r="B67" s="330" t="s">
        <v>1122</v>
      </c>
      <c r="C67" s="323"/>
      <c r="D67" s="323"/>
      <c r="E67" s="323"/>
      <c r="F67" s="323"/>
      <c r="G67" s="323"/>
      <c r="H67" s="323"/>
      <c r="I67" s="323"/>
      <c r="J67" s="336">
        <f>'Lead - 2020'!K139</f>
        <v>2500</v>
      </c>
      <c r="K67" s="323"/>
      <c r="L67" s="328">
        <v>2500</v>
      </c>
      <c r="M67" s="1838"/>
      <c r="N67" s="327">
        <f>+'Lead - 2020'!K127</f>
        <v>247.03251</v>
      </c>
      <c r="O67" s="327"/>
      <c r="P67" s="327"/>
      <c r="Q67" s="327"/>
      <c r="R67" s="327"/>
      <c r="S67" s="327"/>
      <c r="T67" s="1285"/>
      <c r="U67" s="1285"/>
    </row>
    <row r="68" spans="1:21" s="306" customFormat="1" ht="12.95" hidden="1" customHeight="1">
      <c r="A68" s="322"/>
      <c r="B68" s="330" t="s">
        <v>1123</v>
      </c>
      <c r="C68" s="323"/>
      <c r="D68" s="323"/>
      <c r="E68" s="323"/>
      <c r="F68" s="323"/>
      <c r="G68" s="323"/>
      <c r="H68" s="323"/>
      <c r="I68" s="323"/>
      <c r="J68" s="336">
        <f>'Lead - 2020'!K142</f>
        <v>200</v>
      </c>
      <c r="K68" s="323"/>
      <c r="L68" s="328">
        <v>200</v>
      </c>
      <c r="M68" s="1838"/>
      <c r="N68" s="327">
        <f>+'Lead - 2020'!K128</f>
        <v>3800.88942</v>
      </c>
      <c r="O68" s="327"/>
      <c r="P68" s="327"/>
      <c r="Q68" s="327"/>
      <c r="R68" s="327"/>
      <c r="S68" s="327"/>
      <c r="T68" s="1285"/>
      <c r="U68" s="1285"/>
    </row>
    <row r="69" spans="1:21" s="306" customFormat="1" ht="12.95" hidden="1" customHeight="1">
      <c r="A69" s="322"/>
      <c r="B69" s="330" t="s">
        <v>1124</v>
      </c>
      <c r="C69" s="323"/>
      <c r="D69" s="323"/>
      <c r="E69" s="323"/>
      <c r="F69" s="323"/>
      <c r="G69" s="323"/>
      <c r="H69" s="323"/>
      <c r="I69" s="323"/>
      <c r="J69" s="336"/>
      <c r="K69" s="323"/>
      <c r="L69" s="328">
        <v>30000</v>
      </c>
      <c r="M69" s="1838"/>
      <c r="N69" s="327"/>
      <c r="O69" s="327"/>
      <c r="P69" s="327"/>
      <c r="Q69" s="327"/>
      <c r="R69" s="327"/>
      <c r="S69" s="327"/>
      <c r="T69" s="1285"/>
      <c r="U69" s="1285"/>
    </row>
    <row r="70" spans="1:21" s="306" customFormat="1" ht="12.95" hidden="1" customHeight="1">
      <c r="A70" s="322"/>
      <c r="C70" s="323"/>
      <c r="D70" s="323"/>
      <c r="E70" s="323"/>
      <c r="F70" s="323"/>
      <c r="G70" s="323"/>
      <c r="H70" s="323"/>
      <c r="I70" s="323"/>
      <c r="J70" s="336"/>
      <c r="K70" s="323"/>
      <c r="L70" s="328"/>
      <c r="M70" s="1838"/>
      <c r="N70" s="327" t="s">
        <v>1125</v>
      </c>
      <c r="O70" s="327"/>
      <c r="P70" s="327"/>
      <c r="Q70" s="327"/>
      <c r="R70" s="327"/>
      <c r="S70" s="327"/>
      <c r="T70" s="1285"/>
      <c r="U70" s="1285"/>
    </row>
    <row r="71" spans="1:21" s="306" customFormat="1" ht="12.75" hidden="1" customHeight="1">
      <c r="A71" s="322"/>
      <c r="B71" s="330" t="s">
        <v>1126</v>
      </c>
      <c r="C71" s="323"/>
      <c r="D71" s="323"/>
      <c r="E71" s="323"/>
      <c r="F71" s="323"/>
      <c r="G71" s="323"/>
      <c r="H71" s="323"/>
      <c r="I71" s="323"/>
      <c r="J71" s="336">
        <f>'Lead - 2020'!K138</f>
        <v>0</v>
      </c>
      <c r="K71" s="323"/>
      <c r="L71" s="328">
        <v>0</v>
      </c>
      <c r="M71" s="1838"/>
      <c r="N71" s="327"/>
      <c r="O71" s="327"/>
      <c r="P71" s="327"/>
      <c r="Q71" s="327"/>
      <c r="R71" s="327"/>
      <c r="S71" s="327"/>
      <c r="T71" s="1285"/>
      <c r="U71" s="1285"/>
    </row>
    <row r="72" spans="1:21" s="306" customFormat="1" ht="12.95" hidden="1" customHeight="1">
      <c r="A72" s="322"/>
      <c r="B72" s="317" t="s">
        <v>1127</v>
      </c>
      <c r="C72" s="323"/>
      <c r="D72" s="323"/>
      <c r="E72" s="323"/>
      <c r="F72" s="323"/>
      <c r="G72" s="323"/>
      <c r="H72" s="323"/>
      <c r="I72" s="323"/>
      <c r="J72" s="336">
        <f>'Lead - 2020'!K126+'Lead - 2020'!K147+'Lead - 2020'!K123+'Lead - 2020'!K149+'Lead - 2020'!K124</f>
        <v>235.62846999999999</v>
      </c>
      <c r="K72" s="323"/>
      <c r="L72" s="328">
        <v>401</v>
      </c>
      <c r="M72" s="1838"/>
      <c r="N72" s="327"/>
      <c r="O72" s="327"/>
      <c r="P72" s="327"/>
      <c r="Q72" s="327"/>
      <c r="R72" s="327"/>
      <c r="S72" s="327"/>
      <c r="T72" s="1285"/>
      <c r="U72" s="1285"/>
    </row>
    <row r="73" spans="1:21" s="306" customFormat="1" ht="12.95" hidden="1" customHeight="1">
      <c r="A73" s="322"/>
      <c r="B73" s="317" t="s">
        <v>1128</v>
      </c>
      <c r="C73" s="323"/>
      <c r="D73" s="323"/>
      <c r="E73" s="323"/>
      <c r="F73" s="323"/>
      <c r="G73" s="323"/>
      <c r="H73" s="323"/>
      <c r="I73" s="323"/>
      <c r="J73" s="336">
        <f>'Lead - 2020'!K121+'Lead - 2020'!K127+'Lead - 2020'!K128</f>
        <v>4052.92193</v>
      </c>
      <c r="K73" s="323"/>
      <c r="L73" s="328">
        <v>563</v>
      </c>
      <c r="M73" s="1838"/>
      <c r="N73" s="327"/>
      <c r="O73" s="327"/>
      <c r="P73" s="327"/>
      <c r="Q73" s="327"/>
      <c r="R73" s="327"/>
      <c r="S73" s="327"/>
      <c r="T73" s="1285"/>
      <c r="U73" s="1285"/>
    </row>
    <row r="74" spans="1:21" s="334" customFormat="1" ht="21" hidden="1" customHeight="1" thickBot="1">
      <c r="A74" s="322"/>
      <c r="B74" s="331"/>
      <c r="C74" s="331"/>
      <c r="D74" s="331"/>
      <c r="E74" s="331"/>
      <c r="F74" s="331"/>
      <c r="G74" s="331"/>
      <c r="H74" s="331"/>
      <c r="I74" s="331"/>
      <c r="J74" s="1065">
        <f>SUM(J66:J73)</f>
        <v>11175.03527</v>
      </c>
      <c r="K74" s="331"/>
      <c r="L74" s="332">
        <f>SUM(L66:L73)</f>
        <v>37851</v>
      </c>
      <c r="M74" s="1839">
        <v>17519</v>
      </c>
      <c r="N74" s="333">
        <f>L74+M74</f>
        <v>55370</v>
      </c>
      <c r="O74" s="333">
        <f>M74+N74</f>
        <v>72889</v>
      </c>
      <c r="P74" s="333"/>
      <c r="Q74" s="333"/>
      <c r="R74" s="333"/>
      <c r="S74" s="333"/>
      <c r="T74" s="1285"/>
      <c r="U74" s="1285"/>
    </row>
    <row r="75" spans="1:21" s="306" customFormat="1" ht="13.5" hidden="1" thickTop="1">
      <c r="A75" s="322"/>
      <c r="B75" s="323"/>
      <c r="C75" s="323"/>
      <c r="D75" s="323"/>
      <c r="E75" s="323"/>
      <c r="F75" s="323"/>
      <c r="G75" s="323"/>
      <c r="H75" s="323"/>
      <c r="I75" s="323"/>
      <c r="J75" s="336"/>
      <c r="K75" s="323"/>
      <c r="L75" s="337"/>
      <c r="M75" s="1838"/>
      <c r="N75" s="327"/>
      <c r="O75" s="327"/>
      <c r="P75" s="327"/>
      <c r="Q75" s="327"/>
      <c r="R75" s="327"/>
      <c r="S75" s="327"/>
      <c r="T75" s="1285"/>
      <c r="U75" s="1285"/>
    </row>
    <row r="76" spans="1:21" s="306" customFormat="1" ht="12.75" hidden="1">
      <c r="A76" s="322"/>
      <c r="B76" s="323"/>
      <c r="C76" s="323"/>
      <c r="D76" s="323"/>
      <c r="E76" s="323"/>
      <c r="F76" s="323"/>
      <c r="G76" s="323"/>
      <c r="H76" s="323"/>
      <c r="I76" s="323"/>
      <c r="J76" s="336"/>
      <c r="K76" s="323"/>
      <c r="L76" s="337"/>
      <c r="M76" s="1838"/>
      <c r="N76" s="327"/>
      <c r="O76" s="327"/>
      <c r="P76" s="327"/>
      <c r="Q76" s="327"/>
      <c r="R76" s="327"/>
      <c r="S76" s="327"/>
    </row>
    <row r="77" spans="1:21" s="306" customFormat="1" ht="12.75" hidden="1">
      <c r="A77" s="322"/>
      <c r="B77" s="323"/>
      <c r="C77" s="323"/>
      <c r="D77" s="323"/>
      <c r="E77" s="323"/>
      <c r="F77" s="323"/>
      <c r="G77" s="323"/>
      <c r="H77" s="317"/>
      <c r="I77" s="317"/>
      <c r="J77" s="752" t="s">
        <v>1809</v>
      </c>
      <c r="K77" s="89"/>
      <c r="L77" s="752" t="s">
        <v>1809</v>
      </c>
      <c r="M77" s="1838"/>
      <c r="N77" s="327"/>
      <c r="O77" s="327"/>
      <c r="P77" s="327"/>
      <c r="Q77" s="327"/>
      <c r="R77" s="327"/>
      <c r="S77" s="327"/>
    </row>
    <row r="78" spans="1:21" s="306" customFormat="1" ht="12.75" hidden="1">
      <c r="A78" s="322"/>
      <c r="B78" s="323"/>
      <c r="C78" s="323"/>
      <c r="D78" s="323"/>
      <c r="E78" s="323"/>
      <c r="F78" s="323"/>
      <c r="G78" s="323"/>
      <c r="H78" s="321"/>
      <c r="I78" s="177"/>
      <c r="J78" s="173" t="s">
        <v>1535</v>
      </c>
      <c r="K78" s="174"/>
      <c r="L78" s="173" t="s">
        <v>909</v>
      </c>
      <c r="M78" s="1838"/>
      <c r="N78" s="327"/>
      <c r="O78" s="327"/>
      <c r="P78" s="327"/>
      <c r="Q78" s="327"/>
      <c r="R78" s="327"/>
      <c r="S78" s="327"/>
    </row>
    <row r="79" spans="1:21" s="306" customFormat="1" ht="12.75" hidden="1">
      <c r="A79" s="322"/>
      <c r="B79" s="323"/>
      <c r="C79" s="323"/>
      <c r="D79" s="323"/>
      <c r="E79" s="323"/>
      <c r="F79" s="323"/>
      <c r="G79" s="323"/>
      <c r="H79" s="177" t="s">
        <v>910</v>
      </c>
      <c r="I79" s="172"/>
      <c r="J79" s="2075" t="s">
        <v>1310</v>
      </c>
      <c r="K79" s="2076"/>
      <c r="L79" s="2076"/>
      <c r="M79" s="1838"/>
      <c r="N79" s="327"/>
      <c r="O79" s="327"/>
      <c r="P79" s="327"/>
      <c r="Q79" s="327"/>
      <c r="R79" s="327"/>
      <c r="S79" s="327"/>
    </row>
    <row r="80" spans="1:21" s="306" customFormat="1" ht="12.75" hidden="1">
      <c r="A80" s="322"/>
      <c r="B80" s="323"/>
      <c r="C80" s="323"/>
      <c r="D80" s="323"/>
      <c r="E80" s="323"/>
      <c r="F80" s="323"/>
      <c r="G80" s="323"/>
      <c r="H80" s="323"/>
      <c r="I80" s="323"/>
      <c r="J80" s="336"/>
      <c r="K80" s="323"/>
      <c r="L80" s="337"/>
      <c r="M80" s="1838"/>
      <c r="N80" s="327"/>
      <c r="O80" s="327"/>
      <c r="P80" s="327"/>
      <c r="Q80" s="327"/>
      <c r="R80" s="327"/>
      <c r="S80" s="327"/>
    </row>
    <row r="81" spans="1:20" s="321" customFormat="1" ht="12.95" hidden="1" customHeight="1">
      <c r="A81" s="324" t="s">
        <v>1129</v>
      </c>
      <c r="B81" s="338" t="s">
        <v>1469</v>
      </c>
      <c r="C81" s="320"/>
      <c r="D81" s="320"/>
      <c r="E81" s="320"/>
      <c r="F81" s="320"/>
      <c r="G81" s="320"/>
      <c r="H81" s="172"/>
      <c r="I81" s="172"/>
      <c r="J81" s="2075"/>
      <c r="K81" s="2076"/>
      <c r="L81" s="2076"/>
      <c r="M81" s="1837"/>
      <c r="N81" s="320"/>
      <c r="O81" s="320"/>
      <c r="P81" s="320" t="e">
        <f>-#REF!</f>
        <v>#REF!</v>
      </c>
      <c r="Q81" s="320"/>
      <c r="R81" s="320"/>
      <c r="S81" s="320"/>
    </row>
    <row r="82" spans="1:20" s="321" customFormat="1" ht="12.95" hidden="1" customHeight="1">
      <c r="A82" s="339"/>
      <c r="B82" s="340" t="s">
        <v>1468</v>
      </c>
      <c r="C82" s="320"/>
      <c r="D82" s="320"/>
      <c r="E82" s="320"/>
      <c r="F82" s="320"/>
      <c r="G82" s="320"/>
      <c r="H82" s="320"/>
      <c r="I82" s="320"/>
      <c r="J82" s="341"/>
      <c r="K82" s="341"/>
      <c r="L82" s="342"/>
      <c r="M82" s="1837"/>
      <c r="N82" s="320"/>
      <c r="O82" s="320"/>
      <c r="P82" s="320"/>
      <c r="Q82" s="320"/>
      <c r="R82" s="320"/>
      <c r="S82" s="320"/>
    </row>
    <row r="83" spans="1:20" s="321" customFormat="1" ht="8.25" hidden="1" customHeight="1">
      <c r="A83" s="339"/>
      <c r="B83" s="340"/>
      <c r="C83" s="320"/>
      <c r="D83" s="320"/>
      <c r="E83" s="320"/>
      <c r="F83" s="320"/>
      <c r="G83" s="320"/>
      <c r="H83" s="320"/>
      <c r="I83" s="320"/>
      <c r="J83" s="341"/>
      <c r="K83" s="341"/>
      <c r="L83" s="342"/>
      <c r="M83" s="1837"/>
      <c r="N83" s="320"/>
      <c r="O83" s="320"/>
      <c r="P83" s="320"/>
      <c r="Q83" s="320"/>
      <c r="R83" s="320"/>
      <c r="S83" s="320"/>
    </row>
    <row r="84" spans="1:20" s="321" customFormat="1" ht="12.95" hidden="1" customHeight="1">
      <c r="A84" s="343"/>
      <c r="B84" s="339" t="s">
        <v>1130</v>
      </c>
      <c r="C84" s="320"/>
      <c r="D84" s="320"/>
      <c r="E84" s="320"/>
      <c r="F84" s="320"/>
      <c r="G84" s="320"/>
      <c r="H84" s="335">
        <f>A91</f>
        <v>8.1</v>
      </c>
      <c r="I84" s="335"/>
      <c r="J84" s="341">
        <f>-'Lead - 2020'!K158</f>
        <v>2679</v>
      </c>
      <c r="K84" s="341"/>
      <c r="L84" s="342">
        <v>2882</v>
      </c>
      <c r="M84" s="1837"/>
      <c r="N84" s="320"/>
      <c r="O84" s="320"/>
      <c r="P84" s="320"/>
      <c r="Q84" s="320"/>
      <c r="R84" s="320"/>
      <c r="S84" s="320"/>
    </row>
    <row r="85" spans="1:20" s="321" customFormat="1" ht="12.95" hidden="1" customHeight="1">
      <c r="A85" s="343"/>
      <c r="B85" s="339" t="s">
        <v>1131</v>
      </c>
      <c r="C85" s="320"/>
      <c r="D85" s="320"/>
      <c r="E85" s="320"/>
      <c r="F85" s="320"/>
      <c r="G85" s="320"/>
      <c r="H85" s="344">
        <f>A95</f>
        <v>8.1999999999999993</v>
      </c>
      <c r="I85" s="344"/>
      <c r="J85" s="341">
        <f>-'Lead - 2020'!K160</f>
        <v>347.89774</v>
      </c>
      <c r="K85" s="341"/>
      <c r="L85" s="342">
        <v>375</v>
      </c>
      <c r="M85" s="1837"/>
      <c r="N85" s="320"/>
      <c r="O85" s="320"/>
      <c r="P85" s="320"/>
      <c r="Q85" s="320"/>
      <c r="R85" s="320"/>
      <c r="S85" s="320"/>
    </row>
    <row r="86" spans="1:20" s="321" customFormat="1" ht="12.95" hidden="1" customHeight="1">
      <c r="A86" s="343"/>
      <c r="B86" s="339" t="s">
        <v>1132</v>
      </c>
      <c r="C86" s="320"/>
      <c r="D86" s="320"/>
      <c r="E86" s="320"/>
      <c r="F86" s="320"/>
      <c r="G86" s="320"/>
      <c r="H86" s="320"/>
      <c r="I86" s="320"/>
      <c r="J86" s="341">
        <v>960</v>
      </c>
      <c r="K86" s="341"/>
      <c r="L86" s="342">
        <v>17</v>
      </c>
      <c r="M86" s="1837" t="s">
        <v>1133</v>
      </c>
      <c r="N86" s="320" t="s">
        <v>1134</v>
      </c>
      <c r="O86" s="320" t="s">
        <v>1135</v>
      </c>
      <c r="P86" s="320"/>
      <c r="Q86" s="320"/>
      <c r="R86" s="320"/>
      <c r="S86" s="320"/>
      <c r="T86" s="321">
        <f>J86-404</f>
        <v>556</v>
      </c>
    </row>
    <row r="87" spans="1:20" s="321" customFormat="1" ht="12.95" hidden="1" customHeight="1">
      <c r="A87" s="343"/>
      <c r="B87" s="339" t="s">
        <v>1136</v>
      </c>
      <c r="C87" s="320"/>
      <c r="D87" s="320"/>
      <c r="E87" s="320"/>
      <c r="F87" s="320"/>
      <c r="G87" s="320"/>
      <c r="H87" s="344">
        <f>A97</f>
        <v>8.2999999999999989</v>
      </c>
      <c r="I87" s="344"/>
      <c r="J87" s="341">
        <f>-'Lead - 2020'!K161</f>
        <v>165.26012</v>
      </c>
      <c r="K87" s="341"/>
      <c r="L87" s="342">
        <v>130</v>
      </c>
      <c r="M87" s="1837" t="e">
        <f>#REF!</f>
        <v>#REF!</v>
      </c>
      <c r="N87" s="320">
        <v>122</v>
      </c>
      <c r="O87" s="320" t="e">
        <f>M87-N87</f>
        <v>#REF!</v>
      </c>
      <c r="P87" s="320"/>
      <c r="Q87" s="320"/>
      <c r="R87" s="320"/>
      <c r="S87" s="320"/>
    </row>
    <row r="88" spans="1:20" s="321" customFormat="1" ht="12.95" hidden="1" customHeight="1">
      <c r="A88" s="343"/>
      <c r="B88" s="339" t="s">
        <v>1695</v>
      </c>
      <c r="C88" s="320"/>
      <c r="D88" s="320"/>
      <c r="E88" s="320"/>
      <c r="F88" s="320"/>
      <c r="G88" s="320"/>
      <c r="H88" s="344">
        <v>8.4</v>
      </c>
      <c r="I88" s="344"/>
      <c r="J88" s="341">
        <f>-'Lead - 2020'!K162+1</f>
        <v>634.21181999999999</v>
      </c>
      <c r="K88" s="341"/>
      <c r="L88" s="342">
        <v>477</v>
      </c>
      <c r="M88" s="1837"/>
      <c r="N88" s="320"/>
      <c r="O88" s="320"/>
      <c r="P88" s="320"/>
      <c r="Q88" s="320"/>
      <c r="R88" s="320"/>
      <c r="S88" s="320"/>
    </row>
    <row r="89" spans="1:20" s="194" customFormat="1" ht="21" hidden="1" customHeight="1" thickBot="1">
      <c r="A89" s="345"/>
      <c r="B89" s="188"/>
      <c r="C89" s="346"/>
      <c r="D89" s="346"/>
      <c r="E89" s="346"/>
      <c r="F89" s="346"/>
      <c r="G89" s="346"/>
      <c r="H89" s="346"/>
      <c r="I89" s="346"/>
      <c r="J89" s="1081">
        <f>SUM(J84:J88)</f>
        <v>4786.3696799999998</v>
      </c>
      <c r="K89" s="347"/>
      <c r="L89" s="348">
        <f>SUM(L84:L88)</f>
        <v>3881</v>
      </c>
      <c r="M89" s="1840"/>
      <c r="N89" s="346"/>
      <c r="O89" s="346"/>
      <c r="P89" s="346"/>
      <c r="Q89" s="346"/>
      <c r="R89" s="346"/>
      <c r="S89" s="346"/>
    </row>
    <row r="90" spans="1:20" s="321" customFormat="1" ht="12.95" hidden="1" customHeight="1" thickTop="1">
      <c r="A90" s="343"/>
      <c r="B90" s="339"/>
      <c r="C90" s="320"/>
      <c r="D90" s="320"/>
      <c r="E90" s="320"/>
      <c r="F90" s="320"/>
      <c r="G90" s="320"/>
      <c r="H90" s="320"/>
      <c r="I90" s="320"/>
      <c r="J90" s="342"/>
      <c r="K90" s="341"/>
      <c r="L90" s="342"/>
      <c r="M90" s="1837"/>
      <c r="N90" s="320"/>
      <c r="O90" s="320"/>
      <c r="P90" s="320"/>
      <c r="Q90" s="320"/>
      <c r="R90" s="320"/>
      <c r="S90" s="320"/>
    </row>
    <row r="91" spans="1:20" s="321" customFormat="1" ht="12.75" hidden="1">
      <c r="A91" s="166">
        <f>A81+0.1</f>
        <v>8.1</v>
      </c>
      <c r="B91" s="2077" t="s">
        <v>1725</v>
      </c>
      <c r="C91" s="2077"/>
      <c r="D91" s="2077"/>
      <c r="E91" s="2077"/>
      <c r="F91" s="2077"/>
      <c r="G91" s="2077"/>
      <c r="H91" s="2077"/>
      <c r="I91" s="2077"/>
      <c r="J91" s="2077"/>
      <c r="K91" s="2077"/>
      <c r="L91" s="2077"/>
      <c r="M91" s="1837" t="s">
        <v>1137</v>
      </c>
      <c r="N91" s="320"/>
      <c r="O91" s="320"/>
      <c r="P91" s="320"/>
      <c r="Q91" s="320"/>
      <c r="R91" s="320"/>
      <c r="S91" s="320"/>
    </row>
    <row r="92" spans="1:20" s="321" customFormat="1" ht="12.75" hidden="1">
      <c r="A92" s="166"/>
      <c r="B92" s="2077"/>
      <c r="C92" s="2077"/>
      <c r="D92" s="2077"/>
      <c r="E92" s="2077"/>
      <c r="F92" s="2077"/>
      <c r="G92" s="2077"/>
      <c r="H92" s="2077"/>
      <c r="I92" s="2077"/>
      <c r="J92" s="2077"/>
      <c r="K92" s="2077"/>
      <c r="L92" s="2077"/>
      <c r="M92" s="1837"/>
      <c r="N92" s="320"/>
      <c r="O92" s="320"/>
      <c r="P92" s="320"/>
      <c r="Q92" s="320"/>
      <c r="R92" s="320"/>
      <c r="S92" s="320"/>
    </row>
    <row r="93" spans="1:20" s="321" customFormat="1" ht="12.75" hidden="1">
      <c r="A93" s="166"/>
      <c r="B93" s="2077"/>
      <c r="C93" s="2077"/>
      <c r="D93" s="2077"/>
      <c r="E93" s="2077"/>
      <c r="F93" s="2077"/>
      <c r="G93" s="2077"/>
      <c r="H93" s="2077"/>
      <c r="I93" s="2077"/>
      <c r="J93" s="2077"/>
      <c r="K93" s="2077"/>
      <c r="L93" s="2077"/>
      <c r="M93" s="1837" t="s">
        <v>1700</v>
      </c>
      <c r="N93" s="320"/>
      <c r="O93" s="320"/>
      <c r="P93" s="320"/>
      <c r="Q93" s="320"/>
      <c r="R93" s="320"/>
      <c r="S93" s="320"/>
    </row>
    <row r="94" spans="1:20" s="321" customFormat="1" ht="7.5" hidden="1" customHeight="1">
      <c r="A94" s="339"/>
      <c r="B94" s="1875"/>
      <c r="C94" s="1875"/>
      <c r="D94" s="320"/>
      <c r="E94" s="320"/>
      <c r="F94" s="320"/>
      <c r="G94" s="320"/>
      <c r="H94" s="320"/>
      <c r="I94" s="320"/>
      <c r="J94" s="341"/>
      <c r="K94" s="341"/>
      <c r="L94" s="342"/>
      <c r="M94" s="1837"/>
      <c r="N94" s="320"/>
      <c r="O94" s="320"/>
      <c r="P94" s="320"/>
      <c r="Q94" s="320"/>
      <c r="R94" s="320"/>
      <c r="S94" s="320"/>
    </row>
    <row r="95" spans="1:20" s="321" customFormat="1" ht="12.75" hidden="1">
      <c r="A95" s="166">
        <f>A91+0.1</f>
        <v>8.1999999999999993</v>
      </c>
      <c r="B95" s="349" t="s">
        <v>1818</v>
      </c>
      <c r="C95" s="349"/>
      <c r="D95" s="349"/>
      <c r="E95" s="349"/>
      <c r="F95" s="349"/>
      <c r="G95" s="349"/>
      <c r="H95" s="349"/>
      <c r="I95" s="349"/>
      <c r="J95" s="349"/>
      <c r="K95" s="349"/>
      <c r="L95" s="349"/>
      <c r="M95" s="1837"/>
      <c r="N95" s="320"/>
      <c r="O95" s="320"/>
      <c r="P95" s="320"/>
      <c r="Q95" s="320"/>
      <c r="R95" s="320"/>
      <c r="S95" s="320"/>
    </row>
    <row r="96" spans="1:20" s="321" customFormat="1" ht="7.5" hidden="1" customHeight="1">
      <c r="A96" s="339"/>
      <c r="B96" s="1875"/>
      <c r="C96" s="1875"/>
      <c r="D96" s="320"/>
      <c r="E96" s="320"/>
      <c r="F96" s="320"/>
      <c r="G96" s="320"/>
      <c r="H96" s="320"/>
      <c r="I96" s="320"/>
      <c r="J96" s="341"/>
      <c r="K96" s="341"/>
      <c r="L96" s="342"/>
      <c r="M96" s="1837"/>
      <c r="N96" s="320"/>
      <c r="O96" s="320"/>
      <c r="P96" s="320"/>
      <c r="Q96" s="320"/>
      <c r="R96" s="320"/>
      <c r="S96" s="320"/>
    </row>
    <row r="97" spans="1:19" s="321" customFormat="1" ht="12.75" hidden="1">
      <c r="A97" s="166">
        <f>A95+0.1</f>
        <v>8.2999999999999989</v>
      </c>
      <c r="B97" s="2049" t="s">
        <v>1738</v>
      </c>
      <c r="C97" s="2049"/>
      <c r="D97" s="2049"/>
      <c r="E97" s="2049"/>
      <c r="F97" s="2049"/>
      <c r="G97" s="2049"/>
      <c r="H97" s="2049"/>
      <c r="I97" s="2049"/>
      <c r="J97" s="2049"/>
      <c r="K97" s="2049"/>
      <c r="L97" s="2049"/>
      <c r="M97" s="1837" t="s">
        <v>1700</v>
      </c>
      <c r="N97" s="320"/>
      <c r="O97" s="320"/>
      <c r="P97" s="320"/>
      <c r="Q97" s="320"/>
      <c r="R97" s="320"/>
      <c r="S97" s="320"/>
    </row>
    <row r="98" spans="1:19" s="321" customFormat="1" ht="12.75" hidden="1">
      <c r="A98" s="166"/>
      <c r="B98" s="2049"/>
      <c r="C98" s="2049"/>
      <c r="D98" s="2049"/>
      <c r="E98" s="2049"/>
      <c r="F98" s="2049"/>
      <c r="G98" s="2049"/>
      <c r="H98" s="2049"/>
      <c r="I98" s="2049"/>
      <c r="J98" s="2049"/>
      <c r="K98" s="2049"/>
      <c r="L98" s="2049"/>
      <c r="M98" s="1837"/>
      <c r="N98" s="320"/>
      <c r="O98" s="320"/>
      <c r="P98" s="320"/>
      <c r="Q98" s="320"/>
      <c r="R98" s="320"/>
      <c r="S98" s="320"/>
    </row>
    <row r="99" spans="1:19" s="321" customFormat="1" ht="12.75" hidden="1">
      <c r="A99" s="339"/>
      <c r="B99" s="2049"/>
      <c r="C99" s="2049"/>
      <c r="D99" s="2049"/>
      <c r="E99" s="2049"/>
      <c r="F99" s="2049"/>
      <c r="G99" s="2049"/>
      <c r="H99" s="2049"/>
      <c r="I99" s="2049"/>
      <c r="J99" s="2049"/>
      <c r="K99" s="2049"/>
      <c r="L99" s="2049"/>
      <c r="M99" s="1837"/>
      <c r="N99" s="320"/>
      <c r="O99" s="320"/>
      <c r="P99" s="320"/>
      <c r="Q99" s="320"/>
      <c r="R99" s="320"/>
      <c r="S99" s="320"/>
    </row>
    <row r="100" spans="1:19" s="321" customFormat="1" ht="7.5" hidden="1" customHeight="1">
      <c r="A100" s="339"/>
      <c r="B100" s="363"/>
      <c r="C100" s="363"/>
      <c r="D100" s="363"/>
      <c r="E100" s="363"/>
      <c r="F100" s="363"/>
      <c r="G100" s="363"/>
      <c r="H100" s="363"/>
      <c r="I100" s="363"/>
      <c r="J100" s="363"/>
      <c r="K100" s="363"/>
      <c r="L100" s="363"/>
      <c r="M100" s="1837"/>
      <c r="N100" s="320"/>
      <c r="O100" s="320"/>
      <c r="P100" s="320"/>
      <c r="Q100" s="320"/>
      <c r="R100" s="320"/>
      <c r="S100" s="320"/>
    </row>
    <row r="101" spans="1:19" s="321" customFormat="1" ht="12.75" hidden="1">
      <c r="A101" s="339"/>
      <c r="B101" s="2050" t="s">
        <v>1740</v>
      </c>
      <c r="C101" s="2050"/>
      <c r="D101" s="2050"/>
      <c r="E101" s="2050"/>
      <c r="F101" s="2050"/>
      <c r="G101" s="2050"/>
      <c r="H101" s="2050"/>
      <c r="I101" s="2050"/>
      <c r="J101" s="2050"/>
      <c r="K101" s="2050"/>
      <c r="L101" s="2050"/>
      <c r="M101" s="1837"/>
      <c r="N101" s="320"/>
      <c r="O101" s="320"/>
      <c r="P101" s="320"/>
      <c r="Q101" s="320"/>
      <c r="R101" s="320"/>
      <c r="S101" s="320"/>
    </row>
    <row r="102" spans="1:19" s="321" customFormat="1" ht="12.75" hidden="1">
      <c r="A102" s="339"/>
      <c r="B102" s="2050"/>
      <c r="C102" s="2050"/>
      <c r="D102" s="2050"/>
      <c r="E102" s="2050"/>
      <c r="F102" s="2050"/>
      <c r="G102" s="2050"/>
      <c r="H102" s="2050"/>
      <c r="I102" s="2050"/>
      <c r="J102" s="2050"/>
      <c r="K102" s="2050"/>
      <c r="L102" s="2050"/>
      <c r="M102" s="1837"/>
      <c r="N102" s="320"/>
      <c r="O102" s="320"/>
      <c r="P102" s="320"/>
      <c r="Q102" s="320"/>
      <c r="R102" s="320"/>
      <c r="S102" s="320"/>
    </row>
    <row r="103" spans="1:19" s="321" customFormat="1" ht="12.75" hidden="1">
      <c r="A103" s="339"/>
      <c r="B103" s="2050"/>
      <c r="C103" s="2050"/>
      <c r="D103" s="2050"/>
      <c r="E103" s="2050"/>
      <c r="F103" s="2050"/>
      <c r="G103" s="2050"/>
      <c r="H103" s="2050"/>
      <c r="I103" s="2050"/>
      <c r="J103" s="2050"/>
      <c r="K103" s="2050"/>
      <c r="L103" s="2050"/>
      <c r="M103" s="1837"/>
      <c r="N103" s="320"/>
      <c r="O103" s="320"/>
      <c r="P103" s="320"/>
      <c r="Q103" s="320"/>
      <c r="R103" s="320"/>
      <c r="S103" s="320"/>
    </row>
    <row r="104" spans="1:19" s="321" customFormat="1" ht="7.5" hidden="1" customHeight="1">
      <c r="A104" s="339"/>
      <c r="B104" s="349"/>
      <c r="C104" s="349"/>
      <c r="D104" s="349"/>
      <c r="E104" s="349"/>
      <c r="F104" s="349"/>
      <c r="G104" s="349"/>
      <c r="H104" s="349"/>
      <c r="I104" s="349"/>
      <c r="J104" s="349"/>
      <c r="K104" s="349"/>
      <c r="L104" s="349"/>
      <c r="M104" s="1837"/>
      <c r="N104" s="320"/>
      <c r="O104" s="320"/>
      <c r="P104" s="320"/>
      <c r="Q104" s="320"/>
      <c r="R104" s="320"/>
      <c r="S104" s="320"/>
    </row>
    <row r="105" spans="1:19" s="321" customFormat="1" ht="12.75" hidden="1">
      <c r="A105" s="339"/>
      <c r="B105" s="2049" t="s">
        <v>1739</v>
      </c>
      <c r="C105" s="2049"/>
      <c r="D105" s="2049"/>
      <c r="E105" s="2049"/>
      <c r="F105" s="2049"/>
      <c r="G105" s="2049"/>
      <c r="H105" s="2049"/>
      <c r="I105" s="2049"/>
      <c r="J105" s="2049"/>
      <c r="K105" s="2049"/>
      <c r="L105" s="2049"/>
      <c r="M105" s="1837"/>
      <c r="N105" s="320"/>
      <c r="O105" s="320"/>
      <c r="P105" s="320"/>
      <c r="Q105" s="320"/>
      <c r="R105" s="320"/>
      <c r="S105" s="320"/>
    </row>
    <row r="106" spans="1:19" s="321" customFormat="1" ht="12.75" hidden="1">
      <c r="A106" s="339"/>
      <c r="B106" s="2049"/>
      <c r="C106" s="2049"/>
      <c r="D106" s="2049"/>
      <c r="E106" s="2049"/>
      <c r="F106" s="2049"/>
      <c r="G106" s="2049"/>
      <c r="H106" s="2049"/>
      <c r="I106" s="2049"/>
      <c r="J106" s="2049"/>
      <c r="K106" s="2049"/>
      <c r="L106" s="2049"/>
      <c r="M106" s="1837"/>
      <c r="N106" s="320"/>
      <c r="O106" s="320"/>
      <c r="P106" s="320"/>
      <c r="Q106" s="320"/>
      <c r="R106" s="320"/>
      <c r="S106" s="320"/>
    </row>
    <row r="107" spans="1:19" s="321" customFormat="1" ht="7.5" hidden="1" customHeight="1">
      <c r="A107" s="339"/>
      <c r="B107" s="1875"/>
      <c r="C107" s="1875"/>
      <c r="D107" s="1875"/>
      <c r="E107" s="1875"/>
      <c r="F107" s="1875"/>
      <c r="G107" s="1875"/>
      <c r="H107" s="1875"/>
      <c r="I107" s="1875"/>
      <c r="J107" s="1875"/>
      <c r="K107" s="1875"/>
      <c r="L107" s="1875"/>
      <c r="M107" s="1837"/>
      <c r="N107" s="320"/>
      <c r="O107" s="320"/>
      <c r="P107" s="320"/>
      <c r="Q107" s="320"/>
      <c r="R107" s="320"/>
      <c r="S107" s="320"/>
    </row>
    <row r="108" spans="1:19" s="321" customFormat="1" ht="12.75" hidden="1">
      <c r="A108" s="166">
        <f>A97+0.1</f>
        <v>8.3999999999999986</v>
      </c>
      <c r="B108" s="2049" t="s">
        <v>1741</v>
      </c>
      <c r="C108" s="2049"/>
      <c r="D108" s="2049"/>
      <c r="E108" s="2049"/>
      <c r="F108" s="2049"/>
      <c r="G108" s="2049"/>
      <c r="H108" s="2049"/>
      <c r="I108" s="2049"/>
      <c r="J108" s="2049"/>
      <c r="K108" s="2049"/>
      <c r="L108" s="2049"/>
      <c r="M108" s="1837" t="s">
        <v>1700</v>
      </c>
      <c r="N108" s="320"/>
      <c r="O108" s="320"/>
      <c r="P108" s="320"/>
      <c r="Q108" s="320"/>
      <c r="R108" s="320"/>
      <c r="S108" s="320"/>
    </row>
    <row r="109" spans="1:19" s="321" customFormat="1" ht="12.75" hidden="1">
      <c r="A109" s="166"/>
      <c r="B109" s="2049"/>
      <c r="C109" s="2049"/>
      <c r="D109" s="2049"/>
      <c r="E109" s="2049"/>
      <c r="F109" s="2049"/>
      <c r="G109" s="2049"/>
      <c r="H109" s="2049"/>
      <c r="I109" s="2049"/>
      <c r="J109" s="2049"/>
      <c r="K109" s="2049"/>
      <c r="L109" s="2049"/>
      <c r="M109" s="1837"/>
      <c r="N109" s="320"/>
      <c r="O109" s="320"/>
      <c r="P109" s="320"/>
      <c r="Q109" s="320"/>
      <c r="R109" s="320"/>
      <c r="S109" s="320"/>
    </row>
    <row r="110" spans="1:19" s="321" customFormat="1" ht="12.75" hidden="1">
      <c r="A110" s="166"/>
      <c r="B110" s="2049"/>
      <c r="C110" s="2049"/>
      <c r="D110" s="2049"/>
      <c r="E110" s="2049"/>
      <c r="F110" s="2049"/>
      <c r="G110" s="2049"/>
      <c r="H110" s="2049"/>
      <c r="I110" s="2049"/>
      <c r="J110" s="2049"/>
      <c r="K110" s="2049"/>
      <c r="L110" s="2049"/>
      <c r="M110" s="1837"/>
      <c r="N110" s="320"/>
      <c r="O110" s="320"/>
      <c r="P110" s="320"/>
      <c r="Q110" s="320"/>
      <c r="R110" s="320"/>
      <c r="S110" s="320"/>
    </row>
    <row r="111" spans="1:19" s="321" customFormat="1" ht="12.75" hidden="1">
      <c r="A111" s="166"/>
      <c r="B111" s="2049"/>
      <c r="C111" s="2049"/>
      <c r="D111" s="2049"/>
      <c r="E111" s="2049"/>
      <c r="F111" s="2049"/>
      <c r="G111" s="2049"/>
      <c r="H111" s="2049"/>
      <c r="I111" s="2049"/>
      <c r="J111" s="2049"/>
      <c r="K111" s="2049"/>
      <c r="L111" s="2049"/>
      <c r="M111" s="1837"/>
      <c r="N111" s="320"/>
      <c r="O111" s="320"/>
      <c r="P111" s="320"/>
      <c r="Q111" s="320"/>
      <c r="R111" s="320"/>
      <c r="S111" s="320"/>
    </row>
    <row r="112" spans="1:19" s="321" customFormat="1" ht="7.5" hidden="1" customHeight="1">
      <c r="A112" s="166"/>
      <c r="B112" s="349"/>
      <c r="C112" s="349"/>
      <c r="D112" s="349"/>
      <c r="E112" s="349"/>
      <c r="F112" s="349"/>
      <c r="G112" s="349"/>
      <c r="H112" s="349"/>
      <c r="I112" s="349"/>
      <c r="J112" s="349"/>
      <c r="K112" s="349"/>
      <c r="L112" s="349"/>
      <c r="M112" s="1837"/>
      <c r="N112" s="320"/>
      <c r="O112" s="320"/>
      <c r="P112" s="320"/>
      <c r="Q112" s="320"/>
      <c r="R112" s="320"/>
      <c r="S112" s="320"/>
    </row>
    <row r="113" spans="1:19" s="321" customFormat="1" ht="12.75" hidden="1">
      <c r="A113" s="166"/>
      <c r="B113" s="2049" t="s">
        <v>1742</v>
      </c>
      <c r="C113" s="2049"/>
      <c r="D113" s="2049"/>
      <c r="E113" s="2049"/>
      <c r="F113" s="2049"/>
      <c r="G113" s="2049"/>
      <c r="H113" s="2049"/>
      <c r="I113" s="2049"/>
      <c r="J113" s="2049"/>
      <c r="K113" s="2049"/>
      <c r="L113" s="2049"/>
      <c r="M113" s="1837"/>
      <c r="N113" s="320"/>
      <c r="O113" s="320"/>
      <c r="P113" s="320"/>
      <c r="Q113" s="320"/>
      <c r="R113" s="320"/>
      <c r="S113" s="320"/>
    </row>
    <row r="114" spans="1:19" s="321" customFormat="1" ht="12.75" hidden="1">
      <c r="A114" s="166"/>
      <c r="B114" s="2049"/>
      <c r="C114" s="2049"/>
      <c r="D114" s="2049"/>
      <c r="E114" s="2049"/>
      <c r="F114" s="2049"/>
      <c r="G114" s="2049"/>
      <c r="H114" s="2049"/>
      <c r="I114" s="2049"/>
      <c r="J114" s="2049"/>
      <c r="K114" s="2049"/>
      <c r="L114" s="2049"/>
      <c r="M114" s="1837"/>
      <c r="N114" s="320"/>
      <c r="O114" s="320"/>
      <c r="P114" s="320"/>
      <c r="Q114" s="320"/>
      <c r="R114" s="320"/>
      <c r="S114" s="320"/>
    </row>
    <row r="115" spans="1:19" s="321" customFormat="1" ht="12.75" hidden="1">
      <c r="A115" s="339"/>
      <c r="B115" s="2049"/>
      <c r="C115" s="2049"/>
      <c r="D115" s="2049"/>
      <c r="E115" s="2049"/>
      <c r="F115" s="2049"/>
      <c r="G115" s="2049"/>
      <c r="H115" s="2049"/>
      <c r="I115" s="2049"/>
      <c r="J115" s="2049"/>
      <c r="K115" s="2049"/>
      <c r="L115" s="2049"/>
      <c r="M115" s="1841"/>
      <c r="N115" s="320"/>
      <c r="O115" s="320"/>
      <c r="P115" s="320"/>
      <c r="Q115" s="320"/>
      <c r="R115" s="320"/>
      <c r="S115" s="320"/>
    </row>
    <row r="116" spans="1:19" s="321" customFormat="1" ht="12.75" hidden="1">
      <c r="A116" s="339"/>
      <c r="B116" s="2049"/>
      <c r="C116" s="2049"/>
      <c r="D116" s="2049"/>
      <c r="E116" s="2049"/>
      <c r="F116" s="2049"/>
      <c r="G116" s="2049"/>
      <c r="H116" s="2049"/>
      <c r="I116" s="2049"/>
      <c r="J116" s="2049"/>
      <c r="K116" s="2049"/>
      <c r="L116" s="2049"/>
      <c r="M116" s="1841"/>
      <c r="N116" s="320"/>
      <c r="O116" s="320"/>
      <c r="P116" s="320"/>
      <c r="Q116" s="320"/>
      <c r="R116" s="320"/>
      <c r="S116" s="320"/>
    </row>
    <row r="117" spans="1:19" s="321" customFormat="1" ht="12.75" hidden="1">
      <c r="A117" s="339"/>
      <c r="B117" s="2049"/>
      <c r="C117" s="2049"/>
      <c r="D117" s="2049"/>
      <c r="E117" s="2049"/>
      <c r="F117" s="2049"/>
      <c r="G117" s="2049"/>
      <c r="H117" s="2049"/>
      <c r="I117" s="2049"/>
      <c r="J117" s="2049"/>
      <c r="K117" s="2049"/>
      <c r="L117" s="2049"/>
      <c r="M117" s="1841"/>
      <c r="N117" s="320"/>
      <c r="O117" s="320"/>
      <c r="P117" s="320"/>
      <c r="Q117" s="320"/>
      <c r="R117" s="320"/>
      <c r="S117" s="320"/>
    </row>
    <row r="118" spans="1:19" s="321" customFormat="1" ht="7.5" hidden="1" customHeight="1">
      <c r="A118" s="339"/>
      <c r="B118" s="349"/>
      <c r="C118" s="349"/>
      <c r="D118" s="349"/>
      <c r="E118" s="349"/>
      <c r="F118" s="349"/>
      <c r="G118" s="349"/>
      <c r="H118" s="349"/>
      <c r="I118" s="349"/>
      <c r="J118" s="349"/>
      <c r="K118" s="349"/>
      <c r="L118" s="349"/>
      <c r="M118" s="1841"/>
      <c r="N118" s="320"/>
      <c r="O118" s="320"/>
      <c r="P118" s="320"/>
      <c r="Q118" s="320"/>
      <c r="R118" s="320"/>
      <c r="S118" s="320"/>
    </row>
    <row r="119" spans="1:19" s="321" customFormat="1" ht="12.75" hidden="1">
      <c r="A119" s="339"/>
      <c r="B119" s="2049" t="s">
        <v>1743</v>
      </c>
      <c r="C119" s="2049"/>
      <c r="D119" s="2049"/>
      <c r="E119" s="2049"/>
      <c r="F119" s="2049"/>
      <c r="G119" s="2049"/>
      <c r="H119" s="2049"/>
      <c r="I119" s="2049"/>
      <c r="J119" s="2049"/>
      <c r="K119" s="2049"/>
      <c r="L119" s="2049"/>
      <c r="M119" s="1841"/>
      <c r="N119" s="320"/>
      <c r="O119" s="320"/>
      <c r="P119" s="320"/>
      <c r="Q119" s="320"/>
      <c r="R119" s="320"/>
      <c r="S119" s="320"/>
    </row>
    <row r="120" spans="1:19" s="321" customFormat="1" ht="12.75" hidden="1">
      <c r="A120" s="339"/>
      <c r="B120" s="2049"/>
      <c r="C120" s="2049"/>
      <c r="D120" s="2049"/>
      <c r="E120" s="2049"/>
      <c r="F120" s="2049"/>
      <c r="G120" s="2049"/>
      <c r="H120" s="2049"/>
      <c r="I120" s="2049"/>
      <c r="J120" s="2049"/>
      <c r="K120" s="2049"/>
      <c r="L120" s="2049"/>
      <c r="M120" s="1841"/>
      <c r="N120" s="320"/>
      <c r="O120" s="320"/>
      <c r="P120" s="320"/>
      <c r="Q120" s="320"/>
      <c r="R120" s="320"/>
      <c r="S120" s="320"/>
    </row>
    <row r="121" spans="1:19" s="321" customFormat="1" ht="9" hidden="1" customHeight="1">
      <c r="A121" s="339"/>
      <c r="B121" s="1875"/>
      <c r="C121" s="1875"/>
      <c r="D121" s="1875"/>
      <c r="E121" s="1875"/>
      <c r="F121" s="1875"/>
      <c r="G121" s="1875"/>
      <c r="H121" s="1875"/>
      <c r="I121" s="1875"/>
      <c r="J121" s="1875"/>
      <c r="K121" s="1875"/>
      <c r="L121" s="1875"/>
      <c r="M121" s="1837"/>
      <c r="N121" s="320"/>
      <c r="O121" s="320"/>
      <c r="P121" s="320"/>
      <c r="Q121" s="320"/>
      <c r="R121" s="320"/>
      <c r="S121" s="320"/>
    </row>
    <row r="122" spans="1:19" s="321" customFormat="1" ht="12" hidden="1" customHeight="1">
      <c r="A122" s="339"/>
      <c r="B122" s="1875"/>
      <c r="C122" s="1875"/>
      <c r="D122" s="320"/>
      <c r="E122" s="320"/>
      <c r="F122" s="320"/>
      <c r="G122" s="320"/>
      <c r="H122" s="320"/>
      <c r="I122" s="320"/>
      <c r="J122" s="752" t="s">
        <v>1809</v>
      </c>
      <c r="K122" s="89"/>
      <c r="L122" s="752" t="s">
        <v>1809</v>
      </c>
      <c r="M122" s="1837"/>
      <c r="N122" s="320"/>
      <c r="O122" s="320"/>
      <c r="P122" s="320"/>
      <c r="Q122" s="320"/>
      <c r="R122" s="320"/>
      <c r="S122" s="320"/>
    </row>
    <row r="123" spans="1:19" s="321" customFormat="1" ht="12.95" hidden="1" customHeight="1">
      <c r="A123" s="339"/>
      <c r="B123" s="1875"/>
      <c r="C123" s="1875"/>
      <c r="D123" s="1875"/>
      <c r="E123" s="1875"/>
      <c r="F123" s="1875"/>
      <c r="G123" s="1875"/>
      <c r="I123" s="177"/>
      <c r="J123" s="173" t="s">
        <v>1535</v>
      </c>
      <c r="K123" s="174"/>
      <c r="L123" s="173" t="s">
        <v>909</v>
      </c>
      <c r="M123" s="1837"/>
      <c r="N123" s="320"/>
      <c r="O123" s="320"/>
      <c r="P123" s="320"/>
      <c r="Q123" s="320"/>
      <c r="R123" s="320"/>
      <c r="S123" s="320"/>
    </row>
    <row r="124" spans="1:19" s="321" customFormat="1" ht="12.95" hidden="1" customHeight="1">
      <c r="A124" s="320"/>
      <c r="B124" s="320"/>
      <c r="C124" s="1875"/>
      <c r="D124" s="1875"/>
      <c r="E124" s="1875"/>
      <c r="F124" s="1875"/>
      <c r="G124" s="1875"/>
      <c r="H124" s="177" t="s">
        <v>910</v>
      </c>
      <c r="I124" s="172"/>
      <c r="J124" s="2075" t="s">
        <v>1310</v>
      </c>
      <c r="K124" s="2075"/>
      <c r="L124" s="2075"/>
      <c r="M124" s="1837"/>
      <c r="N124" s="320"/>
      <c r="O124" s="320"/>
      <c r="P124" s="320"/>
      <c r="Q124" s="320"/>
      <c r="R124" s="320"/>
      <c r="S124" s="320"/>
    </row>
    <row r="125" spans="1:19" s="321" customFormat="1" ht="12.95" hidden="1" customHeight="1">
      <c r="A125" s="324" t="s">
        <v>1138</v>
      </c>
      <c r="B125" s="168" t="s">
        <v>1696</v>
      </c>
      <c r="C125" s="1875"/>
      <c r="D125" s="1875"/>
      <c r="E125" s="1875"/>
      <c r="F125" s="1875"/>
      <c r="G125" s="1875"/>
      <c r="H125" s="1875"/>
      <c r="I125" s="1875"/>
      <c r="J125" s="1875"/>
      <c r="K125" s="1875"/>
      <c r="L125" s="1875"/>
      <c r="M125" s="1837"/>
      <c r="N125" s="320"/>
      <c r="O125" s="320"/>
      <c r="P125" s="320"/>
      <c r="Q125" s="320"/>
      <c r="R125" s="320"/>
      <c r="S125" s="320"/>
    </row>
    <row r="126" spans="1:19" s="321" customFormat="1" ht="12.95" hidden="1" customHeight="1">
      <c r="A126" s="339"/>
      <c r="B126" s="350" t="s">
        <v>1697</v>
      </c>
      <c r="C126" s="1875"/>
      <c r="D126" s="1875"/>
      <c r="E126" s="1875"/>
      <c r="F126" s="1875"/>
      <c r="G126" s="1875"/>
      <c r="H126" s="1875"/>
      <c r="I126" s="1875"/>
      <c r="J126" s="1875"/>
      <c r="K126" s="1875"/>
      <c r="L126" s="1875"/>
      <c r="M126" s="1837"/>
      <c r="N126" s="320"/>
      <c r="O126" s="320"/>
      <c r="P126" s="320"/>
      <c r="Q126" s="320"/>
      <c r="R126" s="320"/>
      <c r="S126" s="320"/>
    </row>
    <row r="127" spans="1:19" s="321" customFormat="1" ht="9" hidden="1" customHeight="1">
      <c r="A127" s="339"/>
      <c r="B127" s="1875"/>
      <c r="C127" s="1875"/>
      <c r="D127" s="1875"/>
      <c r="E127" s="1875"/>
      <c r="F127" s="1875"/>
      <c r="G127" s="1875"/>
      <c r="H127" s="1875"/>
      <c r="I127" s="1875"/>
      <c r="J127" s="351"/>
      <c r="K127" s="1875"/>
      <c r="L127" s="1875"/>
      <c r="M127" s="1837"/>
      <c r="N127" s="320"/>
      <c r="O127" s="320"/>
      <c r="P127" s="320"/>
      <c r="Q127" s="320"/>
      <c r="R127" s="320"/>
      <c r="S127" s="320"/>
    </row>
    <row r="128" spans="1:19" s="321" customFormat="1" ht="12.95" hidden="1" customHeight="1">
      <c r="A128" s="339"/>
      <c r="B128" s="349" t="s">
        <v>1139</v>
      </c>
      <c r="C128" s="349"/>
      <c r="D128" s="349"/>
      <c r="E128" s="349"/>
      <c r="F128" s="349"/>
      <c r="G128" s="349"/>
      <c r="H128" s="352">
        <f>$A$132</f>
        <v>9.1</v>
      </c>
      <c r="I128" s="352"/>
      <c r="J128" s="1075">
        <f>-'Lead - 2020'!K166</f>
        <v>124.44373</v>
      </c>
      <c r="K128" s="353"/>
      <c r="L128" s="353">
        <v>98</v>
      </c>
      <c r="M128" s="1837"/>
      <c r="N128" s="320"/>
      <c r="O128" s="320"/>
      <c r="P128" s="320"/>
      <c r="Q128" s="320"/>
      <c r="R128" s="320"/>
      <c r="S128" s="320"/>
    </row>
    <row r="129" spans="1:19" s="321" customFormat="1" ht="12.95" hidden="1" customHeight="1">
      <c r="A129" s="339"/>
      <c r="B129" s="349" t="s">
        <v>945</v>
      </c>
      <c r="C129" s="349"/>
      <c r="D129" s="349"/>
      <c r="E129" s="349"/>
      <c r="F129" s="349"/>
      <c r="G129" s="349"/>
      <c r="H129" s="352">
        <f>'5.2 - 25'!$A$149</f>
        <v>9.1999999999999993</v>
      </c>
      <c r="I129" s="352"/>
      <c r="J129" s="1075">
        <f>-'Lead - 2020'!K165</f>
        <v>16.663</v>
      </c>
      <c r="K129" s="353"/>
      <c r="L129" s="353">
        <v>13</v>
      </c>
      <c r="M129" s="1837"/>
      <c r="N129" s="320"/>
      <c r="O129" s="320"/>
      <c r="P129" s="320"/>
      <c r="Q129" s="320"/>
      <c r="R129" s="320"/>
      <c r="S129" s="320"/>
    </row>
    <row r="130" spans="1:19" s="194" customFormat="1" ht="18.75" hidden="1" customHeight="1" thickBot="1">
      <c r="A130" s="188"/>
      <c r="B130" s="354"/>
      <c r="C130" s="354"/>
      <c r="D130" s="354"/>
      <c r="E130" s="354"/>
      <c r="F130" s="354"/>
      <c r="G130" s="354"/>
      <c r="H130" s="354"/>
      <c r="I130" s="354"/>
      <c r="J130" s="1076">
        <f>SUM(J128:J129)</f>
        <v>141.10673</v>
      </c>
      <c r="K130" s="355"/>
      <c r="L130" s="356">
        <f>SUM(L128:L129)</f>
        <v>111</v>
      </c>
      <c r="M130" s="1840"/>
      <c r="N130" s="346"/>
      <c r="O130" s="346"/>
      <c r="P130" s="346"/>
      <c r="Q130" s="346"/>
      <c r="R130" s="346"/>
      <c r="S130" s="346"/>
    </row>
    <row r="131" spans="1:19" s="321" customFormat="1" ht="9.75" hidden="1" customHeight="1" thickTop="1">
      <c r="A131" s="339"/>
      <c r="B131" s="1875"/>
      <c r="C131" s="1875"/>
      <c r="D131" s="1875"/>
      <c r="E131" s="1875"/>
      <c r="F131" s="1875"/>
      <c r="G131" s="1875"/>
      <c r="H131" s="1875"/>
      <c r="I131" s="1875"/>
      <c r="J131" s="357"/>
      <c r="K131" s="358"/>
      <c r="L131" s="357"/>
      <c r="M131" s="1837"/>
      <c r="N131" s="320"/>
      <c r="O131" s="320"/>
      <c r="P131" s="320"/>
      <c r="Q131" s="320"/>
      <c r="R131" s="320"/>
      <c r="S131" s="320"/>
    </row>
    <row r="132" spans="1:19" s="321" customFormat="1" ht="12.75" hidden="1">
      <c r="A132" s="324">
        <f>A125+0.1</f>
        <v>9.1</v>
      </c>
      <c r="B132" s="2077" t="s">
        <v>1747</v>
      </c>
      <c r="C132" s="2077"/>
      <c r="D132" s="2077"/>
      <c r="E132" s="2077"/>
      <c r="F132" s="2077"/>
      <c r="G132" s="2077"/>
      <c r="H132" s="2077"/>
      <c r="I132" s="2077"/>
      <c r="J132" s="2077"/>
      <c r="K132" s="2077"/>
      <c r="L132" s="2077"/>
      <c r="M132" s="1837"/>
      <c r="N132" s="320"/>
      <c r="O132" s="320"/>
      <c r="P132" s="320"/>
      <c r="Q132" s="320"/>
      <c r="R132" s="320"/>
      <c r="S132" s="320"/>
    </row>
    <row r="133" spans="1:19" s="321" customFormat="1" ht="12.75" hidden="1">
      <c r="A133" s="339"/>
      <c r="B133" s="2077"/>
      <c r="C133" s="2077"/>
      <c r="D133" s="2077"/>
      <c r="E133" s="2077"/>
      <c r="F133" s="2077"/>
      <c r="G133" s="2077"/>
      <c r="H133" s="2077"/>
      <c r="I133" s="2077"/>
      <c r="J133" s="2077"/>
      <c r="K133" s="2077"/>
      <c r="L133" s="2077"/>
      <c r="M133" s="1837"/>
      <c r="N133" s="320"/>
      <c r="O133" s="320"/>
      <c r="P133" s="320"/>
      <c r="Q133" s="320"/>
      <c r="R133" s="320"/>
      <c r="S133" s="320"/>
    </row>
    <row r="134" spans="1:19" s="321" customFormat="1" ht="12.75" hidden="1">
      <c r="A134" s="339"/>
      <c r="B134" s="1875"/>
      <c r="C134" s="1875"/>
      <c r="D134" s="1875"/>
      <c r="E134" s="1875"/>
      <c r="F134" s="1875"/>
      <c r="G134" s="1875"/>
      <c r="H134" s="1875"/>
      <c r="I134" s="1875"/>
      <c r="J134" s="357"/>
      <c r="K134" s="358"/>
      <c r="L134" s="357"/>
      <c r="M134" s="1837"/>
      <c r="N134" s="320"/>
      <c r="O134" s="320"/>
      <c r="P134" s="320"/>
      <c r="Q134" s="320"/>
      <c r="R134" s="320"/>
      <c r="S134" s="320"/>
    </row>
    <row r="135" spans="1:19" s="321" customFormat="1" ht="12.75" hidden="1">
      <c r="A135" s="339"/>
      <c r="B135" s="338" t="s">
        <v>1140</v>
      </c>
      <c r="C135" s="1875"/>
      <c r="E135" s="1222" t="s">
        <v>1141</v>
      </c>
      <c r="F135" s="1222"/>
      <c r="G135" s="1222"/>
      <c r="H135" s="1875"/>
      <c r="I135" s="1875"/>
      <c r="J135" s="357"/>
      <c r="K135" s="358"/>
      <c r="L135" s="357"/>
      <c r="M135" s="1837"/>
      <c r="N135" s="320"/>
      <c r="O135" s="320"/>
      <c r="P135" s="320"/>
      <c r="Q135" s="320"/>
      <c r="R135" s="320"/>
      <c r="S135" s="320"/>
    </row>
    <row r="136" spans="1:19" s="321" customFormat="1" ht="8.25" hidden="1" customHeight="1">
      <c r="A136" s="339"/>
      <c r="B136" s="1875"/>
      <c r="C136" s="1875"/>
      <c r="E136" s="1875"/>
      <c r="F136" s="1875"/>
      <c r="G136" s="1875"/>
      <c r="H136" s="1875"/>
      <c r="I136" s="1875"/>
      <c r="J136" s="357"/>
      <c r="K136" s="358"/>
      <c r="L136" s="357"/>
      <c r="M136" s="1837"/>
      <c r="N136" s="320"/>
      <c r="O136" s="320"/>
      <c r="P136" s="320"/>
      <c r="Q136" s="320"/>
      <c r="R136" s="320"/>
      <c r="S136" s="320"/>
    </row>
    <row r="137" spans="1:19" s="359" customFormat="1" ht="12.75" hidden="1" customHeight="1">
      <c r="A137" s="339"/>
      <c r="B137" s="1223" t="s">
        <v>1142</v>
      </c>
      <c r="C137" s="1875"/>
      <c r="E137" s="1223" t="s">
        <v>1745</v>
      </c>
      <c r="F137" s="1223"/>
      <c r="G137" s="1223"/>
      <c r="H137" s="1223"/>
      <c r="I137" s="1223"/>
      <c r="J137" s="1223"/>
      <c r="K137" s="1223"/>
      <c r="L137" s="1223"/>
      <c r="M137" s="1837"/>
      <c r="N137" s="320"/>
      <c r="O137" s="320"/>
      <c r="P137" s="320"/>
      <c r="Q137" s="320"/>
      <c r="R137" s="320"/>
      <c r="S137" s="320"/>
    </row>
    <row r="138" spans="1:19" s="359" customFormat="1" ht="8.25" hidden="1" customHeight="1">
      <c r="A138" s="339"/>
      <c r="B138" s="1223"/>
      <c r="C138" s="1875"/>
      <c r="E138" s="1224"/>
      <c r="F138" s="1224"/>
      <c r="G138" s="1224"/>
      <c r="H138" s="1224"/>
      <c r="I138" s="1224"/>
      <c r="J138" s="1224"/>
      <c r="K138" s="1224"/>
      <c r="L138" s="1224"/>
      <c r="M138" s="1837"/>
      <c r="N138" s="320"/>
      <c r="O138" s="320"/>
      <c r="P138" s="320"/>
      <c r="Q138" s="320"/>
      <c r="R138" s="320"/>
      <c r="S138" s="320"/>
    </row>
    <row r="139" spans="1:19" s="359" customFormat="1" ht="12.75" hidden="1" customHeight="1">
      <c r="A139" s="339"/>
      <c r="B139" s="1223" t="s">
        <v>1702</v>
      </c>
      <c r="C139" s="1875"/>
      <c r="E139" s="1223" t="s">
        <v>1143</v>
      </c>
      <c r="F139" s="1223"/>
      <c r="G139" s="1223"/>
      <c r="H139" s="1223"/>
      <c r="I139" s="1223"/>
      <c r="J139" s="1223"/>
      <c r="K139" s="1223"/>
      <c r="L139" s="1223"/>
      <c r="M139" s="1837"/>
      <c r="N139" s="320"/>
      <c r="O139" s="320"/>
      <c r="P139" s="320"/>
      <c r="Q139" s="320"/>
      <c r="R139" s="320"/>
      <c r="S139" s="320"/>
    </row>
    <row r="140" spans="1:19" s="359" customFormat="1" ht="12.75" hidden="1" customHeight="1">
      <c r="A140" s="339"/>
      <c r="B140" s="1225" t="s">
        <v>1703</v>
      </c>
      <c r="C140" s="1875"/>
      <c r="E140" s="1225" t="s">
        <v>1746</v>
      </c>
      <c r="F140" s="1223"/>
      <c r="G140" s="1223"/>
      <c r="H140" s="1223"/>
      <c r="I140" s="1223"/>
      <c r="J140" s="1223"/>
      <c r="K140" s="1223"/>
      <c r="L140" s="1223"/>
      <c r="M140" s="1837"/>
      <c r="N140" s="320"/>
      <c r="O140" s="320"/>
      <c r="P140" s="320"/>
      <c r="Q140" s="320"/>
      <c r="R140" s="320"/>
      <c r="S140" s="320"/>
    </row>
    <row r="141" spans="1:19" s="359" customFormat="1" ht="8.25" hidden="1" customHeight="1">
      <c r="A141" s="339"/>
      <c r="B141" s="1223"/>
      <c r="C141" s="1875"/>
      <c r="E141" s="1226"/>
      <c r="F141" s="1226"/>
      <c r="G141" s="1226"/>
      <c r="H141" s="1226"/>
      <c r="I141" s="1226"/>
      <c r="J141" s="1226"/>
      <c r="K141" s="1226"/>
      <c r="L141" s="1226"/>
      <c r="M141" s="1837"/>
      <c r="N141" s="320"/>
      <c r="O141" s="320"/>
      <c r="P141" s="320"/>
      <c r="Q141" s="320"/>
      <c r="R141" s="320"/>
      <c r="S141" s="320"/>
    </row>
    <row r="142" spans="1:19" s="359" customFormat="1" ht="12.75" hidden="1" customHeight="1">
      <c r="A142" s="339"/>
      <c r="B142" s="1223" t="s">
        <v>1704</v>
      </c>
      <c r="C142" s="1875"/>
      <c r="E142" s="1223" t="s">
        <v>1706</v>
      </c>
      <c r="F142" s="995"/>
      <c r="G142" s="995"/>
      <c r="H142" s="995"/>
      <c r="I142" s="995"/>
      <c r="J142" s="995"/>
      <c r="K142" s="995"/>
      <c r="L142" s="995"/>
      <c r="M142" s="1837"/>
      <c r="N142" s="320"/>
      <c r="O142" s="320"/>
      <c r="P142" s="320"/>
      <c r="Q142" s="320"/>
      <c r="R142" s="320"/>
      <c r="S142" s="320"/>
    </row>
    <row r="143" spans="1:19" s="359" customFormat="1" ht="12.75" hidden="1" customHeight="1">
      <c r="A143" s="339"/>
      <c r="B143" s="1225" t="s">
        <v>1705</v>
      </c>
      <c r="C143" s="1875"/>
      <c r="E143" s="1223"/>
      <c r="F143" s="995"/>
      <c r="G143" s="995"/>
      <c r="H143" s="995"/>
      <c r="I143" s="995"/>
      <c r="J143" s="995"/>
      <c r="K143" s="995"/>
      <c r="L143" s="995"/>
      <c r="M143" s="1837"/>
      <c r="N143" s="320"/>
      <c r="O143" s="320"/>
      <c r="P143" s="320"/>
      <c r="Q143" s="320"/>
      <c r="R143" s="320"/>
      <c r="S143" s="320"/>
    </row>
    <row r="144" spans="1:19" s="359" customFormat="1" ht="12.75" hidden="1" customHeight="1">
      <c r="A144" s="339"/>
      <c r="B144" s="1875"/>
      <c r="C144" s="1875"/>
      <c r="D144" s="1124"/>
      <c r="E144" s="995"/>
      <c r="F144" s="995"/>
      <c r="G144" s="995"/>
      <c r="H144" s="995"/>
      <c r="I144" s="995"/>
      <c r="J144" s="995"/>
      <c r="K144" s="995"/>
      <c r="L144" s="995"/>
      <c r="M144" s="1837"/>
      <c r="N144" s="320"/>
      <c r="O144" s="320"/>
      <c r="P144" s="320"/>
      <c r="Q144" s="320"/>
      <c r="R144" s="320"/>
      <c r="S144" s="320"/>
    </row>
    <row r="145" spans="1:24" s="359" customFormat="1" ht="12.75" hidden="1" customHeight="1">
      <c r="A145" s="339"/>
      <c r="B145" s="2078" t="s">
        <v>1701</v>
      </c>
      <c r="C145" s="2078"/>
      <c r="D145" s="2078"/>
      <c r="E145" s="2078"/>
      <c r="F145" s="2078"/>
      <c r="G145" s="2078"/>
      <c r="H145" s="2078"/>
      <c r="I145" s="2078"/>
      <c r="J145" s="2078"/>
      <c r="K145" s="2078"/>
      <c r="L145" s="2078"/>
      <c r="M145" s="1837"/>
      <c r="N145" s="320"/>
      <c r="O145" s="320"/>
      <c r="P145" s="320"/>
      <c r="Q145" s="320"/>
      <c r="R145" s="320"/>
      <c r="S145" s="320"/>
    </row>
    <row r="146" spans="1:24" s="359" customFormat="1" ht="12.75" hidden="1" customHeight="1">
      <c r="A146" s="339"/>
      <c r="B146" s="2078"/>
      <c r="C146" s="2078"/>
      <c r="D146" s="2078"/>
      <c r="E146" s="2078"/>
      <c r="F146" s="2078"/>
      <c r="G146" s="2078"/>
      <c r="H146" s="2078"/>
      <c r="I146" s="2078"/>
      <c r="J146" s="2078"/>
      <c r="K146" s="2078"/>
      <c r="L146" s="2078"/>
      <c r="M146" s="1837"/>
      <c r="N146" s="320"/>
      <c r="O146" s="320"/>
      <c r="P146" s="320"/>
      <c r="Q146" s="320"/>
      <c r="R146" s="320"/>
      <c r="S146" s="320"/>
    </row>
    <row r="147" spans="1:24" s="359" customFormat="1" ht="12.75" hidden="1" customHeight="1">
      <c r="A147" s="339"/>
      <c r="B147" s="2078"/>
      <c r="C147" s="2078"/>
      <c r="D147" s="2078"/>
      <c r="E147" s="2078"/>
      <c r="F147" s="2078"/>
      <c r="G147" s="2078"/>
      <c r="H147" s="2078"/>
      <c r="I147" s="2078"/>
      <c r="J147" s="2078"/>
      <c r="K147" s="2078"/>
      <c r="L147" s="2078"/>
      <c r="M147" s="1837"/>
      <c r="N147" s="320"/>
      <c r="O147" s="320"/>
      <c r="P147" s="320"/>
      <c r="Q147" s="320"/>
      <c r="R147" s="320"/>
      <c r="S147" s="320"/>
    </row>
    <row r="148" spans="1:24" s="359" customFormat="1" ht="12.75" hidden="1" customHeight="1">
      <c r="A148" s="339"/>
      <c r="B148" s="1875"/>
      <c r="C148" s="1875"/>
      <c r="D148" s="1124"/>
      <c r="E148" s="1125"/>
      <c r="F148" s="1125"/>
      <c r="G148" s="1125"/>
      <c r="H148" s="1125"/>
      <c r="I148" s="1125"/>
      <c r="J148" s="1125"/>
      <c r="K148" s="1125"/>
      <c r="L148" s="1125"/>
      <c r="M148" s="1837"/>
      <c r="N148" s="320"/>
      <c r="O148" s="320"/>
      <c r="P148" s="320"/>
      <c r="Q148" s="320"/>
      <c r="R148" s="320"/>
      <c r="S148" s="320"/>
    </row>
    <row r="149" spans="1:24" s="74" customFormat="1" ht="12.75" hidden="1" customHeight="1">
      <c r="A149" s="324">
        <f>'5.2 - 25'!A132+0.1</f>
        <v>9.1999999999999993</v>
      </c>
      <c r="B149" s="2049" t="s">
        <v>1693</v>
      </c>
      <c r="C149" s="2049"/>
      <c r="D149" s="2049"/>
      <c r="E149" s="2049"/>
      <c r="F149" s="2049"/>
      <c r="G149" s="2049"/>
      <c r="H149" s="2049"/>
      <c r="I149" s="2049"/>
      <c r="J149" s="2049"/>
      <c r="K149" s="2049"/>
      <c r="L149" s="2049"/>
      <c r="M149" s="1842"/>
      <c r="N149" s="1872"/>
      <c r="O149" s="1872"/>
      <c r="P149" s="349"/>
      <c r="Q149" s="349"/>
      <c r="R149" s="349"/>
      <c r="S149" s="159"/>
      <c r="T149" s="160"/>
      <c r="U149" s="160"/>
      <c r="X149" s="160"/>
    </row>
    <row r="150" spans="1:24" s="74" customFormat="1" ht="12.75" hidden="1" customHeight="1">
      <c r="A150" s="324"/>
      <c r="B150" s="1872"/>
      <c r="C150" s="1872"/>
      <c r="D150" s="1872"/>
      <c r="E150" s="1872"/>
      <c r="F150" s="1872"/>
      <c r="G150" s="1872"/>
      <c r="H150" s="1872"/>
      <c r="I150" s="1872"/>
      <c r="J150" s="1872"/>
      <c r="K150" s="1872"/>
      <c r="L150" s="1872"/>
      <c r="M150" s="1842"/>
      <c r="N150" s="1872"/>
      <c r="O150" s="1872"/>
      <c r="P150" s="349"/>
      <c r="Q150" s="349"/>
      <c r="R150" s="349"/>
      <c r="S150" s="159"/>
      <c r="T150" s="160"/>
      <c r="U150" s="160"/>
      <c r="X150" s="160"/>
    </row>
    <row r="151" spans="1:24" s="74" customFormat="1" ht="12.75" hidden="1" customHeight="1">
      <c r="A151" s="324"/>
      <c r="B151" s="1872"/>
      <c r="C151" s="1872"/>
      <c r="D151" s="1872"/>
      <c r="E151" s="1872"/>
      <c r="F151" s="1872"/>
      <c r="G151" s="1872"/>
      <c r="H151" s="1872"/>
      <c r="I151" s="1872"/>
      <c r="J151" s="1872"/>
      <c r="K151" s="1872"/>
      <c r="L151" s="1872"/>
      <c r="M151" s="1842"/>
      <c r="N151" s="1872"/>
      <c r="O151" s="1872"/>
      <c r="P151" s="349"/>
      <c r="Q151" s="349"/>
      <c r="R151" s="349"/>
      <c r="S151" s="159"/>
      <c r="T151" s="160"/>
      <c r="U151" s="160"/>
      <c r="X151" s="160"/>
    </row>
    <row r="152" spans="1:24" s="74" customFormat="1" ht="12.75" hidden="1">
      <c r="A152" s="360"/>
      <c r="B152" s="204"/>
      <c r="C152" s="1868"/>
      <c r="D152" s="1868"/>
      <c r="E152" s="1868"/>
      <c r="F152" s="1868"/>
      <c r="G152" s="1868"/>
      <c r="H152" s="1868"/>
      <c r="I152" s="1868"/>
      <c r="J152" s="752" t="s">
        <v>1809</v>
      </c>
      <c r="K152" s="89"/>
      <c r="L152" s="752" t="s">
        <v>1809</v>
      </c>
      <c r="M152" s="714"/>
      <c r="N152" s="1868"/>
      <c r="O152" s="159"/>
      <c r="P152" s="159"/>
      <c r="Q152" s="159"/>
      <c r="R152" s="159"/>
      <c r="S152" s="159"/>
      <c r="T152" s="160"/>
      <c r="U152" s="160"/>
      <c r="X152" s="160"/>
    </row>
    <row r="153" spans="1:24" s="74" customFormat="1" ht="12.75" hidden="1">
      <c r="A153" s="1868"/>
      <c r="B153" s="1868"/>
      <c r="C153" s="1868"/>
      <c r="D153" s="1868"/>
      <c r="E153" s="1868"/>
      <c r="F153" s="1868"/>
      <c r="G153" s="1868"/>
      <c r="I153" s="177"/>
      <c r="J153" s="173" t="s">
        <v>1535</v>
      </c>
      <c r="K153" s="174"/>
      <c r="L153" s="173" t="s">
        <v>909</v>
      </c>
      <c r="M153" s="714"/>
      <c r="N153" s="159"/>
      <c r="O153" s="159"/>
      <c r="P153" s="159"/>
      <c r="Q153" s="159"/>
      <c r="R153" s="159"/>
      <c r="S153" s="1868"/>
      <c r="U153" s="160"/>
    </row>
    <row r="154" spans="1:24" s="74" customFormat="1" ht="12.75" hidden="1">
      <c r="A154" s="1868"/>
      <c r="B154" s="1868"/>
      <c r="C154" s="1868"/>
      <c r="D154" s="1868"/>
      <c r="E154" s="1868"/>
      <c r="F154" s="1868"/>
      <c r="G154" s="1868"/>
      <c r="H154" s="177" t="s">
        <v>910</v>
      </c>
      <c r="I154" s="177"/>
      <c r="J154" s="2075" t="s">
        <v>1310</v>
      </c>
      <c r="K154" s="2076"/>
      <c r="L154" s="2076"/>
      <c r="M154" s="714"/>
      <c r="N154" s="159"/>
      <c r="O154" s="159"/>
      <c r="P154" s="159"/>
      <c r="Q154" s="159"/>
      <c r="R154" s="159"/>
      <c r="S154" s="1868"/>
      <c r="U154" s="160"/>
    </row>
    <row r="155" spans="1:24" s="74" customFormat="1" ht="12.75" hidden="1">
      <c r="A155" s="1868"/>
      <c r="B155" s="1868"/>
      <c r="C155" s="1868"/>
      <c r="D155" s="1868"/>
      <c r="E155" s="1868"/>
      <c r="F155" s="1868"/>
      <c r="G155" s="1868"/>
      <c r="H155" s="177"/>
      <c r="I155" s="177"/>
      <c r="J155" s="1873"/>
      <c r="K155" s="1874"/>
      <c r="L155" s="1874"/>
      <c r="M155" s="714"/>
      <c r="N155" s="159"/>
      <c r="O155" s="159"/>
      <c r="P155" s="159"/>
      <c r="Q155" s="159"/>
      <c r="R155" s="159"/>
      <c r="S155" s="1868"/>
      <c r="U155" s="160"/>
    </row>
    <row r="156" spans="1:24" s="74" customFormat="1" ht="12.75" hidden="1">
      <c r="A156" s="324" t="s">
        <v>1144</v>
      </c>
      <c r="B156" s="361" t="s">
        <v>1436</v>
      </c>
      <c r="C156" s="1868"/>
      <c r="D156" s="1868"/>
      <c r="E156" s="1868"/>
      <c r="F156" s="1868"/>
      <c r="G156" s="1868"/>
      <c r="H156" s="172"/>
      <c r="I156" s="172"/>
      <c r="M156" s="714"/>
      <c r="N156" s="159"/>
      <c r="O156" s="159"/>
      <c r="P156" s="159"/>
      <c r="Q156" s="159"/>
      <c r="R156" s="159"/>
      <c r="S156" s="1868"/>
      <c r="U156" s="160"/>
    </row>
    <row r="157" spans="1:24" s="74" customFormat="1" ht="12.75" hidden="1">
      <c r="A157" s="324"/>
      <c r="B157" s="886" t="s">
        <v>1437</v>
      </c>
      <c r="C157" s="1868"/>
      <c r="D157" s="1868"/>
      <c r="E157" s="1868"/>
      <c r="F157" s="1868"/>
      <c r="G157" s="1868"/>
      <c r="H157" s="1875"/>
      <c r="I157" s="1875"/>
      <c r="J157" s="1875"/>
      <c r="K157" s="1875"/>
      <c r="L157" s="1875"/>
      <c r="M157" s="714"/>
      <c r="N157" s="159"/>
      <c r="O157" s="159"/>
      <c r="P157" s="159"/>
      <c r="Q157" s="159"/>
      <c r="R157" s="159"/>
      <c r="S157" s="1868"/>
      <c r="U157" s="160"/>
    </row>
    <row r="158" spans="1:24" s="74" customFormat="1" ht="12.75" hidden="1">
      <c r="A158" s="360"/>
      <c r="B158" s="204"/>
      <c r="C158" s="1868"/>
      <c r="D158" s="1868"/>
      <c r="E158" s="1868"/>
      <c r="F158" s="1868"/>
      <c r="G158" s="1868"/>
      <c r="H158" s="1875"/>
      <c r="I158" s="1875"/>
      <c r="J158" s="1875"/>
      <c r="K158" s="1875"/>
      <c r="L158" s="1875"/>
      <c r="M158" s="714"/>
      <c r="N158" s="159"/>
      <c r="O158" s="159"/>
      <c r="P158" s="159"/>
      <c r="Q158" s="159"/>
      <c r="R158" s="159"/>
      <c r="S158" s="1868"/>
      <c r="U158" s="160"/>
    </row>
    <row r="159" spans="1:24" s="74" customFormat="1" ht="13.5" hidden="1" thickBot="1">
      <c r="A159" s="360"/>
      <c r="B159" s="349" t="s">
        <v>1145</v>
      </c>
      <c r="C159" s="1868"/>
      <c r="D159" s="1868"/>
      <c r="E159" s="1868"/>
      <c r="F159" s="1868"/>
      <c r="G159" s="1868"/>
      <c r="H159" s="352">
        <f>'5.2 - 25'!$A$161</f>
        <v>10.1</v>
      </c>
      <c r="I159" s="352"/>
      <c r="J159" s="1080">
        <f>-'Lead - 2020'!K170</f>
        <v>424</v>
      </c>
      <c r="K159" s="1875"/>
      <c r="L159" s="362">
        <v>74</v>
      </c>
      <c r="M159" s="714"/>
      <c r="N159" s="159"/>
      <c r="O159" s="159"/>
      <c r="P159" s="159"/>
      <c r="Q159" s="159"/>
      <c r="R159" s="159"/>
      <c r="S159" s="1868"/>
      <c r="U159" s="160"/>
    </row>
    <row r="160" spans="1:24" s="74" customFormat="1" ht="13.5" hidden="1" thickTop="1">
      <c r="A160" s="360"/>
      <c r="B160" s="204"/>
      <c r="C160" s="1868"/>
      <c r="D160" s="1868"/>
      <c r="E160" s="1868"/>
      <c r="F160" s="1868"/>
      <c r="G160" s="1868"/>
      <c r="H160" s="1868"/>
      <c r="I160" s="1868"/>
      <c r="J160" s="1868"/>
      <c r="K160" s="1868"/>
      <c r="L160" s="159"/>
      <c r="M160" s="714"/>
      <c r="N160" s="159"/>
      <c r="O160" s="159"/>
      <c r="P160" s="159"/>
      <c r="Q160" s="159"/>
      <c r="R160" s="159"/>
      <c r="S160" s="1868"/>
      <c r="U160" s="160"/>
    </row>
    <row r="161" spans="1:21" s="74" customFormat="1" ht="12.75" hidden="1">
      <c r="A161" s="324">
        <f>'5.2 - 25'!A156+0.1</f>
        <v>10.1</v>
      </c>
      <c r="B161" s="2049" t="s">
        <v>1744</v>
      </c>
      <c r="C161" s="2049"/>
      <c r="D161" s="2049"/>
      <c r="E161" s="2049"/>
      <c r="F161" s="2049"/>
      <c r="G161" s="2049"/>
      <c r="H161" s="2049"/>
      <c r="I161" s="2049"/>
      <c r="J161" s="2049"/>
      <c r="K161" s="2049"/>
      <c r="L161" s="2049"/>
      <c r="M161" s="1843"/>
      <c r="N161" s="363"/>
      <c r="O161" s="363"/>
      <c r="P161" s="159"/>
      <c r="Q161" s="159"/>
      <c r="R161" s="159"/>
      <c r="S161" s="1868"/>
      <c r="U161" s="160"/>
    </row>
    <row r="162" spans="1:21" s="74" customFormat="1" ht="12.75" hidden="1">
      <c r="A162" s="339"/>
      <c r="B162" s="2049"/>
      <c r="C162" s="2049"/>
      <c r="D162" s="2049"/>
      <c r="E162" s="2049"/>
      <c r="F162" s="2049"/>
      <c r="G162" s="2049"/>
      <c r="H162" s="2049"/>
      <c r="I162" s="2049"/>
      <c r="J162" s="2049"/>
      <c r="K162" s="2049"/>
      <c r="L162" s="2049"/>
      <c r="M162" s="1843"/>
      <c r="N162" s="363"/>
      <c r="O162" s="363"/>
      <c r="P162" s="159"/>
      <c r="Q162" s="159"/>
      <c r="R162" s="159"/>
      <c r="S162" s="1868"/>
      <c r="U162" s="160"/>
    </row>
    <row r="163" spans="1:21" s="74" customFormat="1" ht="5.25" hidden="1" customHeight="1">
      <c r="A163" s="339"/>
      <c r="B163" s="2049"/>
      <c r="C163" s="2049"/>
      <c r="D163" s="2049"/>
      <c r="E163" s="2049"/>
      <c r="F163" s="2049"/>
      <c r="G163" s="2049"/>
      <c r="H163" s="2049"/>
      <c r="I163" s="2049"/>
      <c r="J163" s="2049"/>
      <c r="K163" s="2049"/>
      <c r="L163" s="2049"/>
      <c r="M163" s="1843"/>
      <c r="N163" s="363"/>
      <c r="O163" s="363"/>
      <c r="P163" s="159"/>
      <c r="Q163" s="159"/>
      <c r="R163" s="159"/>
      <c r="S163" s="1868"/>
      <c r="U163" s="160"/>
    </row>
    <row r="164" spans="1:21" s="74" customFormat="1" ht="12.75" hidden="1">
      <c r="A164" s="339"/>
      <c r="B164" s="2049"/>
      <c r="C164" s="2049"/>
      <c r="D164" s="2049"/>
      <c r="E164" s="2049"/>
      <c r="F164" s="2049"/>
      <c r="G164" s="2049"/>
      <c r="H164" s="2049"/>
      <c r="I164" s="2049"/>
      <c r="J164" s="2049"/>
      <c r="K164" s="2049"/>
      <c r="L164" s="2049"/>
      <c r="M164" s="1843"/>
      <c r="N164" s="363"/>
      <c r="O164" s="363"/>
      <c r="P164" s="159"/>
      <c r="Q164" s="159"/>
      <c r="R164" s="159"/>
      <c r="S164" s="1868"/>
      <c r="U164" s="160"/>
    </row>
    <row r="165" spans="1:21" s="74" customFormat="1" ht="12.75">
      <c r="A165" s="339"/>
      <c r="B165" s="1872"/>
      <c r="C165" s="1872"/>
      <c r="D165" s="1872"/>
      <c r="E165" s="1872"/>
      <c r="F165" s="1872"/>
      <c r="G165" s="1872"/>
      <c r="H165" s="1872"/>
      <c r="I165" s="1872"/>
      <c r="J165" s="1872"/>
      <c r="K165" s="1872"/>
      <c r="L165" s="1872"/>
      <c r="M165" s="1843"/>
      <c r="N165" s="363"/>
      <c r="O165" s="363"/>
      <c r="P165" s="159"/>
      <c r="Q165" s="159"/>
      <c r="R165" s="159"/>
      <c r="S165" s="1868"/>
      <c r="U165" s="160"/>
    </row>
    <row r="166" spans="1:21" s="74" customFormat="1" ht="12.75">
      <c r="A166" s="360"/>
      <c r="B166" s="204"/>
      <c r="C166" s="1868"/>
      <c r="D166" s="1868"/>
      <c r="E166" s="1868"/>
      <c r="F166" s="1868"/>
      <c r="G166" s="1868"/>
      <c r="H166" s="1868"/>
      <c r="I166" s="1868"/>
      <c r="J166" s="752" t="s">
        <v>1809</v>
      </c>
      <c r="K166" s="89"/>
      <c r="L166" s="752" t="s">
        <v>1946</v>
      </c>
      <c r="M166" s="714"/>
      <c r="N166" s="159"/>
      <c r="O166" s="159"/>
      <c r="P166" s="159"/>
      <c r="Q166" s="159"/>
      <c r="R166" s="159"/>
      <c r="S166" s="1868"/>
      <c r="U166" s="160"/>
    </row>
    <row r="167" spans="1:21" s="74" customFormat="1" ht="12.75">
      <c r="A167" s="343"/>
      <c r="B167" s="204"/>
      <c r="C167" s="1868"/>
      <c r="D167" s="1868"/>
      <c r="E167" s="1868"/>
      <c r="F167" s="1868"/>
      <c r="G167" s="1868"/>
      <c r="I167" s="147"/>
      <c r="J167" s="173" t="s">
        <v>1952</v>
      </c>
      <c r="K167" s="174"/>
      <c r="L167" s="173" t="s">
        <v>1952</v>
      </c>
      <c r="M167" s="1844"/>
      <c r="N167" s="364"/>
      <c r="O167" s="364"/>
      <c r="P167" s="365"/>
      <c r="Q167" s="159"/>
      <c r="R167" s="159"/>
      <c r="S167" s="1868"/>
      <c r="U167" s="160"/>
    </row>
    <row r="168" spans="1:21" s="74" customFormat="1" ht="12.75">
      <c r="A168" s="343"/>
      <c r="B168" s="204"/>
      <c r="C168" s="1868"/>
      <c r="D168" s="1868"/>
      <c r="E168" s="1868"/>
      <c r="F168" s="1868"/>
      <c r="G168" s="1868"/>
      <c r="H168" s="147" t="s">
        <v>910</v>
      </c>
      <c r="I168" s="147"/>
      <c r="J168" s="2075" t="s">
        <v>1310</v>
      </c>
      <c r="K168" s="2075"/>
      <c r="L168" s="2075"/>
      <c r="M168" s="1844"/>
      <c r="N168" s="364"/>
      <c r="O168" s="364"/>
      <c r="P168" s="365"/>
      <c r="Q168" s="159"/>
      <c r="R168" s="159"/>
      <c r="S168" s="1868"/>
      <c r="U168" s="160"/>
    </row>
    <row r="169" spans="1:21" s="74" customFormat="1" ht="12.75">
      <c r="A169" s="1819">
        <f>+'1 - 4.2'!A124+1</f>
        <v>8</v>
      </c>
      <c r="B169" s="366" t="s">
        <v>1146</v>
      </c>
      <c r="C169" s="1868"/>
      <c r="D169" s="1868"/>
      <c r="E169" s="1868"/>
      <c r="F169" s="1868"/>
      <c r="G169" s="1868"/>
      <c r="H169" s="159"/>
      <c r="I169" s="159"/>
      <c r="M169" s="1675"/>
      <c r="N169" s="1873"/>
      <c r="O169" s="1873"/>
      <c r="P169" s="1866"/>
      <c r="Q169" s="159"/>
      <c r="R169" s="159"/>
      <c r="S169" s="1868"/>
      <c r="U169" s="160"/>
    </row>
    <row r="170" spans="1:21" s="74" customFormat="1" ht="12.75">
      <c r="A170" s="343"/>
      <c r="B170" s="1868"/>
      <c r="C170" s="1868"/>
      <c r="D170" s="1868"/>
      <c r="E170" s="1868"/>
      <c r="F170" s="1868"/>
      <c r="G170" s="1868"/>
      <c r="H170" s="159"/>
      <c r="I170" s="159"/>
      <c r="J170" s="1873"/>
      <c r="K170" s="1873"/>
      <c r="L170" s="1873"/>
      <c r="M170" s="1675"/>
      <c r="N170" s="1873"/>
      <c r="O170" s="1873"/>
      <c r="P170" s="1866"/>
      <c r="Q170" s="159">
        <f>-('Lead - 2020'!K194)</f>
        <v>70.137810000000002</v>
      </c>
      <c r="R170" s="159"/>
      <c r="S170" s="1868"/>
      <c r="U170" s="160"/>
    </row>
    <row r="171" spans="1:21" s="74" customFormat="1" ht="12.75">
      <c r="A171" s="343"/>
      <c r="B171" s="1868" t="s">
        <v>951</v>
      </c>
      <c r="C171" s="1868"/>
      <c r="D171" s="1868"/>
      <c r="E171" s="1868"/>
      <c r="F171" s="1868"/>
      <c r="G171" s="1868"/>
      <c r="H171" s="335">
        <f>'5.2 - 25'!$A$183</f>
        <v>8.1</v>
      </c>
      <c r="I171" s="335"/>
      <c r="J171" s="1873">
        <v>0</v>
      </c>
      <c r="K171" s="1873"/>
      <c r="L171" s="367">
        <v>18571</v>
      </c>
      <c r="M171" s="1845">
        <f>J171-L171</f>
        <v>-18571</v>
      </c>
      <c r="N171" s="368"/>
      <c r="O171" s="368"/>
      <c r="P171" s="367"/>
      <c r="Q171" s="383">
        <f>+'Lead - 2020'!K193</f>
        <v>0</v>
      </c>
      <c r="R171" s="159">
        <v>-1126</v>
      </c>
      <c r="S171" s="1868"/>
      <c r="U171" s="160"/>
    </row>
    <row r="172" spans="1:21" s="74" customFormat="1" ht="12.75">
      <c r="A172" s="343"/>
      <c r="B172" s="973" t="s">
        <v>1473</v>
      </c>
      <c r="C172" s="1868"/>
      <c r="D172" s="1868"/>
      <c r="E172" s="1868"/>
      <c r="F172" s="1868"/>
      <c r="G172" s="1868"/>
      <c r="H172" s="1868"/>
      <c r="I172" s="1868"/>
      <c r="J172" s="1873"/>
      <c r="K172" s="1873"/>
      <c r="L172" s="367"/>
      <c r="M172" s="1845"/>
      <c r="N172" s="368"/>
      <c r="O172" s="368"/>
      <c r="P172" s="367"/>
      <c r="Q172" s="159">
        <f>+'Lead - 2020'!K195</f>
        <v>-624.39499999999998</v>
      </c>
      <c r="R172" s="159">
        <v>-474</v>
      </c>
      <c r="S172" s="1868"/>
      <c r="U172" s="160"/>
    </row>
    <row r="173" spans="1:21" s="74" customFormat="1" ht="12.75">
      <c r="A173" s="343"/>
      <c r="B173" s="973" t="s">
        <v>1474</v>
      </c>
      <c r="C173" s="320"/>
      <c r="D173" s="320"/>
      <c r="E173" s="320"/>
      <c r="F173" s="320"/>
      <c r="G173" s="320"/>
      <c r="H173" s="344">
        <f>$A$228</f>
        <v>8.1999999999999993</v>
      </c>
      <c r="I173" s="344"/>
      <c r="J173" s="341">
        <v>9210.2457799999993</v>
      </c>
      <c r="K173" s="341"/>
      <c r="L173" s="342">
        <v>9210</v>
      </c>
      <c r="M173" s="1845">
        <f>+J173+SOAL!F31/SOAL!F39*1000</f>
        <v>9265.6495015640758</v>
      </c>
      <c r="N173" s="368">
        <f>L181-L171</f>
        <v>26145</v>
      </c>
      <c r="O173" s="368">
        <f>M173-N173</f>
        <v>-16879.350498435924</v>
      </c>
      <c r="P173" s="367"/>
      <c r="Q173" s="159"/>
      <c r="R173" s="159"/>
      <c r="S173" s="1868"/>
      <c r="U173" s="160"/>
    </row>
    <row r="174" spans="1:21" s="74" customFormat="1" ht="12.75">
      <c r="A174" s="343"/>
      <c r="B174" s="973" t="s">
        <v>1475</v>
      </c>
      <c r="C174" s="320"/>
      <c r="D174" s="320"/>
      <c r="E174" s="320"/>
      <c r="F174" s="320"/>
      <c r="G174" s="320"/>
      <c r="H174" s="344"/>
      <c r="I174" s="344"/>
      <c r="J174" s="341">
        <v>239.19900000000001</v>
      </c>
      <c r="K174" s="341"/>
      <c r="L174" s="342">
        <v>239</v>
      </c>
      <c r="M174" s="1845"/>
      <c r="N174" s="368"/>
      <c r="O174" s="368"/>
      <c r="P174" s="367"/>
      <c r="Q174" s="159"/>
      <c r="R174" s="159"/>
      <c r="S174" s="1868"/>
      <c r="U174" s="160"/>
    </row>
    <row r="175" spans="1:21" s="74" customFormat="1" ht="12.75">
      <c r="A175" s="343"/>
      <c r="B175" s="1868" t="s">
        <v>1147</v>
      </c>
      <c r="C175" s="1868"/>
      <c r="D175" s="1868"/>
      <c r="E175" s="1868"/>
      <c r="F175" s="1868"/>
      <c r="G175" s="1868"/>
      <c r="H175" s="1868"/>
      <c r="I175" s="1868"/>
      <c r="J175" s="1873">
        <v>423.35386999999997</v>
      </c>
      <c r="K175" s="1873"/>
      <c r="L175" s="159">
        <v>31</v>
      </c>
      <c r="M175" s="714">
        <f>J181-J171-J176-J179-J173-J174</f>
        <v>14846.937359999994</v>
      </c>
      <c r="N175" s="1868"/>
      <c r="O175" s="1868"/>
      <c r="P175" s="159"/>
      <c r="Q175" s="159"/>
      <c r="R175" s="159"/>
      <c r="S175" s="1868"/>
      <c r="U175" s="160"/>
    </row>
    <row r="176" spans="1:21" s="74" customFormat="1" ht="12.75">
      <c r="A176" s="343"/>
      <c r="B176" s="1868" t="s">
        <v>1148</v>
      </c>
      <c r="C176" s="1868"/>
      <c r="D176" s="1868"/>
      <c r="E176" s="1868"/>
      <c r="F176" s="1868"/>
      <c r="G176" s="1868"/>
      <c r="H176" s="1868"/>
      <c r="I176" s="1868"/>
      <c r="J176" s="1873">
        <v>6706.2790000000005</v>
      </c>
      <c r="K176" s="1873"/>
      <c r="L176" s="367">
        <v>6779</v>
      </c>
      <c r="M176" s="1845"/>
      <c r="N176" s="368"/>
      <c r="O176" s="368"/>
      <c r="P176" s="367"/>
      <c r="Q176" s="159"/>
      <c r="R176" s="159"/>
      <c r="S176" s="1868"/>
      <c r="T176" s="74">
        <v>9807</v>
      </c>
      <c r="U176" s="160"/>
    </row>
    <row r="177" spans="1:30" s="74" customFormat="1" ht="12.75">
      <c r="A177" s="343"/>
      <c r="B177" s="1868" t="s">
        <v>1149</v>
      </c>
      <c r="C177" s="1868"/>
      <c r="D177" s="1868"/>
      <c r="E177" s="1868"/>
      <c r="F177" s="1868"/>
      <c r="G177" s="1868"/>
      <c r="H177" s="1868"/>
      <c r="I177" s="1868"/>
      <c r="J177" s="1873">
        <v>562.56836999999996</v>
      </c>
      <c r="K177" s="1873"/>
      <c r="L177" s="367">
        <v>409</v>
      </c>
      <c r="M177" s="1845"/>
      <c r="N177" s="368"/>
      <c r="O177" s="368"/>
      <c r="P177" s="367"/>
      <c r="Q177" s="159"/>
      <c r="R177" s="159"/>
      <c r="S177" s="1868"/>
      <c r="T177" s="160">
        <v>44208597</v>
      </c>
      <c r="U177" s="160"/>
    </row>
    <row r="178" spans="1:30" s="74" customFormat="1" ht="12.75">
      <c r="A178" s="343"/>
      <c r="B178" s="1868" t="s">
        <v>1150</v>
      </c>
      <c r="C178" s="1868"/>
      <c r="D178" s="1868"/>
      <c r="E178" s="1868"/>
      <c r="F178" s="1868"/>
      <c r="G178" s="1868"/>
      <c r="H178" s="1868"/>
      <c r="I178" s="1868"/>
      <c r="J178" s="1873">
        <v>13000.311309999999</v>
      </c>
      <c r="K178" s="1873"/>
      <c r="L178" s="367">
        <v>8812</v>
      </c>
      <c r="M178" s="1845"/>
      <c r="N178" s="368"/>
      <c r="O178" s="368">
        <v>12704628.84</v>
      </c>
      <c r="P178" s="367"/>
      <c r="Q178" s="159"/>
      <c r="R178" s="159"/>
      <c r="S178" s="1868"/>
      <c r="U178" s="160"/>
      <c r="V178" s="160" t="e">
        <f>#REF!</f>
        <v>#REF!</v>
      </c>
    </row>
    <row r="179" spans="1:30" s="74" customFormat="1" ht="13.15" hidden="1" customHeight="1">
      <c r="A179" s="343"/>
      <c r="B179" s="1868" t="s">
        <v>1151</v>
      </c>
      <c r="C179" s="1868"/>
      <c r="D179" s="1868"/>
      <c r="E179" s="1868"/>
      <c r="F179" s="1868"/>
      <c r="G179" s="1868"/>
      <c r="H179" s="344"/>
      <c r="I179" s="1868"/>
      <c r="J179" s="1873">
        <v>0</v>
      </c>
      <c r="K179" s="1873"/>
      <c r="L179" s="367">
        <v>0</v>
      </c>
      <c r="M179" s="714"/>
      <c r="N179" s="1868"/>
      <c r="O179" s="368">
        <v>295682.46999999997</v>
      </c>
      <c r="P179" s="367"/>
      <c r="Q179" s="159"/>
      <c r="R179" s="159"/>
      <c r="S179" s="1868"/>
      <c r="U179" s="160"/>
    </row>
    <row r="180" spans="1:30" s="74" customFormat="1" ht="12.75">
      <c r="A180" s="343"/>
      <c r="B180" s="1868" t="s">
        <v>1128</v>
      </c>
      <c r="C180" s="1868"/>
      <c r="D180" s="1868"/>
      <c r="E180" s="1868"/>
      <c r="F180" s="1868"/>
      <c r="G180" s="1868"/>
      <c r="H180" s="1868"/>
      <c r="I180" s="1868"/>
      <c r="J180" s="1873">
        <v>860.70380999999998</v>
      </c>
      <c r="K180" s="1873"/>
      <c r="L180" s="367">
        <v>665</v>
      </c>
      <c r="M180" s="1845"/>
      <c r="N180" s="368">
        <v>48024</v>
      </c>
      <c r="O180" s="368"/>
      <c r="P180" s="367">
        <f>J180+758</f>
        <v>1618.70381</v>
      </c>
      <c r="Q180" s="159">
        <f>SOAL!F28</f>
        <v>31002.661139999997</v>
      </c>
      <c r="R180" s="159">
        <f>Q180-J181</f>
        <v>0</v>
      </c>
      <c r="S180" s="1868"/>
      <c r="U180" s="160"/>
    </row>
    <row r="181" spans="1:30" s="44" customFormat="1" ht="20.25" customHeight="1" thickBot="1">
      <c r="A181" s="345"/>
      <c r="B181" s="370"/>
      <c r="C181" s="39"/>
      <c r="D181" s="39"/>
      <c r="E181" s="39"/>
      <c r="F181" s="39"/>
      <c r="G181" s="39"/>
      <c r="H181" s="39"/>
      <c r="I181" s="39"/>
      <c r="J181" s="371">
        <v>31002.661139999997</v>
      </c>
      <c r="K181" s="372"/>
      <c r="L181" s="373">
        <v>44716</v>
      </c>
      <c r="M181" s="1846">
        <v>44736</v>
      </c>
      <c r="N181" s="374">
        <f>+N180-J181</f>
        <v>17021.338860000003</v>
      </c>
      <c r="O181" s="374">
        <v>65308.81</v>
      </c>
      <c r="P181" s="375"/>
      <c r="Q181" s="376"/>
      <c r="R181" s="376"/>
      <c r="S181" s="39"/>
      <c r="U181" s="212"/>
    </row>
    <row r="182" spans="1:30" s="160" customFormat="1" ht="13.5" thickTop="1">
      <c r="A182" s="159"/>
      <c r="B182" s="377"/>
      <c r="C182" s="378"/>
      <c r="D182" s="378"/>
      <c r="E182" s="378"/>
      <c r="F182" s="378"/>
      <c r="G182" s="378"/>
      <c r="H182" s="378"/>
      <c r="I182" s="378"/>
      <c r="J182" s="379"/>
      <c r="K182" s="378"/>
      <c r="L182" s="378"/>
      <c r="M182" s="714"/>
      <c r="N182" s="159">
        <v>47515</v>
      </c>
      <c r="O182" s="159">
        <v>794395</v>
      </c>
      <c r="P182" s="159"/>
      <c r="Q182" s="25"/>
      <c r="R182" s="25"/>
      <c r="S182" s="25"/>
      <c r="T182" s="31"/>
      <c r="U182" s="31"/>
      <c r="V182" s="31"/>
      <c r="W182" s="31"/>
      <c r="X182" s="31"/>
      <c r="Y182" s="31"/>
      <c r="Z182" s="31"/>
      <c r="AA182" s="31"/>
      <c r="AB182" s="31"/>
      <c r="AC182" s="380"/>
      <c r="AD182" s="31"/>
    </row>
    <row r="183" spans="1:30" s="160" customFormat="1" ht="12.75" customHeight="1">
      <c r="A183" s="381">
        <f>'5.2 - 25'!A169+0.1</f>
        <v>8.1</v>
      </c>
      <c r="B183" s="885" t="s">
        <v>1434</v>
      </c>
      <c r="C183" s="758"/>
      <c r="D183" s="758"/>
      <c r="E183" s="758"/>
      <c r="F183" s="758"/>
      <c r="G183" s="758"/>
      <c r="H183" s="758"/>
      <c r="I183" s="758"/>
      <c r="J183" s="758"/>
      <c r="K183" s="758"/>
      <c r="L183" s="758"/>
      <c r="M183" s="714"/>
      <c r="N183" s="159"/>
      <c r="O183" s="159"/>
      <c r="P183" s="159"/>
      <c r="Q183" s="25"/>
      <c r="R183" s="25"/>
      <c r="S183" s="25"/>
      <c r="T183" s="31"/>
      <c r="U183" s="31"/>
      <c r="V183" s="31"/>
      <c r="W183" s="31"/>
      <c r="X183" s="31"/>
      <c r="Y183" s="31"/>
      <c r="Z183" s="31"/>
      <c r="AA183" s="31"/>
      <c r="AB183" s="31"/>
      <c r="AC183" s="380"/>
      <c r="AD183" s="31"/>
    </row>
    <row r="184" spans="1:30" s="160" customFormat="1" ht="12.75">
      <c r="A184" s="159"/>
      <c r="B184" s="758"/>
      <c r="C184" s="758"/>
      <c r="D184" s="758"/>
      <c r="E184" s="758"/>
      <c r="F184" s="758"/>
      <c r="G184" s="758"/>
      <c r="H184" s="758"/>
      <c r="I184" s="758"/>
      <c r="J184" s="758"/>
      <c r="K184" s="758"/>
      <c r="L184" s="758"/>
      <c r="M184" s="714"/>
      <c r="N184" s="159"/>
      <c r="O184" s="159"/>
      <c r="P184" s="159"/>
      <c r="Q184" s="25"/>
      <c r="R184" s="25"/>
      <c r="S184" s="25"/>
      <c r="T184" s="31"/>
      <c r="U184" s="31"/>
      <c r="V184" s="31"/>
      <c r="W184" s="31"/>
      <c r="X184" s="31"/>
      <c r="Y184" s="31"/>
      <c r="Z184" s="31"/>
      <c r="AA184" s="31"/>
      <c r="AB184" s="31"/>
      <c r="AC184" s="380"/>
      <c r="AD184" s="31"/>
    </row>
    <row r="185" spans="1:30" s="160" customFormat="1" ht="12.75" customHeight="1">
      <c r="A185" s="159"/>
      <c r="B185" s="2049" t="s">
        <v>2140</v>
      </c>
      <c r="C185" s="2049"/>
      <c r="D185" s="2049"/>
      <c r="E185" s="2049"/>
      <c r="F185" s="2049"/>
      <c r="G185" s="2049"/>
      <c r="H185" s="2049"/>
      <c r="I185" s="2049"/>
      <c r="J185" s="2049"/>
      <c r="K185" s="2049"/>
      <c r="L185" s="2049"/>
      <c r="M185" s="1847"/>
      <c r="N185" s="159"/>
      <c r="O185" s="159"/>
      <c r="P185" s="159"/>
      <c r="Q185" s="25"/>
      <c r="R185" s="25"/>
      <c r="S185" s="25"/>
      <c r="T185" s="31"/>
      <c r="U185" s="31"/>
      <c r="V185" s="31"/>
      <c r="W185" s="31"/>
      <c r="X185" s="31"/>
      <c r="Y185" s="31"/>
      <c r="Z185" s="31"/>
      <c r="AA185" s="31"/>
      <c r="AB185" s="31"/>
      <c r="AC185" s="380"/>
      <c r="AD185" s="31"/>
    </row>
    <row r="186" spans="1:30" s="160" customFormat="1" ht="12.75" customHeight="1">
      <c r="A186" s="159"/>
      <c r="B186" s="2049"/>
      <c r="C186" s="2049"/>
      <c r="D186" s="2049"/>
      <c r="E186" s="2049"/>
      <c r="F186" s="2049"/>
      <c r="G186" s="2049"/>
      <c r="H186" s="2049"/>
      <c r="I186" s="2049"/>
      <c r="J186" s="2049"/>
      <c r="K186" s="2049"/>
      <c r="L186" s="2049"/>
      <c r="M186" s="1847"/>
      <c r="N186" s="159"/>
      <c r="O186" s="159"/>
      <c r="P186" s="159" t="s">
        <v>1947</v>
      </c>
      <c r="Q186" s="25"/>
      <c r="R186" s="25"/>
      <c r="S186" s="25"/>
      <c r="T186" s="31">
        <f>+SOAL!F33+'5.2 - 25'!J173</f>
        <v>8372895.2457800005</v>
      </c>
      <c r="U186" s="31"/>
      <c r="V186" s="31"/>
      <c r="W186" s="31"/>
      <c r="X186" s="31"/>
      <c r="Y186" s="31"/>
      <c r="Z186" s="31"/>
      <c r="AA186" s="31"/>
      <c r="AB186" s="31"/>
      <c r="AC186" s="380"/>
      <c r="AD186" s="31"/>
    </row>
    <row r="187" spans="1:30" s="160" customFormat="1" ht="12.75">
      <c r="A187" s="159"/>
      <c r="B187" s="2049"/>
      <c r="C187" s="2049"/>
      <c r="D187" s="2049"/>
      <c r="E187" s="2049"/>
      <c r="F187" s="2049"/>
      <c r="G187" s="2049"/>
      <c r="H187" s="2049"/>
      <c r="I187" s="2049"/>
      <c r="J187" s="2049"/>
      <c r="K187" s="2049"/>
      <c r="L187" s="2049"/>
      <c r="M187" s="1847"/>
      <c r="N187" s="159"/>
      <c r="O187" s="159"/>
      <c r="P187" s="159"/>
      <c r="Q187" s="25"/>
      <c r="R187" s="25"/>
      <c r="S187" s="25"/>
      <c r="T187" s="1826">
        <f>+T186/SOAL!F39*1000</f>
        <v>55.464733174716208</v>
      </c>
      <c r="U187" s="1827">
        <f>+T187-SOAL!F43</f>
        <v>6.1033174716207839E-2</v>
      </c>
      <c r="V187" s="31"/>
      <c r="W187" s="31"/>
      <c r="X187" s="31"/>
      <c r="Y187" s="31"/>
      <c r="Z187" s="31"/>
      <c r="AA187" s="31"/>
      <c r="AB187" s="31"/>
      <c r="AC187" s="380"/>
      <c r="AD187" s="31"/>
    </row>
    <row r="188" spans="1:30" s="160" customFormat="1" ht="51.6" customHeight="1">
      <c r="A188" s="159"/>
      <c r="B188" s="2049"/>
      <c r="C188" s="2049"/>
      <c r="D188" s="2049"/>
      <c r="E188" s="2049"/>
      <c r="F188" s="2049"/>
      <c r="G188" s="2049"/>
      <c r="H188" s="2049"/>
      <c r="I188" s="2049"/>
      <c r="J188" s="2049"/>
      <c r="K188" s="2049"/>
      <c r="L188" s="2049"/>
      <c r="M188" s="1847">
        <f>J171/SOAL!F39*1000</f>
        <v>0</v>
      </c>
      <c r="N188" s="384">
        <f>L171/SOAL!H39*1000</f>
        <v>0.1050596889910746</v>
      </c>
      <c r="O188" s="159"/>
      <c r="P188" s="159"/>
      <c r="Q188" s="25"/>
      <c r="R188" s="25"/>
      <c r="S188" s="25"/>
      <c r="T188" s="31"/>
      <c r="U188" s="31"/>
      <c r="V188" s="31"/>
      <c r="W188" s="31"/>
      <c r="X188" s="31"/>
      <c r="Y188" s="31"/>
      <c r="Z188" s="31"/>
      <c r="AA188" s="31"/>
      <c r="AB188" s="31"/>
      <c r="AC188" s="380"/>
      <c r="AD188" s="31"/>
    </row>
    <row r="189" spans="1:30" s="160" customFormat="1" ht="12.75">
      <c r="A189" s="159"/>
      <c r="B189" s="1872"/>
      <c r="C189" s="1872"/>
      <c r="D189" s="1872"/>
      <c r="E189" s="1872"/>
      <c r="F189" s="1872"/>
      <c r="G189" s="1872"/>
      <c r="H189" s="1872"/>
      <c r="I189" s="1872"/>
      <c r="J189" s="1872"/>
      <c r="K189" s="1872"/>
      <c r="L189" s="1872"/>
      <c r="M189" s="1847"/>
      <c r="N189" s="159"/>
      <c r="O189" s="159"/>
      <c r="P189" s="159"/>
      <c r="Q189" s="25"/>
      <c r="R189" s="25"/>
      <c r="S189" s="25"/>
      <c r="T189" s="31"/>
      <c r="U189" s="31"/>
      <c r="V189" s="31"/>
      <c r="W189" s="31"/>
      <c r="X189" s="31"/>
      <c r="Y189" s="31"/>
      <c r="Z189" s="31"/>
      <c r="AA189" s="31"/>
      <c r="AB189" s="31"/>
      <c r="AC189" s="380"/>
      <c r="AD189" s="31"/>
    </row>
    <row r="190" spans="1:30" s="160" customFormat="1" ht="12.75" hidden="1">
      <c r="A190" s="159"/>
      <c r="B190" s="2049" t="s">
        <v>1521</v>
      </c>
      <c r="C190" s="2049"/>
      <c r="D190" s="2049"/>
      <c r="E190" s="2049"/>
      <c r="F190" s="2049"/>
      <c r="G190" s="2049"/>
      <c r="H190" s="2049"/>
      <c r="I190" s="2049"/>
      <c r="J190" s="2049"/>
      <c r="K190" s="2049"/>
      <c r="L190" s="2049"/>
      <c r="M190" s="1847"/>
      <c r="N190" s="159"/>
      <c r="O190" s="159"/>
      <c r="P190" s="159"/>
      <c r="Q190" s="25"/>
      <c r="R190" s="25"/>
      <c r="S190" s="25"/>
      <c r="T190" s="31"/>
      <c r="U190" s="31"/>
      <c r="V190" s="31"/>
      <c r="W190" s="31"/>
      <c r="X190" s="31"/>
      <c r="Y190" s="31"/>
      <c r="Z190" s="31"/>
      <c r="AA190" s="31"/>
      <c r="AB190" s="31"/>
      <c r="AC190" s="380"/>
      <c r="AD190" s="31"/>
    </row>
    <row r="191" spans="1:30" s="160" customFormat="1" ht="12.75" hidden="1">
      <c r="A191" s="159"/>
      <c r="B191" s="2049"/>
      <c r="C191" s="2049"/>
      <c r="D191" s="2049"/>
      <c r="E191" s="2049"/>
      <c r="F191" s="2049"/>
      <c r="G191" s="2049"/>
      <c r="H191" s="2049"/>
      <c r="I191" s="2049"/>
      <c r="J191" s="2049"/>
      <c r="K191" s="2049"/>
      <c r="L191" s="2049"/>
      <c r="M191" s="1847"/>
      <c r="N191" s="159"/>
      <c r="O191" s="159"/>
      <c r="P191" s="159"/>
      <c r="Q191" s="25"/>
      <c r="R191" s="25"/>
      <c r="S191" s="25"/>
      <c r="T191" s="31"/>
      <c r="U191" s="31"/>
      <c r="V191" s="31"/>
      <c r="W191" s="31"/>
      <c r="X191" s="31"/>
      <c r="Y191" s="31"/>
      <c r="Z191" s="31"/>
      <c r="AA191" s="31"/>
      <c r="AB191" s="31"/>
      <c r="AC191" s="380"/>
      <c r="AD191" s="31"/>
    </row>
    <row r="192" spans="1:30" s="160" customFormat="1" ht="12.75" hidden="1">
      <c r="A192" s="159"/>
      <c r="B192" s="2049"/>
      <c r="C192" s="2049"/>
      <c r="D192" s="2049"/>
      <c r="E192" s="2049"/>
      <c r="F192" s="2049"/>
      <c r="G192" s="2049"/>
      <c r="H192" s="2049"/>
      <c r="I192" s="2049"/>
      <c r="J192" s="2049"/>
      <c r="K192" s="2049"/>
      <c r="L192" s="2049"/>
      <c r="M192" s="1847"/>
      <c r="N192" s="159"/>
      <c r="O192" s="159"/>
      <c r="P192" s="159"/>
      <c r="Q192" s="25"/>
      <c r="R192" s="25"/>
      <c r="S192" s="25"/>
      <c r="T192" s="31"/>
      <c r="U192" s="31"/>
      <c r="V192" s="31"/>
      <c r="W192" s="31"/>
      <c r="X192" s="31"/>
      <c r="Y192" s="31"/>
      <c r="Z192" s="31"/>
      <c r="AA192" s="31"/>
      <c r="AB192" s="31"/>
      <c r="AC192" s="380"/>
      <c r="AD192" s="31"/>
    </row>
    <row r="193" spans="1:30" s="160" customFormat="1" ht="12.75" hidden="1">
      <c r="A193" s="159"/>
      <c r="B193" s="2049"/>
      <c r="C193" s="2049"/>
      <c r="D193" s="2049"/>
      <c r="E193" s="2049"/>
      <c r="F193" s="2049"/>
      <c r="G193" s="2049"/>
      <c r="H193" s="2049"/>
      <c r="I193" s="2049"/>
      <c r="J193" s="2049"/>
      <c r="K193" s="2049"/>
      <c r="L193" s="2049"/>
      <c r="M193" s="1847"/>
      <c r="N193" s="159"/>
      <c r="O193" s="159"/>
      <c r="P193" s="159"/>
      <c r="Q193" s="25"/>
      <c r="R193" s="25"/>
      <c r="S193" s="25"/>
      <c r="T193" s="31"/>
      <c r="U193" s="31"/>
      <c r="V193" s="31"/>
      <c r="W193" s="31"/>
      <c r="X193" s="31"/>
      <c r="Y193" s="31"/>
      <c r="Z193" s="31"/>
      <c r="AA193" s="31"/>
      <c r="AB193" s="31"/>
      <c r="AC193" s="380"/>
      <c r="AD193" s="31"/>
    </row>
    <row r="194" spans="1:30" s="160" customFormat="1" ht="12.75" hidden="1">
      <c r="A194" s="159"/>
      <c r="B194" s="2049"/>
      <c r="C194" s="2049"/>
      <c r="D194" s="2049"/>
      <c r="E194" s="2049"/>
      <c r="F194" s="2049"/>
      <c r="G194" s="2049"/>
      <c r="H194" s="2049"/>
      <c r="I194" s="2049"/>
      <c r="J194" s="2049"/>
      <c r="K194" s="2049"/>
      <c r="L194" s="2049"/>
      <c r="M194" s="1847"/>
      <c r="N194" s="159"/>
      <c r="O194" s="159"/>
      <c r="P194" s="159"/>
      <c r="Q194" s="25"/>
      <c r="R194" s="25"/>
      <c r="S194" s="25"/>
      <c r="T194" s="31"/>
      <c r="U194" s="31"/>
      <c r="V194" s="31"/>
      <c r="W194" s="31"/>
      <c r="X194" s="31"/>
      <c r="Y194" s="31"/>
      <c r="Z194" s="31"/>
      <c r="AA194" s="31"/>
      <c r="AB194" s="31"/>
      <c r="AC194" s="380"/>
      <c r="AD194" s="31"/>
    </row>
    <row r="195" spans="1:30" s="160" customFormat="1" ht="12.75" hidden="1">
      <c r="A195" s="159"/>
      <c r="B195" s="159"/>
      <c r="C195" s="159"/>
      <c r="D195" s="159"/>
      <c r="E195" s="159"/>
      <c r="F195" s="159"/>
      <c r="G195" s="159"/>
      <c r="H195" s="159"/>
      <c r="I195" s="159"/>
      <c r="J195" s="159"/>
      <c r="K195" s="159"/>
      <c r="L195" s="159"/>
      <c r="M195" s="1847"/>
      <c r="N195" s="159"/>
      <c r="O195" s="159"/>
      <c r="P195" s="159"/>
      <c r="Q195" s="25"/>
      <c r="R195" s="25"/>
      <c r="S195" s="25"/>
      <c r="T195" s="31"/>
      <c r="U195" s="31"/>
      <c r="V195" s="31"/>
      <c r="W195" s="31"/>
      <c r="X195" s="31"/>
      <c r="Y195" s="31"/>
      <c r="Z195" s="31"/>
      <c r="AA195" s="31"/>
      <c r="AB195" s="31"/>
      <c r="AC195" s="380"/>
      <c r="AD195" s="31"/>
    </row>
    <row r="196" spans="1:30" s="160" customFormat="1" ht="12.75" hidden="1">
      <c r="A196" s="159"/>
      <c r="B196" s="2049" t="s">
        <v>1522</v>
      </c>
      <c r="C196" s="2049"/>
      <c r="D196" s="2049"/>
      <c r="E196" s="2049"/>
      <c r="F196" s="2049"/>
      <c r="G196" s="2049"/>
      <c r="H196" s="2049"/>
      <c r="I196" s="2049"/>
      <c r="J196" s="2049"/>
      <c r="K196" s="2049"/>
      <c r="L196" s="2049"/>
      <c r="M196" s="1847"/>
      <c r="N196" s="159"/>
      <c r="O196" s="159"/>
      <c r="P196" s="159"/>
      <c r="Q196" s="25"/>
      <c r="R196" s="25"/>
      <c r="S196" s="25"/>
      <c r="T196" s="31"/>
      <c r="U196" s="31"/>
      <c r="V196" s="31"/>
      <c r="W196" s="31"/>
      <c r="X196" s="31"/>
      <c r="Y196" s="31"/>
      <c r="Z196" s="31"/>
      <c r="AA196" s="31"/>
      <c r="AB196" s="31"/>
      <c r="AC196" s="380"/>
      <c r="AD196" s="31"/>
    </row>
    <row r="197" spans="1:30" s="160" customFormat="1" ht="12.75" hidden="1">
      <c r="A197" s="159"/>
      <c r="B197" s="2049"/>
      <c r="C197" s="2049"/>
      <c r="D197" s="2049"/>
      <c r="E197" s="2049"/>
      <c r="F197" s="2049"/>
      <c r="G197" s="2049"/>
      <c r="H197" s="2049"/>
      <c r="I197" s="2049"/>
      <c r="J197" s="2049"/>
      <c r="K197" s="2049"/>
      <c r="L197" s="2049"/>
      <c r="M197" s="1847"/>
      <c r="N197" s="159"/>
      <c r="O197" s="159"/>
      <c r="P197" s="159"/>
      <c r="Q197" s="25"/>
      <c r="R197" s="25"/>
      <c r="S197" s="25"/>
      <c r="T197" s="31"/>
      <c r="U197" s="31"/>
      <c r="V197" s="31"/>
      <c r="W197" s="31"/>
      <c r="X197" s="31"/>
      <c r="Y197" s="31"/>
      <c r="Z197" s="31"/>
      <c r="AA197" s="31"/>
      <c r="AB197" s="31"/>
      <c r="AC197" s="380"/>
      <c r="AD197" s="31"/>
    </row>
    <row r="198" spans="1:30" s="160" customFormat="1" ht="12.75" hidden="1">
      <c r="A198" s="159"/>
      <c r="B198" s="2049"/>
      <c r="C198" s="2049"/>
      <c r="D198" s="2049"/>
      <c r="E198" s="2049"/>
      <c r="F198" s="2049"/>
      <c r="G198" s="2049"/>
      <c r="H198" s="2049"/>
      <c r="I198" s="2049"/>
      <c r="J198" s="2049"/>
      <c r="K198" s="2049"/>
      <c r="L198" s="2049"/>
      <c r="M198" s="1847"/>
      <c r="N198" s="159"/>
      <c r="O198" s="159"/>
      <c r="P198" s="159"/>
      <c r="Q198" s="25"/>
      <c r="R198" s="25"/>
      <c r="S198" s="25"/>
      <c r="T198" s="31"/>
      <c r="U198" s="31"/>
      <c r="V198" s="31"/>
      <c r="W198" s="31"/>
      <c r="X198" s="31"/>
      <c r="Y198" s="31"/>
      <c r="Z198" s="31"/>
      <c r="AA198" s="31"/>
      <c r="AB198" s="31"/>
      <c r="AC198" s="380"/>
      <c r="AD198" s="31"/>
    </row>
    <row r="199" spans="1:30" s="160" customFormat="1" ht="12.75" hidden="1">
      <c r="A199" s="159"/>
      <c r="B199" s="2049"/>
      <c r="C199" s="2049"/>
      <c r="D199" s="2049"/>
      <c r="E199" s="2049"/>
      <c r="F199" s="2049"/>
      <c r="G199" s="2049"/>
      <c r="H199" s="2049"/>
      <c r="I199" s="2049"/>
      <c r="J199" s="2049"/>
      <c r="K199" s="2049"/>
      <c r="L199" s="2049"/>
      <c r="M199" s="1847"/>
      <c r="N199" s="159"/>
      <c r="O199" s="159"/>
      <c r="P199" s="159"/>
      <c r="Q199" s="25"/>
      <c r="R199" s="25"/>
      <c r="S199" s="25"/>
      <c r="T199" s="31"/>
      <c r="U199" s="31"/>
      <c r="V199" s="31"/>
      <c r="W199" s="31"/>
      <c r="X199" s="31"/>
      <c r="Y199" s="31"/>
      <c r="Z199" s="31"/>
      <c r="AA199" s="31"/>
      <c r="AB199" s="31"/>
      <c r="AC199" s="380"/>
      <c r="AD199" s="31"/>
    </row>
    <row r="200" spans="1:30" s="160" customFormat="1" ht="12.75" hidden="1">
      <c r="A200" s="159"/>
      <c r="B200" s="2049"/>
      <c r="C200" s="2049"/>
      <c r="D200" s="2049"/>
      <c r="E200" s="2049"/>
      <c r="F200" s="2049"/>
      <c r="G200" s="2049"/>
      <c r="H200" s="2049"/>
      <c r="I200" s="2049"/>
      <c r="J200" s="2049"/>
      <c r="K200" s="2049"/>
      <c r="L200" s="2049"/>
      <c r="M200" s="1847"/>
      <c r="N200" s="159"/>
      <c r="O200" s="159"/>
      <c r="P200" s="159"/>
      <c r="Q200" s="25"/>
      <c r="R200" s="25"/>
      <c r="S200" s="25"/>
      <c r="T200" s="31"/>
      <c r="U200" s="31"/>
      <c r="V200" s="31"/>
      <c r="W200" s="31"/>
      <c r="X200" s="31"/>
      <c r="Y200" s="31"/>
      <c r="Z200" s="31"/>
      <c r="AA200" s="31"/>
      <c r="AB200" s="31"/>
      <c r="AC200" s="380"/>
      <c r="AD200" s="31"/>
    </row>
    <row r="201" spans="1:30" s="160" customFormat="1" ht="12.75" hidden="1">
      <c r="A201" s="159"/>
      <c r="B201" s="2049"/>
      <c r="C201" s="2049"/>
      <c r="D201" s="2049"/>
      <c r="E201" s="2049"/>
      <c r="F201" s="2049"/>
      <c r="G201" s="2049"/>
      <c r="H201" s="2049"/>
      <c r="I201" s="2049"/>
      <c r="J201" s="2049"/>
      <c r="K201" s="2049"/>
      <c r="L201" s="2049"/>
      <c r="M201" s="1847"/>
      <c r="N201" s="159"/>
      <c r="O201" s="159"/>
      <c r="P201" s="159"/>
      <c r="Q201" s="25"/>
      <c r="R201" s="25"/>
      <c r="S201" s="25"/>
      <c r="T201" s="31"/>
      <c r="U201" s="31"/>
      <c r="V201" s="31"/>
      <c r="W201" s="31"/>
      <c r="X201" s="31"/>
      <c r="Y201" s="31"/>
      <c r="Z201" s="31"/>
      <c r="AA201" s="31"/>
      <c r="AB201" s="31"/>
      <c r="AC201" s="380"/>
      <c r="AD201" s="31"/>
    </row>
    <row r="202" spans="1:30" s="160" customFormat="1" ht="12.75" hidden="1">
      <c r="A202" s="159"/>
      <c r="B202" s="2049"/>
      <c r="C202" s="2049"/>
      <c r="D202" s="2049"/>
      <c r="E202" s="2049"/>
      <c r="F202" s="2049"/>
      <c r="G202" s="2049"/>
      <c r="H202" s="2049"/>
      <c r="I202" s="2049"/>
      <c r="J202" s="2049"/>
      <c r="K202" s="2049"/>
      <c r="L202" s="2049"/>
      <c r="M202" s="1847"/>
      <c r="N202" s="159"/>
      <c r="O202" s="159"/>
      <c r="P202" s="159"/>
      <c r="Q202" s="25"/>
      <c r="R202" s="25"/>
      <c r="S202" s="25"/>
      <c r="T202" s="31"/>
      <c r="U202" s="31"/>
      <c r="V202" s="31"/>
      <c r="W202" s="31"/>
      <c r="X202" s="31"/>
      <c r="Y202" s="31"/>
      <c r="Z202" s="31"/>
      <c r="AA202" s="31"/>
      <c r="AB202" s="31"/>
      <c r="AC202" s="380"/>
      <c r="AD202" s="31"/>
    </row>
    <row r="203" spans="1:30" s="160" customFormat="1" ht="12.75" hidden="1">
      <c r="A203" s="159"/>
      <c r="B203" s="2049"/>
      <c r="C203" s="2049"/>
      <c r="D203" s="2049"/>
      <c r="E203" s="2049"/>
      <c r="F203" s="2049"/>
      <c r="G203" s="2049"/>
      <c r="H203" s="2049"/>
      <c r="I203" s="2049"/>
      <c r="J203" s="2049"/>
      <c r="K203" s="2049"/>
      <c r="L203" s="2049"/>
      <c r="M203" s="1847"/>
      <c r="N203" s="159"/>
      <c r="O203" s="159"/>
      <c r="P203" s="159"/>
      <c r="Q203" s="25"/>
      <c r="R203" s="25"/>
      <c r="S203" s="25"/>
      <c r="T203" s="31"/>
      <c r="U203" s="31"/>
      <c r="V203" s="31"/>
      <c r="W203" s="31"/>
      <c r="X203" s="31"/>
      <c r="Y203" s="31"/>
      <c r="Z203" s="31"/>
      <c r="AA203" s="31"/>
      <c r="AB203" s="31"/>
      <c r="AC203" s="380"/>
      <c r="AD203" s="31"/>
    </row>
    <row r="204" spans="1:30" s="160" customFormat="1" ht="12.75" hidden="1">
      <c r="A204" s="159"/>
      <c r="B204" s="159"/>
      <c r="C204" s="159"/>
      <c r="D204" s="159"/>
      <c r="E204" s="159"/>
      <c r="F204" s="159"/>
      <c r="G204" s="159"/>
      <c r="H204" s="159"/>
      <c r="I204" s="159"/>
      <c r="J204" s="159"/>
      <c r="K204" s="159"/>
      <c r="L204" s="159"/>
      <c r="M204" s="1847"/>
      <c r="N204" s="159"/>
      <c r="O204" s="159"/>
      <c r="P204" s="159"/>
      <c r="Q204" s="25"/>
      <c r="R204" s="25"/>
      <c r="S204" s="25"/>
      <c r="T204" s="31"/>
      <c r="U204" s="31"/>
      <c r="V204" s="31"/>
      <c r="W204" s="31"/>
      <c r="X204" s="31"/>
      <c r="Y204" s="31"/>
      <c r="Z204" s="31"/>
      <c r="AA204" s="31"/>
      <c r="AB204" s="31"/>
      <c r="AC204" s="380"/>
      <c r="AD204" s="31"/>
    </row>
    <row r="205" spans="1:30" s="160" customFormat="1" ht="12.75" hidden="1" customHeight="1">
      <c r="A205" s="159"/>
      <c r="B205" s="159"/>
      <c r="C205" s="159"/>
      <c r="D205" s="159"/>
      <c r="E205" s="159"/>
      <c r="F205" s="159"/>
      <c r="G205" s="159"/>
      <c r="H205" s="159"/>
      <c r="I205" s="159"/>
      <c r="J205" s="159"/>
      <c r="K205" s="159"/>
      <c r="L205" s="159"/>
      <c r="M205" s="1848"/>
      <c r="N205" s="159"/>
      <c r="O205" s="159"/>
      <c r="P205" s="159"/>
      <c r="Q205" s="25"/>
      <c r="R205" s="25"/>
      <c r="S205" s="25"/>
      <c r="T205" s="31"/>
      <c r="U205" s="31"/>
      <c r="V205" s="31"/>
      <c r="W205" s="31"/>
      <c r="X205" s="31"/>
      <c r="Y205" s="31"/>
      <c r="Z205" s="31"/>
      <c r="AA205" s="31"/>
      <c r="AB205" s="31"/>
      <c r="AC205" s="380"/>
      <c r="AD205" s="31"/>
    </row>
    <row r="206" spans="1:30" s="160" customFormat="1" ht="12.75" hidden="1" customHeight="1">
      <c r="A206" s="159"/>
      <c r="B206" s="159"/>
      <c r="C206" s="159"/>
      <c r="D206" s="159"/>
      <c r="E206" s="159"/>
      <c r="F206" s="159"/>
      <c r="G206" s="159"/>
      <c r="H206" s="159"/>
      <c r="I206" s="159"/>
      <c r="J206" s="159"/>
      <c r="K206" s="159"/>
      <c r="L206" s="159"/>
      <c r="M206" s="1848"/>
      <c r="N206" s="159"/>
      <c r="O206" s="159"/>
      <c r="P206" s="159"/>
      <c r="Q206" s="25"/>
      <c r="R206" s="25"/>
      <c r="S206" s="25"/>
      <c r="T206" s="31"/>
      <c r="U206" s="31"/>
      <c r="V206" s="31"/>
      <c r="W206" s="31"/>
      <c r="X206" s="31"/>
      <c r="Y206" s="31"/>
      <c r="Z206" s="31"/>
      <c r="AA206" s="31"/>
      <c r="AB206" s="31"/>
      <c r="AC206" s="380"/>
      <c r="AD206" s="31"/>
    </row>
    <row r="207" spans="1:30" s="160" customFormat="1" ht="12.75" hidden="1" customHeight="1">
      <c r="A207" s="159"/>
      <c r="B207" s="159"/>
      <c r="C207" s="159"/>
      <c r="D207" s="159"/>
      <c r="E207" s="159"/>
      <c r="F207" s="159"/>
      <c r="G207" s="159"/>
      <c r="H207" s="159"/>
      <c r="I207" s="159"/>
      <c r="J207" s="159"/>
      <c r="K207" s="159"/>
      <c r="L207" s="159"/>
      <c r="M207" s="1848"/>
      <c r="N207" s="159"/>
      <c r="O207" s="159"/>
      <c r="P207" s="159"/>
      <c r="Q207" s="25"/>
      <c r="R207" s="25"/>
      <c r="S207" s="25"/>
      <c r="T207" s="31"/>
      <c r="U207" s="31"/>
      <c r="V207" s="31"/>
      <c r="W207" s="31"/>
      <c r="X207" s="31"/>
      <c r="Y207" s="31"/>
      <c r="Z207" s="31"/>
      <c r="AA207" s="31"/>
      <c r="AB207" s="31"/>
      <c r="AC207" s="380"/>
      <c r="AD207" s="31"/>
    </row>
    <row r="208" spans="1:30" s="160" customFormat="1" ht="12.75" hidden="1" customHeight="1">
      <c r="A208" s="159"/>
      <c r="B208" s="2049" t="s">
        <v>1653</v>
      </c>
      <c r="C208" s="2049"/>
      <c r="D208" s="2049"/>
      <c r="E208" s="2049"/>
      <c r="F208" s="2049"/>
      <c r="G208" s="2049"/>
      <c r="H208" s="2049"/>
      <c r="I208" s="2049"/>
      <c r="J208" s="2049"/>
      <c r="K208" s="2049"/>
      <c r="L208" s="2049"/>
      <c r="M208" s="1848"/>
      <c r="N208" s="159"/>
      <c r="O208" s="159"/>
      <c r="P208" s="159"/>
      <c r="Q208" s="25"/>
      <c r="R208" s="25"/>
      <c r="S208" s="25"/>
      <c r="T208" s="31"/>
      <c r="U208" s="31"/>
      <c r="V208" s="31"/>
      <c r="W208" s="31"/>
      <c r="X208" s="31"/>
      <c r="Y208" s="31"/>
      <c r="Z208" s="31"/>
      <c r="AA208" s="31"/>
      <c r="AB208" s="31"/>
      <c r="AC208" s="380"/>
      <c r="AD208" s="31"/>
    </row>
    <row r="209" spans="1:30" s="160" customFormat="1" ht="12.75" hidden="1" customHeight="1">
      <c r="A209" s="159"/>
      <c r="B209" s="2049"/>
      <c r="C209" s="2049"/>
      <c r="D209" s="2049"/>
      <c r="E209" s="2049"/>
      <c r="F209" s="2049"/>
      <c r="G209" s="2049"/>
      <c r="H209" s="2049"/>
      <c r="I209" s="2049"/>
      <c r="J209" s="2049"/>
      <c r="K209" s="2049"/>
      <c r="L209" s="2049"/>
      <c r="M209" s="1848"/>
      <c r="N209" s="159"/>
      <c r="O209" s="159"/>
      <c r="P209" s="159"/>
      <c r="Q209" s="25"/>
      <c r="R209" s="25"/>
      <c r="S209" s="25"/>
      <c r="T209" s="31"/>
      <c r="U209" s="31"/>
      <c r="V209" s="31"/>
      <c r="W209" s="31"/>
      <c r="X209" s="31"/>
      <c r="Y209" s="31"/>
      <c r="Z209" s="31"/>
      <c r="AA209" s="31"/>
      <c r="AB209" s="31"/>
      <c r="AC209" s="380"/>
      <c r="AD209" s="31"/>
    </row>
    <row r="210" spans="1:30" s="160" customFormat="1" ht="12.75" hidden="1" customHeight="1">
      <c r="A210" s="159"/>
      <c r="B210" s="2049"/>
      <c r="C210" s="2049"/>
      <c r="D210" s="2049"/>
      <c r="E210" s="2049"/>
      <c r="F210" s="2049"/>
      <c r="G210" s="2049"/>
      <c r="H210" s="2049"/>
      <c r="I210" s="2049"/>
      <c r="J210" s="2049"/>
      <c r="K210" s="2049"/>
      <c r="L210" s="2049"/>
      <c r="M210" s="1848"/>
      <c r="N210" s="159"/>
      <c r="O210" s="159"/>
      <c r="P210" s="159"/>
      <c r="Q210" s="25"/>
      <c r="R210" s="25"/>
      <c r="S210" s="25"/>
      <c r="T210" s="31"/>
      <c r="U210" s="31"/>
      <c r="V210" s="31"/>
      <c r="W210" s="31"/>
      <c r="X210" s="31"/>
      <c r="Y210" s="31"/>
      <c r="Z210" s="31"/>
      <c r="AA210" s="31"/>
      <c r="AB210" s="31"/>
      <c r="AC210" s="380"/>
      <c r="AD210" s="31"/>
    </row>
    <row r="211" spans="1:30" s="160" customFormat="1" ht="12.75" hidden="1" customHeight="1">
      <c r="A211" s="159"/>
      <c r="B211" s="2049"/>
      <c r="C211" s="2049"/>
      <c r="D211" s="2049"/>
      <c r="E211" s="2049"/>
      <c r="F211" s="2049"/>
      <c r="G211" s="2049"/>
      <c r="H211" s="2049"/>
      <c r="I211" s="2049"/>
      <c r="J211" s="2049"/>
      <c r="K211" s="2049"/>
      <c r="L211" s="2049"/>
      <c r="M211" s="1848"/>
      <c r="N211" s="159"/>
      <c r="O211" s="159"/>
      <c r="P211" s="159"/>
      <c r="Q211" s="25"/>
      <c r="R211" s="25"/>
      <c r="S211" s="25"/>
      <c r="T211" s="31"/>
      <c r="U211" s="31"/>
      <c r="V211" s="31"/>
      <c r="W211" s="31"/>
      <c r="X211" s="31"/>
      <c r="Y211" s="31"/>
      <c r="Z211" s="31"/>
      <c r="AA211" s="31"/>
      <c r="AB211" s="31"/>
      <c r="AC211" s="380"/>
      <c r="AD211" s="31"/>
    </row>
    <row r="212" spans="1:30" s="160" customFormat="1" ht="12.75" hidden="1" customHeight="1">
      <c r="A212" s="159"/>
      <c r="B212" s="2049"/>
      <c r="C212" s="2049"/>
      <c r="D212" s="2049"/>
      <c r="E212" s="2049"/>
      <c r="F212" s="2049"/>
      <c r="G212" s="2049"/>
      <c r="H212" s="2049"/>
      <c r="I212" s="2049"/>
      <c r="J212" s="2049"/>
      <c r="K212" s="2049"/>
      <c r="L212" s="2049"/>
      <c r="M212" s="1848"/>
      <c r="N212" s="159"/>
      <c r="O212" s="159"/>
      <c r="P212" s="159"/>
      <c r="Q212" s="25"/>
      <c r="R212" s="25"/>
      <c r="S212" s="25"/>
      <c r="T212" s="31"/>
      <c r="U212" s="31"/>
      <c r="V212" s="31"/>
      <c r="W212" s="31"/>
      <c r="X212" s="31"/>
      <c r="Y212" s="31"/>
      <c r="Z212" s="31"/>
      <c r="AA212" s="31"/>
      <c r="AB212" s="31"/>
      <c r="AC212" s="380"/>
      <c r="AD212" s="31"/>
    </row>
    <row r="213" spans="1:30" s="160" customFormat="1" ht="12.75" hidden="1" customHeight="1">
      <c r="A213" s="159"/>
      <c r="B213" s="2049"/>
      <c r="C213" s="2049"/>
      <c r="D213" s="2049"/>
      <c r="E213" s="2049"/>
      <c r="F213" s="2049"/>
      <c r="G213" s="2049"/>
      <c r="H213" s="2049"/>
      <c r="I213" s="2049"/>
      <c r="J213" s="2049"/>
      <c r="K213" s="2049"/>
      <c r="L213" s="2049"/>
      <c r="M213" s="1848"/>
      <c r="N213" s="601" t="s">
        <v>1245</v>
      </c>
      <c r="O213" s="601" t="s">
        <v>1297</v>
      </c>
      <c r="P213" s="602" t="s">
        <v>1298</v>
      </c>
      <c r="Q213" s="602" t="s">
        <v>1299</v>
      </c>
      <c r="R213" s="602" t="s">
        <v>1300</v>
      </c>
      <c r="S213" s="602" t="s">
        <v>1301</v>
      </c>
      <c r="T213" s="31"/>
      <c r="U213" s="31"/>
      <c r="V213" s="31"/>
      <c r="W213" s="31"/>
      <c r="X213" s="31"/>
      <c r="Y213" s="31"/>
      <c r="Z213" s="31"/>
      <c r="AA213" s="31"/>
      <c r="AB213" s="31"/>
      <c r="AC213" s="380"/>
      <c r="AD213" s="31"/>
    </row>
    <row r="214" spans="1:30" s="160" customFormat="1" ht="12.75" hidden="1" customHeight="1">
      <c r="A214" s="159"/>
      <c r="B214" s="1872"/>
      <c r="C214" s="1872"/>
      <c r="D214" s="1872"/>
      <c r="E214" s="1872"/>
      <c r="F214" s="1872"/>
      <c r="G214" s="1872"/>
      <c r="H214" s="1872"/>
      <c r="I214" s="1872"/>
      <c r="J214" s="1872"/>
      <c r="K214" s="1872"/>
      <c r="L214" s="1872"/>
      <c r="M214" s="1848"/>
      <c r="N214" s="1126"/>
      <c r="O214" s="1126"/>
      <c r="P214" s="1127"/>
      <c r="Q214" s="1127"/>
      <c r="R214" s="1127"/>
      <c r="S214" s="1127"/>
      <c r="T214" s="31"/>
      <c r="U214" s="31"/>
      <c r="V214" s="31"/>
      <c r="W214" s="31"/>
      <c r="X214" s="31"/>
      <c r="Y214" s="31"/>
      <c r="Z214" s="31"/>
      <c r="AA214" s="31"/>
      <c r="AB214" s="31"/>
      <c r="AC214" s="380"/>
      <c r="AD214" s="31"/>
    </row>
    <row r="215" spans="1:30" s="160" customFormat="1" ht="12.75" hidden="1" customHeight="1">
      <c r="A215" s="159"/>
      <c r="B215" s="2049" t="s">
        <v>1533</v>
      </c>
      <c r="C215" s="2049"/>
      <c r="D215" s="2049"/>
      <c r="E215" s="2049"/>
      <c r="F215" s="2049"/>
      <c r="G215" s="2049"/>
      <c r="H215" s="2049"/>
      <c r="I215" s="2049"/>
      <c r="J215" s="2049"/>
      <c r="K215" s="2049"/>
      <c r="L215" s="2049"/>
      <c r="M215" s="1848"/>
      <c r="N215" s="159"/>
      <c r="O215" s="159"/>
      <c r="P215" s="159"/>
      <c r="Q215" s="25"/>
      <c r="R215" s="602" t="s">
        <v>1245</v>
      </c>
      <c r="S215" s="602" t="s">
        <v>1652</v>
      </c>
      <c r="T215" s="602" t="s">
        <v>1298</v>
      </c>
      <c r="U215" s="602" t="s">
        <v>1299</v>
      </c>
      <c r="V215" s="602" t="s">
        <v>1300</v>
      </c>
      <c r="W215" s="602" t="s">
        <v>1301</v>
      </c>
      <c r="X215" s="31"/>
      <c r="Y215" s="31"/>
      <c r="Z215" s="31"/>
      <c r="AA215" s="31"/>
      <c r="AB215" s="31"/>
      <c r="AC215" s="380"/>
      <c r="AD215" s="31"/>
    </row>
    <row r="216" spans="1:30" s="160" customFormat="1" ht="12.75" hidden="1" customHeight="1">
      <c r="A216" s="159"/>
      <c r="B216" s="2049"/>
      <c r="C216" s="2049"/>
      <c r="D216" s="2049"/>
      <c r="E216" s="2049"/>
      <c r="F216" s="2049"/>
      <c r="G216" s="2049"/>
      <c r="H216" s="2049"/>
      <c r="I216" s="2049"/>
      <c r="J216" s="2049"/>
      <c r="K216" s="2049"/>
      <c r="L216" s="2049"/>
      <c r="M216" s="1848"/>
      <c r="N216" s="159"/>
      <c r="O216" s="159"/>
      <c r="P216" s="159"/>
      <c r="Q216" s="25"/>
      <c r="R216" s="603">
        <f>SOAL!$F$31</f>
        <v>8363685</v>
      </c>
      <c r="S216" s="25">
        <f>J171</f>
        <v>0</v>
      </c>
      <c r="T216" s="604">
        <f>R216+S216</f>
        <v>8363685</v>
      </c>
      <c r="U216" s="605">
        <f>T216/SOAL!$F$39*1000</f>
        <v>55.403721564076655</v>
      </c>
      <c r="V216" s="606">
        <f>SOAL!$F$43</f>
        <v>55.403700000000001</v>
      </c>
      <c r="W216" s="607">
        <f>U216-V216</f>
        <v>2.1564076654101427E-5</v>
      </c>
      <c r="X216" s="31"/>
      <c r="Y216" s="31"/>
      <c r="Z216" s="31"/>
      <c r="AA216" s="31"/>
      <c r="AB216" s="31"/>
      <c r="AC216" s="380"/>
      <c r="AD216" s="31"/>
    </row>
    <row r="217" spans="1:30" s="160" customFormat="1" ht="12.75" hidden="1" customHeight="1">
      <c r="A217" s="159"/>
      <c r="B217" s="159"/>
      <c r="C217" s="159"/>
      <c r="D217" s="159"/>
      <c r="E217" s="159"/>
      <c r="F217" s="159"/>
      <c r="G217" s="159"/>
      <c r="H217" s="159"/>
      <c r="I217" s="159"/>
      <c r="J217" s="159"/>
      <c r="K217" s="159"/>
      <c r="L217" s="159"/>
      <c r="M217" s="1848"/>
      <c r="N217" s="159"/>
      <c r="O217" s="159"/>
      <c r="P217" s="159"/>
      <c r="Q217" s="25"/>
      <c r="R217" s="25"/>
      <c r="S217" s="25"/>
      <c r="T217" s="31"/>
      <c r="U217" s="31"/>
      <c r="V217" s="31"/>
      <c r="W217" s="31"/>
      <c r="X217" s="31"/>
      <c r="Y217" s="31"/>
      <c r="Z217" s="31"/>
      <c r="AA217" s="31"/>
      <c r="AB217" s="31"/>
      <c r="AC217" s="380"/>
      <c r="AD217" s="31"/>
    </row>
    <row r="218" spans="1:30" s="160" customFormat="1" ht="12.75" hidden="1" customHeight="1">
      <c r="A218" s="382"/>
      <c r="B218" s="159"/>
      <c r="C218" s="159"/>
      <c r="D218" s="159"/>
      <c r="E218" s="159"/>
      <c r="F218" s="159"/>
      <c r="G218" s="159"/>
      <c r="H218" s="159"/>
      <c r="I218" s="159"/>
      <c r="J218" s="159"/>
      <c r="K218" s="159"/>
      <c r="L218" s="159"/>
      <c r="M218" s="714">
        <f>J171</f>
        <v>0</v>
      </c>
      <c r="N218" s="159">
        <f>L171</f>
        <v>18571</v>
      </c>
      <c r="O218" s="159"/>
      <c r="P218" s="159"/>
      <c r="Q218" s="25"/>
      <c r="R218" s="206"/>
      <c r="S218" s="206"/>
      <c r="T218" s="206"/>
      <c r="U218" s="206"/>
      <c r="V218" s="206"/>
      <c r="W218" s="206"/>
      <c r="X218" s="31"/>
      <c r="Y218" s="31"/>
      <c r="Z218" s="31"/>
      <c r="AA218" s="31"/>
      <c r="AB218" s="31"/>
      <c r="AC218" s="380"/>
      <c r="AD218" s="31"/>
    </row>
    <row r="219" spans="1:30" s="160" customFormat="1" ht="12.75" hidden="1" customHeight="1">
      <c r="A219" s="382"/>
      <c r="B219" s="2077" t="s">
        <v>1152</v>
      </c>
      <c r="C219" s="2077"/>
      <c r="D219" s="2077"/>
      <c r="E219" s="2077"/>
      <c r="F219" s="2077"/>
      <c r="G219" s="2077"/>
      <c r="H219" s="2077"/>
      <c r="I219" s="2077"/>
      <c r="J219" s="2077"/>
      <c r="K219" s="2077"/>
      <c r="L219" s="2077"/>
      <c r="M219" s="714"/>
      <c r="N219" s="159"/>
      <c r="O219" s="159"/>
      <c r="P219" s="159"/>
      <c r="Q219" s="25"/>
      <c r="R219" s="608"/>
      <c r="S219" s="10"/>
      <c r="T219" s="609"/>
      <c r="U219" s="2093"/>
      <c r="V219" s="2086"/>
      <c r="W219" s="2086"/>
      <c r="X219" s="31"/>
      <c r="Y219" s="31"/>
      <c r="Z219" s="31"/>
      <c r="AA219" s="31"/>
      <c r="AB219" s="31"/>
      <c r="AC219" s="380"/>
      <c r="AD219" s="31"/>
    </row>
    <row r="220" spans="1:30" s="160" customFormat="1" ht="12.75" hidden="1" customHeight="1">
      <c r="A220" s="382"/>
      <c r="B220" s="2077"/>
      <c r="C220" s="2077"/>
      <c r="D220" s="2077"/>
      <c r="E220" s="2077"/>
      <c r="F220" s="2077"/>
      <c r="G220" s="2077"/>
      <c r="H220" s="2077"/>
      <c r="I220" s="2077"/>
      <c r="J220" s="2077"/>
      <c r="K220" s="2077"/>
      <c r="L220" s="2077"/>
      <c r="M220" s="714"/>
      <c r="N220" s="159">
        <f>J171*1000</f>
        <v>0</v>
      </c>
      <c r="O220" s="383">
        <f>SOAL!F39</f>
        <v>150958902.46880001</v>
      </c>
      <c r="P220" s="384">
        <f>N220/O220</f>
        <v>0</v>
      </c>
      <c r="Q220" s="25"/>
      <c r="R220" s="608"/>
      <c r="S220" s="10"/>
      <c r="T220" s="10"/>
      <c r="U220" s="2093"/>
      <c r="V220" s="2086"/>
      <c r="W220" s="2086"/>
      <c r="X220" s="31"/>
      <c r="Y220" s="31"/>
      <c r="Z220" s="31"/>
      <c r="AA220" s="31"/>
      <c r="AB220" s="31"/>
      <c r="AC220" s="380"/>
      <c r="AD220" s="31"/>
    </row>
    <row r="221" spans="1:30" s="160" customFormat="1" ht="12.75" customHeight="1">
      <c r="A221" s="382"/>
      <c r="B221" s="2049" t="s">
        <v>2141</v>
      </c>
      <c r="C221" s="2049"/>
      <c r="D221" s="2049"/>
      <c r="E221" s="2049"/>
      <c r="F221" s="2049"/>
      <c r="G221" s="2049"/>
      <c r="H221" s="2049"/>
      <c r="I221" s="2049"/>
      <c r="J221" s="2049"/>
      <c r="K221" s="2049"/>
      <c r="L221" s="2049"/>
      <c r="M221" s="714"/>
      <c r="N221" s="159"/>
      <c r="O221" s="383"/>
      <c r="P221" s="384"/>
      <c r="Q221" s="25"/>
      <c r="R221" s="608"/>
      <c r="S221" s="10"/>
      <c r="T221" s="10"/>
      <c r="U221" s="1870"/>
      <c r="V221" s="1871"/>
      <c r="W221" s="1871"/>
      <c r="X221" s="31"/>
      <c r="Y221" s="31"/>
      <c r="Z221" s="31"/>
      <c r="AA221" s="31"/>
      <c r="AB221" s="31"/>
      <c r="AC221" s="380"/>
      <c r="AD221" s="31"/>
    </row>
    <row r="222" spans="1:30" s="160" customFormat="1" ht="12.75" customHeight="1">
      <c r="A222" s="382"/>
      <c r="B222" s="2049"/>
      <c r="C222" s="2049"/>
      <c r="D222" s="2049"/>
      <c r="E222" s="2049"/>
      <c r="F222" s="2049"/>
      <c r="G222" s="2049"/>
      <c r="H222" s="2049"/>
      <c r="I222" s="2049"/>
      <c r="J222" s="2049"/>
      <c r="K222" s="2049"/>
      <c r="L222" s="2049"/>
      <c r="M222" s="714"/>
      <c r="N222" s="159"/>
      <c r="O222" s="383"/>
      <c r="P222" s="384"/>
      <c r="Q222" s="25"/>
      <c r="R222" s="608"/>
      <c r="S222" s="10"/>
      <c r="T222" s="10"/>
      <c r="U222" s="1870"/>
      <c r="V222" s="1871"/>
      <c r="W222" s="1871"/>
      <c r="X222" s="31"/>
      <c r="Y222" s="31"/>
      <c r="Z222" s="31"/>
      <c r="AA222" s="31"/>
      <c r="AB222" s="31"/>
      <c r="AC222" s="380"/>
      <c r="AD222" s="31"/>
    </row>
    <row r="223" spans="1:30" s="160" customFormat="1" ht="12.75" customHeight="1">
      <c r="A223" s="382"/>
      <c r="B223" s="2049"/>
      <c r="C223" s="2049"/>
      <c r="D223" s="2049"/>
      <c r="E223" s="2049"/>
      <c r="F223" s="2049"/>
      <c r="G223" s="2049"/>
      <c r="H223" s="2049"/>
      <c r="I223" s="2049"/>
      <c r="J223" s="2049"/>
      <c r="K223" s="2049"/>
      <c r="L223" s="2049"/>
      <c r="M223" s="714"/>
      <c r="N223" s="159"/>
      <c r="O223" s="383"/>
      <c r="P223" s="384"/>
      <c r="Q223" s="25"/>
      <c r="R223" s="608"/>
      <c r="S223" s="10"/>
      <c r="T223" s="10"/>
      <c r="U223" s="1870"/>
      <c r="V223" s="1871"/>
      <c r="W223" s="1871"/>
      <c r="X223" s="31"/>
      <c r="Y223" s="31"/>
      <c r="Z223" s="31"/>
      <c r="AA223" s="31"/>
      <c r="AB223" s="31"/>
      <c r="AC223" s="380"/>
      <c r="AD223" s="31"/>
    </row>
    <row r="224" spans="1:30" s="160" customFormat="1" ht="12.75" customHeight="1">
      <c r="A224" s="382"/>
      <c r="B224" s="2049"/>
      <c r="C224" s="2049"/>
      <c r="D224" s="2049"/>
      <c r="E224" s="2049"/>
      <c r="F224" s="2049"/>
      <c r="G224" s="2049"/>
      <c r="H224" s="2049"/>
      <c r="I224" s="2049"/>
      <c r="J224" s="2049"/>
      <c r="K224" s="2049"/>
      <c r="L224" s="2049"/>
      <c r="M224" s="714"/>
      <c r="N224" s="159"/>
      <c r="O224" s="383"/>
      <c r="P224" s="384"/>
      <c r="Q224" s="25"/>
      <c r="R224" s="608"/>
      <c r="S224" s="10"/>
      <c r="T224" s="10"/>
      <c r="U224" s="1870"/>
      <c r="V224" s="1871"/>
      <c r="W224" s="1871"/>
      <c r="X224" s="31"/>
      <c r="Y224" s="31"/>
      <c r="Z224" s="31"/>
      <c r="AA224" s="31"/>
      <c r="AB224" s="31"/>
      <c r="AC224" s="380"/>
      <c r="AD224" s="31"/>
    </row>
    <row r="225" spans="1:30" s="160" customFormat="1" ht="12.75" customHeight="1">
      <c r="A225" s="382"/>
      <c r="B225" s="1875"/>
      <c r="C225" s="1875"/>
      <c r="D225" s="1875"/>
      <c r="E225" s="1875"/>
      <c r="F225" s="1875"/>
      <c r="G225" s="1875"/>
      <c r="H225" s="1875"/>
      <c r="I225" s="1875"/>
      <c r="J225" s="1875"/>
      <c r="K225" s="1875"/>
      <c r="L225" s="1875"/>
      <c r="M225" s="714"/>
      <c r="N225" s="159"/>
      <c r="O225" s="383"/>
      <c r="P225" s="384"/>
      <c r="Q225" s="25"/>
      <c r="R225" s="608"/>
      <c r="S225" s="10"/>
      <c r="T225" s="10"/>
      <c r="U225" s="1870"/>
      <c r="V225" s="1871"/>
      <c r="W225" s="1871"/>
      <c r="X225" s="31"/>
      <c r="Y225" s="31"/>
      <c r="Z225" s="31"/>
      <c r="AA225" s="31"/>
      <c r="AB225" s="31"/>
      <c r="AC225" s="380"/>
      <c r="AD225" s="31"/>
    </row>
    <row r="226" spans="1:30" s="160" customFormat="1" ht="12.75" customHeight="1">
      <c r="A226" s="382"/>
      <c r="B226" s="2049" t="s">
        <v>2142</v>
      </c>
      <c r="C226" s="2049"/>
      <c r="D226" s="2049"/>
      <c r="E226" s="2049"/>
      <c r="F226" s="2049"/>
      <c r="G226" s="2049"/>
      <c r="H226" s="2049"/>
      <c r="I226" s="2049"/>
      <c r="J226" s="2049"/>
      <c r="K226" s="2049"/>
      <c r="L226" s="2049"/>
      <c r="M226" s="714"/>
      <c r="N226" s="159"/>
      <c r="O226" s="383"/>
      <c r="P226" s="384"/>
      <c r="Q226" s="25"/>
      <c r="R226" s="608"/>
      <c r="S226" s="10"/>
      <c r="T226" s="10"/>
      <c r="U226" s="1870"/>
      <c r="V226" s="1871"/>
      <c r="W226" s="1871"/>
      <c r="X226" s="31"/>
      <c r="Y226" s="31"/>
      <c r="Z226" s="31"/>
      <c r="AA226" s="31"/>
      <c r="AB226" s="31"/>
      <c r="AC226" s="380"/>
      <c r="AD226" s="31"/>
    </row>
    <row r="227" spans="1:30" s="160" customFormat="1" ht="12.75" customHeight="1">
      <c r="A227" s="382"/>
      <c r="B227" s="1875"/>
      <c r="C227" s="1875"/>
      <c r="D227" s="1875"/>
      <c r="E227" s="1875"/>
      <c r="F227" s="1875"/>
      <c r="G227" s="1875"/>
      <c r="H227" s="1875"/>
      <c r="I227" s="1875"/>
      <c r="J227" s="1875"/>
      <c r="K227" s="1875"/>
      <c r="L227" s="1875"/>
      <c r="M227" s="714"/>
      <c r="N227" s="159"/>
      <c r="O227" s="383"/>
      <c r="P227" s="384"/>
      <c r="Q227" s="25"/>
      <c r="R227" s="608"/>
      <c r="S227" s="10"/>
      <c r="T227" s="10"/>
      <c r="U227" s="1870"/>
      <c r="V227" s="1871"/>
      <c r="W227" s="1871"/>
      <c r="X227" s="31"/>
      <c r="Y227" s="31"/>
      <c r="Z227" s="31"/>
      <c r="AA227" s="31"/>
      <c r="AB227" s="31"/>
      <c r="AC227" s="380"/>
      <c r="AD227" s="31"/>
    </row>
    <row r="228" spans="1:30" s="74" customFormat="1" ht="12.75" customHeight="1">
      <c r="A228" s="381">
        <f>A183+0.1</f>
        <v>8.1999999999999993</v>
      </c>
      <c r="B228" s="599" t="s">
        <v>1435</v>
      </c>
      <c r="C228" s="363"/>
      <c r="D228" s="363"/>
      <c r="E228" s="363"/>
      <c r="F228" s="363"/>
      <c r="G228" s="363"/>
      <c r="H228" s="363"/>
      <c r="I228" s="363"/>
      <c r="J228" s="363"/>
      <c r="K228" s="363"/>
      <c r="L228" s="363"/>
      <c r="M228" s="1849"/>
      <c r="N228" s="1867"/>
      <c r="O228" s="1867"/>
      <c r="P228" s="159"/>
      <c r="Q228" s="159"/>
      <c r="R228" s="602" t="s">
        <v>1245</v>
      </c>
      <c r="S228" s="602" t="s">
        <v>1302</v>
      </c>
      <c r="T228" s="602" t="s">
        <v>1298</v>
      </c>
      <c r="U228" s="602" t="s">
        <v>1299</v>
      </c>
      <c r="V228" s="602" t="s">
        <v>1300</v>
      </c>
      <c r="W228" s="602" t="s">
        <v>1301</v>
      </c>
    </row>
    <row r="229" spans="1:30" s="74" customFormat="1" ht="12.75">
      <c r="A229" s="339"/>
      <c r="B229" s="363"/>
      <c r="C229" s="363"/>
      <c r="D229" s="363"/>
      <c r="E229" s="363"/>
      <c r="F229" s="363"/>
      <c r="G229" s="363"/>
      <c r="H229" s="363"/>
      <c r="I229" s="363"/>
      <c r="J229" s="363"/>
      <c r="K229" s="363"/>
      <c r="L229" s="363"/>
      <c r="M229" s="1849"/>
      <c r="N229" s="1867"/>
      <c r="O229" s="1867"/>
      <c r="P229" s="159"/>
      <c r="Q229" s="159"/>
      <c r="R229" s="603">
        <f>SOAL!$F$31</f>
        <v>8363685</v>
      </c>
      <c r="S229" s="604">
        <f>J173</f>
        <v>9210.2457799999993</v>
      </c>
      <c r="T229" s="604">
        <f>R229+S229</f>
        <v>8372895.2457800005</v>
      </c>
      <c r="U229" s="605">
        <f>T229/SOAL!$F$39*1000</f>
        <v>55.464733174716208</v>
      </c>
      <c r="V229" s="606">
        <f>SOAL!$F$43</f>
        <v>55.403700000000001</v>
      </c>
      <c r="W229" s="607">
        <f>U229-V229</f>
        <v>6.1033174716207839E-2</v>
      </c>
    </row>
    <row r="230" spans="1:30" s="74" customFormat="1" ht="12.75" customHeight="1">
      <c r="A230" s="339"/>
      <c r="B230" s="2088" t="s">
        <v>2160</v>
      </c>
      <c r="C230" s="2088"/>
      <c r="D230" s="2088"/>
      <c r="E230" s="2088"/>
      <c r="F230" s="2088"/>
      <c r="G230" s="2088"/>
      <c r="H230" s="2088"/>
      <c r="I230" s="2088"/>
      <c r="J230" s="2088"/>
      <c r="K230" s="2088"/>
      <c r="L230" s="2088"/>
      <c r="M230" s="1850">
        <f>+J173+SOAL!F31*1000</f>
        <v>8363694210.24578</v>
      </c>
      <c r="N230" s="1867">
        <f>+M230/SOAL!F39</f>
        <v>55.403782575687295</v>
      </c>
      <c r="O230" s="1867">
        <f>+N230-SOAL!F43</f>
        <v>8.2575687294195177E-5</v>
      </c>
      <c r="P230" s="159"/>
      <c r="Q230" s="159"/>
      <c r="R230" s="624"/>
      <c r="S230" s="625"/>
      <c r="T230" s="625"/>
      <c r="U230" s="626"/>
      <c r="V230" s="627"/>
      <c r="W230" s="628"/>
    </row>
    <row r="231" spans="1:30" s="74" customFormat="1" ht="12.75" customHeight="1">
      <c r="A231" s="339"/>
      <c r="B231" s="2088"/>
      <c r="C231" s="2088"/>
      <c r="D231" s="2088"/>
      <c r="E231" s="2088"/>
      <c r="F231" s="2088"/>
      <c r="G231" s="2088"/>
      <c r="H231" s="2088"/>
      <c r="I231" s="2088"/>
      <c r="J231" s="2088"/>
      <c r="K231" s="2088"/>
      <c r="L231" s="2088"/>
      <c r="M231" s="1850"/>
      <c r="N231" s="1867"/>
      <c r="O231" s="1867"/>
      <c r="P231" s="159"/>
      <c r="Q231" s="159"/>
      <c r="R231" s="624"/>
      <c r="S231" s="625"/>
      <c r="T231" s="625"/>
      <c r="U231" s="626"/>
      <c r="V231" s="627"/>
      <c r="W231" s="628"/>
    </row>
    <row r="232" spans="1:30" s="74" customFormat="1" ht="12.75">
      <c r="A232" s="339"/>
      <c r="B232" s="2088"/>
      <c r="C232" s="2088"/>
      <c r="D232" s="2088"/>
      <c r="E232" s="2088"/>
      <c r="F232" s="2088"/>
      <c r="G232" s="2088"/>
      <c r="H232" s="2088"/>
      <c r="I232" s="2088"/>
      <c r="J232" s="2088"/>
      <c r="K232" s="2088"/>
      <c r="L232" s="2088"/>
      <c r="M232" s="1850">
        <f>J173/SOAL!F39*1000</f>
        <v>6.1011610639548478E-2</v>
      </c>
      <c r="N232" s="1510">
        <f>L173/SOAL!H39*1000</f>
        <v>5.2102726595648977E-2</v>
      </c>
      <c r="O232" s="1867"/>
      <c r="P232" s="159"/>
      <c r="Q232" s="159"/>
      <c r="R232" s="624"/>
      <c r="S232" s="625"/>
      <c r="T232" s="625"/>
      <c r="U232" s="626"/>
      <c r="V232" s="627"/>
      <c r="W232" s="628"/>
    </row>
    <row r="233" spans="1:30" s="74" customFormat="1" ht="12.75">
      <c r="A233" s="339"/>
      <c r="B233" s="2088"/>
      <c r="C233" s="2088"/>
      <c r="D233" s="2088"/>
      <c r="E233" s="2088"/>
      <c r="F233" s="2088"/>
      <c r="G233" s="2088"/>
      <c r="H233" s="2088"/>
      <c r="I233" s="2088"/>
      <c r="J233" s="2088"/>
      <c r="K233" s="2088"/>
      <c r="L233" s="2088"/>
      <c r="M233" s="1850"/>
      <c r="N233" s="1867"/>
      <c r="O233" s="1867"/>
      <c r="P233" s="159" t="s">
        <v>1948</v>
      </c>
      <c r="Q233" s="159"/>
      <c r="R233" s="624"/>
      <c r="S233" s="625"/>
      <c r="T233" s="625"/>
      <c r="U233" s="626"/>
      <c r="V233" s="627"/>
      <c r="W233" s="628"/>
    </row>
    <row r="234" spans="1:30" s="74" customFormat="1" ht="12.75" hidden="1" customHeight="1">
      <c r="A234" s="339"/>
      <c r="B234" s="2088" t="s">
        <v>1698</v>
      </c>
      <c r="C234" s="2088"/>
      <c r="D234" s="2088"/>
      <c r="E234" s="2088"/>
      <c r="F234" s="2088"/>
      <c r="G234" s="2088"/>
      <c r="H234" s="2088"/>
      <c r="I234" s="2088"/>
      <c r="J234" s="2088"/>
      <c r="K234" s="2088"/>
      <c r="L234" s="2088"/>
      <c r="M234" s="1851"/>
      <c r="N234" s="1867"/>
      <c r="O234" s="1867"/>
      <c r="P234" s="159"/>
      <c r="Q234" s="159"/>
      <c r="R234" s="624"/>
      <c r="S234" s="625"/>
      <c r="T234" s="625"/>
      <c r="U234" s="626"/>
      <c r="V234" s="627"/>
      <c r="W234" s="628"/>
    </row>
    <row r="235" spans="1:30" s="74" customFormat="1" ht="12.75" hidden="1">
      <c r="A235" s="339"/>
      <c r="B235" s="2088"/>
      <c r="C235" s="2088"/>
      <c r="D235" s="2088"/>
      <c r="E235" s="2088"/>
      <c r="F235" s="2088"/>
      <c r="G235" s="2088"/>
      <c r="H235" s="2088"/>
      <c r="I235" s="2088"/>
      <c r="J235" s="2088"/>
      <c r="K235" s="2088"/>
      <c r="L235" s="2088"/>
      <c r="M235" s="1851"/>
      <c r="N235" s="1867"/>
      <c r="O235" s="1867"/>
      <c r="P235" s="159"/>
      <c r="Q235" s="159"/>
      <c r="R235" s="624"/>
      <c r="S235" s="625"/>
      <c r="T235" s="625"/>
      <c r="U235" s="626"/>
      <c r="V235" s="627"/>
      <c r="W235" s="628"/>
    </row>
    <row r="236" spans="1:30" s="74" customFormat="1" ht="12.75" hidden="1">
      <c r="A236" s="339"/>
      <c r="B236" s="2088"/>
      <c r="C236" s="2088"/>
      <c r="D236" s="2088"/>
      <c r="E236" s="2088"/>
      <c r="F236" s="2088"/>
      <c r="G236" s="2088"/>
      <c r="H236" s="2088"/>
      <c r="I236" s="2088"/>
      <c r="J236" s="2088"/>
      <c r="K236" s="2088"/>
      <c r="L236" s="2088"/>
      <c r="M236" s="1851"/>
      <c r="N236" s="1867"/>
      <c r="O236" s="1867"/>
      <c r="P236" s="159"/>
      <c r="Q236" s="159"/>
      <c r="R236" s="624"/>
      <c r="S236" s="625"/>
      <c r="T236" s="625"/>
      <c r="U236" s="626"/>
      <c r="V236" s="627"/>
      <c r="W236" s="628"/>
    </row>
    <row r="237" spans="1:30" s="74" customFormat="1" ht="9" hidden="1" customHeight="1">
      <c r="A237" s="339"/>
      <c r="B237" s="363"/>
      <c r="C237" s="363"/>
      <c r="D237" s="363"/>
      <c r="E237" s="363"/>
      <c r="F237" s="363"/>
      <c r="G237" s="363"/>
      <c r="H237" s="363"/>
      <c r="I237" s="363"/>
      <c r="J237" s="363"/>
      <c r="K237" s="363"/>
      <c r="L237" s="363"/>
      <c r="M237" s="1849"/>
      <c r="N237" s="1867"/>
      <c r="O237" s="1867"/>
      <c r="P237" s="159"/>
      <c r="Q237" s="159"/>
      <c r="R237" s="624"/>
      <c r="S237" s="625"/>
      <c r="T237" s="625"/>
      <c r="U237" s="626"/>
      <c r="V237" s="627"/>
      <c r="W237" s="628"/>
    </row>
    <row r="238" spans="1:30" s="74" customFormat="1" ht="12.75" hidden="1" customHeight="1">
      <c r="A238" s="339"/>
      <c r="B238" s="2092" t="s">
        <v>1523</v>
      </c>
      <c r="C238" s="2092"/>
      <c r="D238" s="2092"/>
      <c r="E238" s="2092"/>
      <c r="F238" s="2092"/>
      <c r="G238" s="2092"/>
      <c r="H238" s="2092"/>
      <c r="I238" s="2092"/>
      <c r="J238" s="2092"/>
      <c r="K238" s="2092"/>
      <c r="L238" s="2092"/>
      <c r="M238" s="1848"/>
      <c r="N238" s="1867"/>
      <c r="O238" s="1867"/>
      <c r="P238" s="159"/>
      <c r="Q238" s="159"/>
      <c r="R238" s="624"/>
      <c r="S238" s="625"/>
      <c r="T238" s="625"/>
      <c r="U238" s="626"/>
      <c r="V238" s="627"/>
      <c r="W238" s="628"/>
    </row>
    <row r="239" spans="1:30" s="74" customFormat="1" ht="12.75" hidden="1" customHeight="1">
      <c r="A239" s="339"/>
      <c r="B239" s="2092"/>
      <c r="C239" s="2092"/>
      <c r="D239" s="2092"/>
      <c r="E239" s="2092"/>
      <c r="F239" s="2092"/>
      <c r="G239" s="2092"/>
      <c r="H239" s="2092"/>
      <c r="I239" s="2092"/>
      <c r="J239" s="2092"/>
      <c r="K239" s="2092"/>
      <c r="L239" s="2092"/>
      <c r="M239" s="1848"/>
      <c r="N239" s="1867"/>
      <c r="O239" s="1867"/>
      <c r="P239" s="159"/>
      <c r="Q239" s="159"/>
      <c r="R239" s="624"/>
      <c r="S239" s="625"/>
      <c r="T239" s="625"/>
      <c r="U239" s="626"/>
      <c r="V239" s="627"/>
      <c r="W239" s="628"/>
    </row>
    <row r="240" spans="1:30" s="74" customFormat="1" ht="12.75" hidden="1" customHeight="1">
      <c r="A240" s="339"/>
      <c r="B240" s="2092"/>
      <c r="C240" s="2092"/>
      <c r="D240" s="2092"/>
      <c r="E240" s="2092"/>
      <c r="F240" s="2092"/>
      <c r="G240" s="2092"/>
      <c r="H240" s="2092"/>
      <c r="I240" s="2092"/>
      <c r="J240" s="2092"/>
      <c r="K240" s="2092"/>
      <c r="L240" s="2092"/>
      <c r="M240" s="1848"/>
      <c r="N240" s="1867"/>
      <c r="O240" s="1867"/>
      <c r="P240" s="159"/>
      <c r="Q240" s="159"/>
      <c r="R240" s="624"/>
      <c r="S240" s="625"/>
      <c r="T240" s="625"/>
      <c r="U240" s="626"/>
      <c r="V240" s="627"/>
      <c r="W240" s="628"/>
    </row>
    <row r="241" spans="1:23" s="74" customFormat="1" ht="12.75" hidden="1" customHeight="1">
      <c r="A241" s="339"/>
      <c r="B241" s="2092"/>
      <c r="C241" s="2092"/>
      <c r="D241" s="2092"/>
      <c r="E241" s="2092"/>
      <c r="F241" s="2092"/>
      <c r="G241" s="2092"/>
      <c r="H241" s="2092"/>
      <c r="I241" s="2092"/>
      <c r="J241" s="2092"/>
      <c r="K241" s="2092"/>
      <c r="L241" s="2092"/>
      <c r="M241" s="1848"/>
      <c r="N241" s="1867"/>
      <c r="O241" s="1867"/>
      <c r="P241" s="159"/>
      <c r="Q241" s="159"/>
      <c r="R241" s="624"/>
      <c r="S241" s="625"/>
      <c r="T241" s="625"/>
      <c r="U241" s="626"/>
      <c r="V241" s="627"/>
      <c r="W241" s="628"/>
    </row>
    <row r="242" spans="1:23" s="74" customFormat="1" ht="9" hidden="1" customHeight="1">
      <c r="A242" s="339"/>
      <c r="B242" s="1877"/>
      <c r="C242" s="1877"/>
      <c r="D242" s="1877"/>
      <c r="E242" s="1877"/>
      <c r="F242" s="1877"/>
      <c r="G242" s="1877"/>
      <c r="H242" s="1877"/>
      <c r="I242" s="1877"/>
      <c r="J242" s="1877"/>
      <c r="K242" s="1877"/>
      <c r="L242" s="1877"/>
      <c r="M242" s="1848"/>
      <c r="N242" s="1867"/>
      <c r="O242" s="1867"/>
      <c r="P242" s="159"/>
      <c r="Q242" s="159"/>
      <c r="R242" s="624"/>
      <c r="S242" s="625"/>
      <c r="T242" s="625"/>
      <c r="U242" s="626"/>
      <c r="V242" s="627"/>
      <c r="W242" s="628"/>
    </row>
    <row r="243" spans="1:23" s="74" customFormat="1" ht="15" hidden="1">
      <c r="A243" s="339"/>
      <c r="B243" s="2089" t="s">
        <v>1524</v>
      </c>
      <c r="C243" s="2089"/>
      <c r="D243" s="2089"/>
      <c r="E243" s="2089"/>
      <c r="F243" s="2089"/>
      <c r="G243" s="2089"/>
      <c r="H243" s="2089"/>
      <c r="I243" s="2089"/>
      <c r="J243" s="2089"/>
      <c r="K243" s="2089"/>
      <c r="L243" s="2089"/>
      <c r="M243" s="1848"/>
      <c r="N243" s="1867"/>
      <c r="O243" s="1867"/>
      <c r="P243" s="159"/>
      <c r="Q243" s="159"/>
      <c r="R243" s="624"/>
      <c r="S243" s="625"/>
      <c r="T243" s="625"/>
      <c r="U243" s="626"/>
      <c r="V243" s="627"/>
      <c r="W243" s="628"/>
    </row>
    <row r="244" spans="1:23" s="74" customFormat="1" ht="12.75" hidden="1">
      <c r="A244" s="339"/>
      <c r="B244" s="2089"/>
      <c r="C244" s="2089"/>
      <c r="D244" s="2089"/>
      <c r="E244" s="2089"/>
      <c r="F244" s="2089"/>
      <c r="G244" s="2089"/>
      <c r="H244" s="2089"/>
      <c r="I244" s="2089"/>
      <c r="J244" s="2089"/>
      <c r="K244" s="2089"/>
      <c r="L244" s="2089"/>
      <c r="M244" s="1849"/>
      <c r="N244" s="1867"/>
      <c r="O244" s="1867"/>
      <c r="P244" s="159"/>
      <c r="Q244" s="159"/>
      <c r="R244" s="624"/>
      <c r="S244" s="625"/>
      <c r="T244" s="625"/>
      <c r="U244" s="626"/>
      <c r="V244" s="627"/>
      <c r="W244" s="628"/>
    </row>
    <row r="245" spans="1:23" s="74" customFormat="1" ht="9" hidden="1" customHeight="1">
      <c r="A245" s="339"/>
      <c r="B245" s="1234"/>
      <c r="C245" s="1234"/>
      <c r="D245" s="1234"/>
      <c r="E245" s="1234"/>
      <c r="F245" s="1234"/>
      <c r="G245" s="1234"/>
      <c r="H245" s="1234"/>
      <c r="I245" s="1234"/>
      <c r="J245" s="1234"/>
      <c r="K245" s="1234"/>
      <c r="L245" s="1234"/>
      <c r="M245" s="1849"/>
      <c r="N245" s="1867"/>
      <c r="O245" s="1867"/>
      <c r="P245" s="159"/>
      <c r="Q245" s="159"/>
      <c r="R245" s="624"/>
      <c r="S245" s="625"/>
      <c r="T245" s="625"/>
      <c r="U245" s="626"/>
      <c r="V245" s="627"/>
      <c r="W245" s="628"/>
    </row>
    <row r="246" spans="1:23" s="74" customFormat="1" ht="12.75" hidden="1" customHeight="1">
      <c r="A246" s="339"/>
      <c r="B246" s="2088" t="s">
        <v>1699</v>
      </c>
      <c r="C246" s="2088"/>
      <c r="D246" s="2088"/>
      <c r="E246" s="2088"/>
      <c r="F246" s="2088"/>
      <c r="G246" s="2088"/>
      <c r="H246" s="2088"/>
      <c r="I246" s="2088"/>
      <c r="J246" s="2088"/>
      <c r="K246" s="2088"/>
      <c r="L246" s="2088"/>
      <c r="M246" s="1848"/>
      <c r="N246" s="1867"/>
      <c r="O246" s="1867"/>
      <c r="P246" s="159"/>
      <c r="Q246" s="159"/>
      <c r="R246" s="624"/>
      <c r="S246" s="625"/>
      <c r="T246" s="625"/>
      <c r="U246" s="626"/>
      <c r="V246" s="627"/>
      <c r="W246" s="628"/>
    </row>
    <row r="247" spans="1:23" s="74" customFormat="1" ht="12.75" hidden="1" customHeight="1">
      <c r="A247" s="339"/>
      <c r="B247" s="2088"/>
      <c r="C247" s="2088"/>
      <c r="D247" s="2088"/>
      <c r="E247" s="2088"/>
      <c r="F247" s="2088"/>
      <c r="G247" s="2088"/>
      <c r="H247" s="2088"/>
      <c r="I247" s="2088"/>
      <c r="J247" s="2088"/>
      <c r="K247" s="2088"/>
      <c r="L247" s="2088"/>
      <c r="M247" s="1848"/>
      <c r="N247" s="1867"/>
      <c r="O247" s="1867"/>
      <c r="P247" s="159"/>
      <c r="Q247" s="159"/>
      <c r="R247" s="624"/>
      <c r="S247" s="625"/>
      <c r="T247" s="625"/>
      <c r="U247" s="626"/>
      <c r="V247" s="627"/>
      <c r="W247" s="628"/>
    </row>
    <row r="248" spans="1:23" s="74" customFormat="1" ht="12.75" hidden="1" customHeight="1">
      <c r="A248" s="339"/>
      <c r="B248" s="2088"/>
      <c r="C248" s="2088"/>
      <c r="D248" s="2088"/>
      <c r="E248" s="2088"/>
      <c r="F248" s="2088"/>
      <c r="G248" s="2088"/>
      <c r="H248" s="2088"/>
      <c r="I248" s="2088"/>
      <c r="J248" s="2088"/>
      <c r="K248" s="2088"/>
      <c r="L248" s="2088"/>
      <c r="M248" s="1848"/>
      <c r="N248" s="1867"/>
      <c r="O248" s="1867"/>
      <c r="P248" s="159"/>
      <c r="Q248" s="159"/>
      <c r="R248" s="624"/>
      <c r="S248" s="625"/>
      <c r="T248" s="625"/>
      <c r="U248" s="626"/>
      <c r="V248" s="627"/>
      <c r="W248" s="628"/>
    </row>
    <row r="249" spans="1:23" s="74" customFormat="1" ht="12.75" hidden="1" customHeight="1">
      <c r="A249" s="339"/>
      <c r="B249" s="2088"/>
      <c r="C249" s="2088"/>
      <c r="D249" s="2088"/>
      <c r="E249" s="2088"/>
      <c r="F249" s="2088"/>
      <c r="G249" s="2088"/>
      <c r="H249" s="2088"/>
      <c r="I249" s="2088"/>
      <c r="J249" s="2088"/>
      <c r="K249" s="2088"/>
      <c r="L249" s="2088"/>
      <c r="M249" s="1848"/>
      <c r="N249" s="1867"/>
      <c r="O249" s="1867"/>
      <c r="P249" s="159"/>
      <c r="Q249" s="159"/>
      <c r="R249" s="624"/>
      <c r="S249" s="625"/>
      <c r="T249" s="625"/>
      <c r="U249" s="626"/>
      <c r="V249" s="627"/>
      <c r="W249" s="628"/>
    </row>
    <row r="250" spans="1:23" s="74" customFormat="1" ht="12.75" hidden="1" customHeight="1">
      <c r="A250" s="339"/>
      <c r="B250" s="2088"/>
      <c r="C250" s="2088"/>
      <c r="D250" s="2088"/>
      <c r="E250" s="2088"/>
      <c r="F250" s="2088"/>
      <c r="G250" s="2088"/>
      <c r="H250" s="2088"/>
      <c r="I250" s="2088"/>
      <c r="J250" s="2088"/>
      <c r="K250" s="2088"/>
      <c r="L250" s="2088"/>
      <c r="M250" s="1848"/>
      <c r="N250" s="1867"/>
      <c r="O250" s="1867"/>
      <c r="P250" s="159"/>
      <c r="Q250" s="159"/>
      <c r="R250" s="624"/>
      <c r="S250" s="625"/>
      <c r="T250" s="625"/>
      <c r="U250" s="626"/>
      <c r="V250" s="627"/>
      <c r="W250" s="628"/>
    </row>
    <row r="251" spans="1:23" s="74" customFormat="1" ht="12.75" hidden="1">
      <c r="A251" s="381">
        <f>A228+0.1</f>
        <v>8.2999999999999989</v>
      </c>
      <c r="B251" s="2087" t="s">
        <v>1354</v>
      </c>
      <c r="C251" s="2087"/>
      <c r="D251" s="2087"/>
      <c r="E251" s="2087"/>
      <c r="F251" s="2087"/>
      <c r="G251" s="2087"/>
      <c r="H251" s="2087"/>
      <c r="I251" s="2087"/>
      <c r="J251" s="2087"/>
      <c r="K251" s="2087"/>
      <c r="L251" s="2087"/>
      <c r="M251" s="714"/>
      <c r="N251" s="159"/>
      <c r="O251" s="159"/>
      <c r="P251" s="159"/>
      <c r="Q251" s="159"/>
      <c r="R251" s="159"/>
      <c r="S251" s="1868"/>
      <c r="U251" s="160"/>
    </row>
    <row r="252" spans="1:23" s="74" customFormat="1" ht="12.75" hidden="1">
      <c r="A252" s="381"/>
      <c r="B252" s="2087"/>
      <c r="C252" s="2087"/>
      <c r="D252" s="2087"/>
      <c r="E252" s="2087"/>
      <c r="F252" s="2087"/>
      <c r="G252" s="2087"/>
      <c r="H252" s="2087"/>
      <c r="I252" s="2087"/>
      <c r="J252" s="2087"/>
      <c r="K252" s="2087"/>
      <c r="L252" s="2087"/>
      <c r="M252" s="714"/>
      <c r="N252" s="159"/>
      <c r="O252" s="159"/>
      <c r="P252" s="159"/>
      <c r="Q252" s="159"/>
      <c r="R252" s="159"/>
      <c r="S252" s="1868"/>
      <c r="U252" s="160"/>
    </row>
    <row r="253" spans="1:23" s="74" customFormat="1" ht="12.75" hidden="1">
      <c r="A253" s="381"/>
      <c r="B253" s="2087"/>
      <c r="C253" s="2087"/>
      <c r="D253" s="2087"/>
      <c r="E253" s="2087"/>
      <c r="F253" s="2087"/>
      <c r="G253" s="2087"/>
      <c r="H253" s="2087"/>
      <c r="I253" s="2087"/>
      <c r="J253" s="2087"/>
      <c r="K253" s="2087"/>
      <c r="L253" s="2087"/>
      <c r="M253" s="714"/>
      <c r="N253" s="159"/>
      <c r="O253" s="159"/>
      <c r="P253" s="159"/>
      <c r="Q253" s="159"/>
      <c r="R253" s="159"/>
      <c r="S253" s="1868"/>
      <c r="U253" s="160"/>
    </row>
    <row r="254" spans="1:23" s="74" customFormat="1" ht="12.75" hidden="1">
      <c r="A254" s="339"/>
      <c r="B254" s="2087"/>
      <c r="C254" s="2087"/>
      <c r="D254" s="2087"/>
      <c r="E254" s="2087"/>
      <c r="F254" s="2087"/>
      <c r="G254" s="2087"/>
      <c r="H254" s="2087"/>
      <c r="I254" s="2087"/>
      <c r="J254" s="2087"/>
      <c r="K254" s="2087"/>
      <c r="L254" s="2087"/>
      <c r="M254" s="714"/>
      <c r="N254" s="159"/>
      <c r="O254" s="159"/>
      <c r="P254" s="159"/>
      <c r="Q254" s="159"/>
      <c r="R254" s="159"/>
      <c r="S254" s="1868"/>
      <c r="U254" s="160"/>
    </row>
    <row r="255" spans="1:23" s="74" customFormat="1" ht="12.75">
      <c r="A255" s="339"/>
      <c r="B255" s="1875"/>
      <c r="C255" s="1875"/>
      <c r="D255" s="1875"/>
      <c r="E255" s="1875"/>
      <c r="F255" s="1875"/>
      <c r="G255" s="1875"/>
      <c r="H255" s="1875"/>
      <c r="I255" s="1875"/>
      <c r="J255" s="1875"/>
      <c r="K255" s="1875"/>
      <c r="L255" s="1875"/>
      <c r="M255" s="714"/>
      <c r="N255" s="159"/>
      <c r="O255" s="159"/>
      <c r="P255" s="159"/>
      <c r="Q255" s="159"/>
      <c r="R255" s="159"/>
      <c r="S255" s="1868"/>
      <c r="U255" s="160"/>
    </row>
    <row r="256" spans="1:23" s="74" customFormat="1" ht="12.75">
      <c r="A256" s="1820">
        <f>+A169+1</f>
        <v>9</v>
      </c>
      <c r="B256" s="386" t="s">
        <v>934</v>
      </c>
      <c r="C256" s="387"/>
      <c r="D256" s="388"/>
      <c r="E256" s="388"/>
      <c r="F256" s="388"/>
      <c r="G256" s="388"/>
      <c r="H256" s="388"/>
      <c r="I256" s="388"/>
      <c r="J256" s="389"/>
      <c r="K256" s="389"/>
      <c r="L256" s="389"/>
      <c r="M256" s="1830">
        <f>+J173+J174</f>
        <v>9449.4447799999998</v>
      </c>
      <c r="N256" s="389">
        <f>+M256</f>
        <v>9449.4447799999998</v>
      </c>
      <c r="O256" s="389"/>
      <c r="P256" s="110"/>
      <c r="Q256" s="390"/>
      <c r="R256" s="159"/>
      <c r="S256" s="1868"/>
    </row>
    <row r="257" spans="1:21" s="74" customFormat="1" ht="12.75">
      <c r="A257" s="360"/>
      <c r="B257" s="391"/>
      <c r="C257" s="387"/>
      <c r="D257" s="388"/>
      <c r="E257" s="388"/>
      <c r="F257" s="388"/>
      <c r="G257" s="388"/>
      <c r="H257" s="388"/>
      <c r="I257" s="388"/>
      <c r="J257" s="389"/>
      <c r="K257" s="389"/>
      <c r="L257" s="389"/>
      <c r="M257" s="1830">
        <f>+SOAL!F39</f>
        <v>150958902.46880001</v>
      </c>
      <c r="N257" s="389">
        <f>+SOAL!H39</f>
        <v>176766181</v>
      </c>
      <c r="O257" s="389"/>
      <c r="P257" s="110"/>
      <c r="Q257" s="392" t="s">
        <v>1153</v>
      </c>
      <c r="R257" s="159"/>
      <c r="S257" s="1868"/>
    </row>
    <row r="258" spans="1:21" s="74" customFormat="1" ht="13.5" customHeight="1">
      <c r="A258" s="393"/>
      <c r="B258" s="2090" t="s">
        <v>2143</v>
      </c>
      <c r="C258" s="2091"/>
      <c r="D258" s="2091"/>
      <c r="E258" s="2091"/>
      <c r="F258" s="2091"/>
      <c r="G258" s="2091"/>
      <c r="H258" s="2091"/>
      <c r="I258" s="2091"/>
      <c r="J258" s="2091"/>
      <c r="K258" s="2091"/>
      <c r="L258" s="2091"/>
      <c r="M258" s="1901">
        <f>+M256*1000/M257</f>
        <v>6.2596141237533168E-2</v>
      </c>
      <c r="N258" s="1901">
        <f>+N256*1000/N257</f>
        <v>5.3457311384692979E-2</v>
      </c>
      <c r="O258" s="1868"/>
      <c r="P258" s="159"/>
      <c r="Q258" s="159" t="s">
        <v>1154</v>
      </c>
      <c r="R258" s="159"/>
      <c r="S258" s="1868"/>
    </row>
    <row r="259" spans="1:21" s="74" customFormat="1" ht="7.5" customHeight="1">
      <c r="A259" s="393"/>
      <c r="B259" s="1876"/>
      <c r="C259" s="1876"/>
      <c r="D259" s="1876"/>
      <c r="E259" s="1876"/>
      <c r="F259" s="1876"/>
      <c r="G259" s="1876"/>
      <c r="H259" s="1876"/>
      <c r="I259" s="1876"/>
      <c r="J259" s="1876"/>
      <c r="K259" s="1876"/>
      <c r="L259" s="1876"/>
      <c r="M259" s="714"/>
      <c r="N259" s="1868"/>
      <c r="O259" s="1868"/>
      <c r="P259" s="159"/>
      <c r="Q259" s="159"/>
      <c r="R259" s="159"/>
      <c r="S259" s="1868"/>
    </row>
    <row r="260" spans="1:21" s="74" customFormat="1" ht="12.75">
      <c r="A260" s="393"/>
      <c r="B260" s="1697"/>
      <c r="C260" s="1697"/>
      <c r="D260" s="1697"/>
      <c r="E260" s="1697"/>
      <c r="F260" s="1697"/>
      <c r="G260" s="1697"/>
      <c r="H260" s="1697"/>
      <c r="I260" s="1697"/>
      <c r="J260" s="752" t="s">
        <v>1809</v>
      </c>
      <c r="K260" s="89"/>
      <c r="L260" s="752" t="s">
        <v>1314</v>
      </c>
      <c r="M260" s="714"/>
      <c r="N260" s="1868"/>
      <c r="O260" s="1868"/>
      <c r="P260" s="159"/>
      <c r="Q260" s="159"/>
      <c r="R260" s="159"/>
      <c r="S260" s="1868"/>
    </row>
    <row r="261" spans="1:21" s="74" customFormat="1" ht="12.75">
      <c r="A261" s="393"/>
      <c r="B261" s="391"/>
      <c r="C261" s="1868"/>
      <c r="D261" s="1868"/>
      <c r="E261" s="1868"/>
      <c r="F261" s="1868"/>
      <c r="G261" s="1868"/>
      <c r="H261" s="147"/>
      <c r="I261" s="147"/>
      <c r="J261" s="173" t="s">
        <v>1952</v>
      </c>
      <c r="K261" s="174"/>
      <c r="L261" s="173" t="s">
        <v>1535</v>
      </c>
      <c r="M261" s="714"/>
      <c r="N261" s="1868"/>
      <c r="O261" s="1868"/>
      <c r="P261" s="159"/>
      <c r="Q261" s="159"/>
      <c r="R261" s="159"/>
      <c r="S261" s="1868"/>
    </row>
    <row r="262" spans="1:21" s="74" customFormat="1" ht="12.75">
      <c r="D262" s="1868"/>
      <c r="E262" s="1868"/>
      <c r="F262" s="1868"/>
      <c r="G262" s="1868"/>
      <c r="H262" s="1698"/>
      <c r="I262" s="159"/>
      <c r="J262" s="2075" t="s">
        <v>1310</v>
      </c>
      <c r="K262" s="2075"/>
      <c r="L262" s="2075"/>
      <c r="M262" s="714"/>
      <c r="N262" s="1868"/>
      <c r="O262" s="1868"/>
      <c r="P262" s="159"/>
      <c r="Q262" s="159"/>
      <c r="R262" s="159">
        <v>-76327</v>
      </c>
      <c r="S262" s="1868"/>
    </row>
    <row r="263" spans="1:21" s="74" customFormat="1" ht="12.75">
      <c r="A263" s="381">
        <f>A256+0.1</f>
        <v>9.1</v>
      </c>
      <c r="B263" s="386" t="s">
        <v>1155</v>
      </c>
      <c r="C263" s="1868"/>
      <c r="D263" s="1868"/>
      <c r="E263" s="1868"/>
      <c r="F263" s="1868"/>
      <c r="G263" s="1868"/>
      <c r="H263" s="1868"/>
      <c r="I263" s="1868"/>
      <c r="J263" s="1699"/>
      <c r="K263" s="1699"/>
      <c r="L263" s="1699"/>
      <c r="M263" s="714"/>
      <c r="N263" s="1868"/>
      <c r="O263" s="1868"/>
      <c r="P263" s="159"/>
      <c r="Q263" s="159"/>
      <c r="R263" s="159">
        <f>4973+14667</f>
        <v>19640</v>
      </c>
      <c r="S263" s="1868"/>
    </row>
    <row r="264" spans="1:21" s="74" customFormat="1" ht="12.75">
      <c r="A264" s="381"/>
      <c r="B264" s="386"/>
      <c r="C264" s="1868"/>
      <c r="D264" s="1868"/>
      <c r="E264" s="1868"/>
      <c r="F264" s="1868"/>
      <c r="G264" s="1868"/>
      <c r="H264" s="1868"/>
      <c r="I264" s="1868"/>
      <c r="J264" s="1699"/>
      <c r="K264" s="1699"/>
      <c r="L264" s="1699"/>
      <c r="M264" s="714"/>
      <c r="N264" s="1868"/>
      <c r="O264" s="1868"/>
      <c r="P264" s="159"/>
      <c r="Q264" s="159"/>
      <c r="R264" s="159"/>
      <c r="S264" s="1868"/>
    </row>
    <row r="265" spans="1:21" s="74" customFormat="1" ht="12.75">
      <c r="A265" s="393"/>
      <c r="B265" s="1030" t="s">
        <v>1997</v>
      </c>
      <c r="C265" s="1868"/>
      <c r="D265" s="1868"/>
      <c r="E265" s="1868"/>
      <c r="F265" s="1868"/>
      <c r="G265" s="1868"/>
      <c r="H265" s="1868"/>
      <c r="I265" s="1868"/>
      <c r="J265" s="1700"/>
      <c r="K265" s="1701"/>
      <c r="L265" s="1701"/>
      <c r="M265" s="714"/>
      <c r="N265" s="1868"/>
      <c r="O265" s="1868"/>
      <c r="P265" s="159"/>
      <c r="Q265" s="159"/>
      <c r="R265" s="159"/>
      <c r="S265" s="1868"/>
    </row>
    <row r="266" spans="1:21" s="74" customFormat="1" ht="12.75">
      <c r="A266" s="393"/>
      <c r="B266" s="1693" t="s">
        <v>1998</v>
      </c>
      <c r="C266" s="1868"/>
      <c r="D266" s="1868"/>
      <c r="E266" s="1868"/>
      <c r="F266" s="1868"/>
      <c r="G266" s="1868"/>
      <c r="H266" s="1868"/>
      <c r="I266" s="1868"/>
      <c r="J266" s="207"/>
      <c r="K266" s="206"/>
      <c r="L266" s="208"/>
      <c r="M266" s="714"/>
      <c r="N266" s="1868" t="s">
        <v>524</v>
      </c>
      <c r="O266" s="1868"/>
      <c r="P266" s="159">
        <v>5343</v>
      </c>
      <c r="Q266" s="159"/>
      <c r="R266" s="159"/>
      <c r="S266" s="1868"/>
    </row>
    <row r="267" spans="1:21" s="74" customFormat="1" ht="12.75">
      <c r="A267" s="393"/>
      <c r="B267" s="1694" t="s">
        <v>1999</v>
      </c>
      <c r="C267" s="1868"/>
      <c r="D267" s="1868"/>
      <c r="E267" s="1868"/>
      <c r="F267" s="1868"/>
      <c r="G267" s="1868"/>
      <c r="H267" s="1868"/>
      <c r="I267" s="1868"/>
      <c r="J267" s="207"/>
      <c r="K267" s="206"/>
      <c r="L267" s="1702"/>
      <c r="M267" s="714"/>
      <c r="N267" s="1868"/>
      <c r="O267" s="1868"/>
      <c r="P267" s="159"/>
      <c r="Q267" s="159"/>
      <c r="R267" s="159"/>
      <c r="S267" s="1868"/>
    </row>
    <row r="268" spans="1:21" s="74" customFormat="1" ht="12.75">
      <c r="A268" s="393"/>
      <c r="B268" s="1695" t="s">
        <v>2000</v>
      </c>
      <c r="C268" s="1868"/>
      <c r="D268" s="1868"/>
      <c r="E268" s="1868"/>
      <c r="F268" s="1868"/>
      <c r="G268" s="1868"/>
      <c r="H268" s="1868"/>
      <c r="I268" s="1868"/>
      <c r="J268" s="1703">
        <v>2171923.9330000002</v>
      </c>
      <c r="K268" s="206"/>
      <c r="L268" s="1703">
        <v>3505610.4419999998</v>
      </c>
      <c r="M268" s="714"/>
      <c r="N268" s="1868"/>
      <c r="O268" s="1868"/>
      <c r="P268" s="159"/>
      <c r="Q268" s="159"/>
      <c r="R268" s="159"/>
      <c r="S268" s="1868"/>
    </row>
    <row r="269" spans="1:21" s="74" customFormat="1" ht="12.75">
      <c r="A269" s="393"/>
      <c r="B269" s="1695" t="s">
        <v>2001</v>
      </c>
      <c r="C269" s="1868"/>
      <c r="D269" s="1868"/>
      <c r="E269" s="1868"/>
      <c r="F269" s="1868"/>
      <c r="G269" s="1868"/>
      <c r="H269" s="1868"/>
      <c r="I269" s="1868"/>
      <c r="J269" s="1703">
        <v>0</v>
      </c>
      <c r="K269" s="206"/>
      <c r="L269" s="1703">
        <v>11695.804</v>
      </c>
      <c r="M269" s="714"/>
      <c r="N269" s="1868"/>
      <c r="O269" s="1868"/>
      <c r="P269" s="159"/>
      <c r="Q269" s="159"/>
      <c r="R269" s="159"/>
      <c r="S269" s="1868"/>
    </row>
    <row r="270" spans="1:21" s="74" customFormat="1" ht="15">
      <c r="A270" s="393" t="s">
        <v>765</v>
      </c>
      <c r="B270" s="1876"/>
      <c r="C270" s="1868"/>
      <c r="D270" s="1868"/>
      <c r="E270" s="1868"/>
      <c r="F270" s="1868"/>
      <c r="G270" s="1868"/>
      <c r="H270" s="1868"/>
      <c r="I270" s="1868"/>
      <c r="J270" s="1702"/>
      <c r="K270" s="206"/>
      <c r="L270" s="1702"/>
      <c r="M270" s="714"/>
      <c r="N270" s="1868" t="s">
        <v>225</v>
      </c>
      <c r="O270" s="1868"/>
      <c r="P270" s="159">
        <v>276</v>
      </c>
      <c r="Q270" s="159"/>
      <c r="R270" s="159"/>
      <c r="S270" s="1868"/>
    </row>
    <row r="271" spans="1:21" s="74" customFormat="1" ht="12.75">
      <c r="A271" s="393"/>
      <c r="B271" s="1030" t="s">
        <v>2002</v>
      </c>
      <c r="C271" s="1868"/>
      <c r="D271" s="1868"/>
      <c r="E271" s="1868"/>
      <c r="F271" s="1868"/>
      <c r="G271" s="1868"/>
      <c r="H271" s="1868"/>
      <c r="I271" s="1868"/>
      <c r="J271" s="1702"/>
      <c r="K271" s="206"/>
      <c r="L271" s="1702"/>
      <c r="M271" s="714"/>
      <c r="N271" s="1868"/>
      <c r="O271" s="1868"/>
      <c r="P271" s="159"/>
      <c r="Q271" s="159"/>
      <c r="R271" s="159"/>
      <c r="S271" s="1061" t="e">
        <f>#REF!-#REF!</f>
        <v>#REF!</v>
      </c>
      <c r="T271" s="401" t="s">
        <v>1632</v>
      </c>
      <c r="U271" s="401" t="s">
        <v>1351</v>
      </c>
    </row>
    <row r="272" spans="1:21" s="74" customFormat="1" ht="12.75">
      <c r="A272" s="393"/>
      <c r="B272" s="1696" t="s">
        <v>2003</v>
      </c>
      <c r="C272" s="1868"/>
      <c r="D272" s="1868"/>
      <c r="E272" s="1868"/>
      <c r="F272" s="1868"/>
      <c r="G272" s="1868"/>
      <c r="H272" s="1868"/>
      <c r="I272" s="1868"/>
      <c r="J272" s="1702"/>
      <c r="K272" s="206"/>
      <c r="L272" s="1702"/>
      <c r="M272" s="714"/>
      <c r="N272" s="1868"/>
      <c r="O272" s="1868"/>
      <c r="P272" s="159"/>
      <c r="Q272" s="159"/>
      <c r="R272" s="159"/>
      <c r="S272" s="1061"/>
      <c r="T272" s="401"/>
      <c r="U272" s="401"/>
    </row>
    <row r="273" spans="1:21" s="74" customFormat="1" ht="12.75">
      <c r="A273" s="393"/>
      <c r="B273" s="1696" t="s">
        <v>2004</v>
      </c>
      <c r="C273" s="1868"/>
      <c r="D273" s="1868"/>
      <c r="E273" s="1868"/>
      <c r="F273" s="1868"/>
      <c r="G273" s="1868"/>
      <c r="H273" s="1868"/>
      <c r="I273" s="1868"/>
      <c r="J273" s="1703">
        <v>12557.839970000001</v>
      </c>
      <c r="K273" s="206"/>
      <c r="L273" s="1703">
        <v>39276</v>
      </c>
      <c r="M273" s="714"/>
      <c r="N273" s="1868">
        <f>5722983.4+33552760.7</f>
        <v>39275744.100000001</v>
      </c>
      <c r="O273" s="1868"/>
      <c r="P273" s="159"/>
      <c r="Q273" s="159"/>
      <c r="R273" s="159"/>
      <c r="S273" s="1061"/>
      <c r="T273" s="401"/>
      <c r="U273" s="401"/>
    </row>
    <row r="274" spans="1:21" s="74" customFormat="1" ht="12.75">
      <c r="A274" s="393"/>
      <c r="B274" s="391"/>
      <c r="C274" s="1868"/>
      <c r="D274" s="1868"/>
      <c r="E274" s="1868"/>
      <c r="F274" s="1868"/>
      <c r="G274" s="1868"/>
      <c r="H274" s="1868"/>
      <c r="I274" s="1868"/>
      <c r="J274" s="157"/>
      <c r="K274" s="1868"/>
      <c r="L274" s="714"/>
      <c r="M274" s="714"/>
      <c r="N274" s="1868"/>
      <c r="O274" s="1868"/>
      <c r="P274" s="159"/>
      <c r="Q274" s="159"/>
      <c r="R274" s="159"/>
      <c r="S274" s="1061"/>
      <c r="T274" s="401"/>
      <c r="U274" s="401"/>
    </row>
    <row r="275" spans="1:21" s="74" customFormat="1" ht="12.75">
      <c r="A275" s="393"/>
      <c r="B275" s="391"/>
      <c r="C275" s="1868"/>
      <c r="D275" s="1868"/>
      <c r="E275" s="1868"/>
      <c r="F275" s="1868"/>
      <c r="G275" s="1868"/>
      <c r="H275" s="1868"/>
      <c r="I275" s="1868"/>
      <c r="J275" s="394"/>
      <c r="K275" s="1868"/>
      <c r="L275" s="394"/>
      <c r="M275" s="714"/>
      <c r="N275" s="1868"/>
      <c r="O275" s="369"/>
      <c r="P275" s="159"/>
      <c r="Q275" s="159"/>
      <c r="R275" s="159"/>
      <c r="S275" s="1868"/>
    </row>
    <row r="276" spans="1:21" s="74" customFormat="1" ht="12.75">
      <c r="A276" s="1820">
        <f>+A256+1</f>
        <v>10</v>
      </c>
      <c r="B276" s="386" t="s">
        <v>1156</v>
      </c>
      <c r="C276" s="1868"/>
      <c r="D276" s="1868"/>
      <c r="E276" s="1868"/>
      <c r="F276" s="1868"/>
      <c r="G276" s="1868"/>
      <c r="H276" s="1868"/>
      <c r="I276" s="1868"/>
      <c r="J276" s="1868"/>
      <c r="K276" s="1868"/>
      <c r="L276" s="1868"/>
      <c r="M276" s="714"/>
      <c r="N276" s="1868"/>
      <c r="O276" s="1868"/>
      <c r="P276" s="159"/>
      <c r="Q276" s="159"/>
      <c r="R276" s="159"/>
      <c r="S276" s="1868"/>
    </row>
    <row r="277" spans="1:21" s="74" customFormat="1" ht="8.25" customHeight="1">
      <c r="A277" s="393"/>
      <c r="B277" s="391"/>
      <c r="C277" s="1868"/>
      <c r="D277" s="1868"/>
      <c r="E277" s="1868"/>
      <c r="F277" s="1868"/>
      <c r="G277" s="1868"/>
      <c r="H277" s="1868"/>
      <c r="I277" s="1868"/>
      <c r="J277" s="1868"/>
      <c r="K277" s="1868"/>
      <c r="L277" s="1868"/>
      <c r="M277" s="714"/>
      <c r="N277" s="1868"/>
      <c r="O277" s="1868"/>
      <c r="P277" s="159"/>
      <c r="Q277" s="159"/>
      <c r="R277" s="159"/>
      <c r="S277" s="1868"/>
    </row>
    <row r="278" spans="1:21" s="74" customFormat="1" ht="13.15" customHeight="1">
      <c r="A278" s="393"/>
      <c r="B278" s="2060" t="s">
        <v>2161</v>
      </c>
      <c r="C278" s="2060"/>
      <c r="D278" s="2060"/>
      <c r="E278" s="2060"/>
      <c r="F278" s="2060"/>
      <c r="G278" s="2060"/>
      <c r="H278" s="2060"/>
      <c r="I278" s="2060"/>
      <c r="J278" s="2060"/>
      <c r="K278" s="2060"/>
      <c r="L278" s="2060"/>
      <c r="M278" s="1852" t="s">
        <v>1654</v>
      </c>
      <c r="P278" s="159"/>
      <c r="Q278" s="159"/>
      <c r="R278" s="159"/>
      <c r="S278" s="1868"/>
    </row>
    <row r="279" spans="1:21" s="74" customFormat="1" ht="19.899999999999999" customHeight="1">
      <c r="A279" s="393"/>
      <c r="B279" s="2060"/>
      <c r="C279" s="2060"/>
      <c r="D279" s="2060"/>
      <c r="E279" s="2060"/>
      <c r="F279" s="2060"/>
      <c r="G279" s="2060"/>
      <c r="H279" s="2060"/>
      <c r="I279" s="2060"/>
      <c r="J279" s="2060"/>
      <c r="K279" s="2060"/>
      <c r="L279" s="2060"/>
      <c r="M279" s="1853"/>
      <c r="P279" s="159"/>
      <c r="Q279" s="159"/>
      <c r="R279" s="159"/>
      <c r="S279" s="1868"/>
    </row>
    <row r="280" spans="1:21" s="74" customFormat="1" ht="12.75">
      <c r="A280" s="393"/>
      <c r="B280" s="1823"/>
      <c r="C280" s="1823"/>
      <c r="D280" s="1823"/>
      <c r="E280" s="1823"/>
      <c r="F280" s="1823"/>
      <c r="G280" s="1823"/>
      <c r="H280" s="1823"/>
      <c r="I280" s="1823"/>
      <c r="J280" s="1823"/>
      <c r="K280" s="1823"/>
      <c r="L280" s="1823"/>
      <c r="M280" s="1853"/>
      <c r="P280" s="159"/>
      <c r="Q280" s="159"/>
      <c r="R280" s="159"/>
      <c r="S280" s="1868"/>
    </row>
    <row r="281" spans="1:21" s="74" customFormat="1" ht="12.75">
      <c r="A281" s="1820">
        <f>+A276+1</f>
        <v>11</v>
      </c>
      <c r="B281" s="157" t="s">
        <v>1157</v>
      </c>
      <c r="C281" s="1868"/>
      <c r="D281" s="1868"/>
      <c r="E281" s="1868"/>
      <c r="F281" s="1868"/>
      <c r="G281" s="1868"/>
      <c r="H281" s="1868"/>
      <c r="I281" s="1868"/>
      <c r="J281" s="1868"/>
      <c r="K281" s="1868"/>
      <c r="L281" s="1868"/>
      <c r="M281" s="714"/>
      <c r="N281" s="1868"/>
      <c r="O281" s="395"/>
      <c r="P281" s="159"/>
      <c r="Q281" s="392"/>
      <c r="R281" s="159"/>
      <c r="S281" s="1868"/>
    </row>
    <row r="282" spans="1:21" s="74" customFormat="1" ht="10.5" customHeight="1">
      <c r="A282" s="360"/>
      <c r="B282" s="157"/>
      <c r="C282" s="1868"/>
      <c r="D282" s="1868"/>
      <c r="E282" s="1868"/>
      <c r="F282" s="1868"/>
      <c r="G282" s="1868"/>
      <c r="H282" s="1868"/>
      <c r="I282" s="1868"/>
      <c r="J282" s="1868"/>
      <c r="K282" s="1868"/>
      <c r="L282" s="1868"/>
      <c r="M282" s="714"/>
      <c r="N282" s="1868"/>
      <c r="O282" s="1868"/>
      <c r="P282" s="159"/>
      <c r="Q282" s="392"/>
      <c r="R282" s="159"/>
      <c r="S282" s="1868"/>
    </row>
    <row r="283" spans="1:21" s="74" customFormat="1" ht="12" customHeight="1">
      <c r="A283" s="162"/>
      <c r="B283" s="2060" t="s">
        <v>2144</v>
      </c>
      <c r="C283" s="2060"/>
      <c r="D283" s="2060"/>
      <c r="E283" s="2060"/>
      <c r="F283" s="2060"/>
      <c r="G283" s="2060"/>
      <c r="H283" s="2060"/>
      <c r="I283" s="2060"/>
      <c r="J283" s="2060"/>
      <c r="K283" s="2060"/>
      <c r="L283" s="2060"/>
      <c r="M283" s="714" t="s">
        <v>1006</v>
      </c>
      <c r="N283" s="1868"/>
      <c r="O283" s="1868"/>
      <c r="P283" s="159"/>
      <c r="Q283" s="392" t="s">
        <v>1158</v>
      </c>
      <c r="R283" s="159"/>
      <c r="S283" s="1868"/>
    </row>
    <row r="284" spans="1:21" s="74" customFormat="1" ht="12.75">
      <c r="A284" s="162"/>
      <c r="B284" s="2060"/>
      <c r="C284" s="2060"/>
      <c r="D284" s="2060"/>
      <c r="E284" s="2060"/>
      <c r="F284" s="2060"/>
      <c r="G284" s="2060"/>
      <c r="H284" s="2060"/>
      <c r="I284" s="2060"/>
      <c r="J284" s="2060"/>
      <c r="K284" s="2060"/>
      <c r="L284" s="2060"/>
      <c r="M284" s="714"/>
      <c r="N284" s="1868"/>
      <c r="O284" s="1868"/>
      <c r="P284" s="159"/>
      <c r="Q284" s="392" t="s">
        <v>1159</v>
      </c>
      <c r="R284" s="159"/>
      <c r="S284" s="1868"/>
    </row>
    <row r="285" spans="1:21" s="74" customFormat="1" ht="12.75">
      <c r="A285" s="162"/>
      <c r="B285" s="2060"/>
      <c r="C285" s="2060"/>
      <c r="D285" s="2060"/>
      <c r="E285" s="2060"/>
      <c r="F285" s="2060"/>
      <c r="G285" s="2060"/>
      <c r="H285" s="2060"/>
      <c r="I285" s="2060"/>
      <c r="J285" s="2060"/>
      <c r="K285" s="2060"/>
      <c r="L285" s="2060"/>
      <c r="M285" s="714"/>
      <c r="N285" s="1868"/>
      <c r="O285" s="1868"/>
      <c r="P285" s="159"/>
      <c r="Q285" s="392"/>
      <c r="R285" s="159"/>
      <c r="S285" s="1868"/>
    </row>
    <row r="286" spans="1:21" s="74" customFormat="1" ht="12.75">
      <c r="A286" s="162"/>
      <c r="B286" s="2060"/>
      <c r="C286" s="2060"/>
      <c r="D286" s="2060"/>
      <c r="E286" s="2060"/>
      <c r="F286" s="2060"/>
      <c r="G286" s="2060"/>
      <c r="H286" s="2060"/>
      <c r="I286" s="2060"/>
      <c r="J286" s="2060"/>
      <c r="K286" s="2060"/>
      <c r="L286" s="2060"/>
      <c r="M286" s="714"/>
      <c r="N286" s="1868"/>
      <c r="O286" s="1868"/>
      <c r="P286" s="159"/>
      <c r="Q286" s="392"/>
      <c r="R286" s="159"/>
      <c r="S286" s="1868"/>
    </row>
    <row r="287" spans="1:21" s="74" customFormat="1" ht="12.75">
      <c r="A287" s="162"/>
      <c r="B287" s="2060"/>
      <c r="C287" s="2060"/>
      <c r="D287" s="2060"/>
      <c r="E287" s="2060"/>
      <c r="F287" s="2060"/>
      <c r="G287" s="2060"/>
      <c r="H287" s="2060"/>
      <c r="I287" s="2060"/>
      <c r="J287" s="2060"/>
      <c r="K287" s="2060"/>
      <c r="L287" s="2060"/>
      <c r="M287" s="714"/>
      <c r="N287" s="1868"/>
      <c r="O287" s="1868"/>
      <c r="P287" s="159"/>
      <c r="Q287" s="392"/>
      <c r="R287" s="159"/>
      <c r="S287" s="1868"/>
    </row>
    <row r="288" spans="1:21" s="74" customFormat="1" ht="54.6" customHeight="1">
      <c r="A288" s="162"/>
      <c r="B288" s="2060"/>
      <c r="C288" s="2060"/>
      <c r="D288" s="2060"/>
      <c r="E288" s="2060"/>
      <c r="F288" s="2060"/>
      <c r="G288" s="2060"/>
      <c r="H288" s="2060"/>
      <c r="I288" s="2060"/>
      <c r="J288" s="2060"/>
      <c r="K288" s="2060"/>
      <c r="L288" s="2060"/>
      <c r="M288" s="714"/>
      <c r="N288" s="1868"/>
      <c r="O288" s="1868"/>
      <c r="P288" s="159"/>
      <c r="Q288" s="392"/>
      <c r="R288" s="159"/>
      <c r="S288" s="1868"/>
    </row>
    <row r="289" spans="1:19" s="44" customFormat="1" ht="12.75">
      <c r="A289" s="188"/>
      <c r="B289" s="39"/>
      <c r="C289" s="39"/>
      <c r="D289" s="39"/>
      <c r="E289" s="39"/>
      <c r="F289" s="39"/>
      <c r="G289" s="39"/>
      <c r="H289" s="39"/>
      <c r="I289" s="39"/>
      <c r="J289" s="1739"/>
      <c r="K289" s="192"/>
      <c r="L289" s="1740"/>
      <c r="M289" s="1145"/>
      <c r="N289" s="39"/>
      <c r="O289" s="39"/>
      <c r="P289" s="376"/>
      <c r="Q289" s="397"/>
      <c r="R289" s="376"/>
      <c r="S289" s="39"/>
    </row>
    <row r="290" spans="1:19" s="44" customFormat="1" ht="12.75">
      <c r="A290" s="1820">
        <f>+A281+1</f>
        <v>12</v>
      </c>
      <c r="B290" s="1250" t="s">
        <v>2122</v>
      </c>
      <c r="C290" s="39"/>
      <c r="D290" s="39"/>
      <c r="E290" s="39"/>
      <c r="F290" s="39"/>
      <c r="G290" s="39"/>
      <c r="H290" s="39"/>
      <c r="I290" s="39"/>
      <c r="J290" s="1739"/>
      <c r="K290" s="192"/>
      <c r="L290" s="1740"/>
      <c r="M290" s="1145"/>
      <c r="N290" s="39"/>
      <c r="O290" s="39"/>
      <c r="P290" s="376"/>
      <c r="Q290" s="397"/>
      <c r="R290" s="376"/>
      <c r="S290" s="39"/>
    </row>
    <row r="291" spans="1:19" s="44" customFormat="1" ht="12.75">
      <c r="A291" s="188"/>
      <c r="B291" s="1250"/>
      <c r="C291" s="39"/>
      <c r="D291" s="39"/>
      <c r="E291" s="39"/>
      <c r="F291" s="39"/>
      <c r="G291" s="39"/>
      <c r="H291" s="39"/>
      <c r="I291" s="39"/>
      <c r="J291" s="1739"/>
      <c r="K291" s="192"/>
      <c r="L291" s="1740"/>
      <c r="M291" s="1145"/>
      <c r="N291" s="39"/>
      <c r="O291" s="39"/>
      <c r="P291" s="376"/>
      <c r="Q291" s="397"/>
      <c r="R291" s="376"/>
      <c r="S291" s="39"/>
    </row>
    <row r="292" spans="1:19" s="44" customFormat="1" ht="12.75">
      <c r="A292" s="188"/>
      <c r="B292" s="1922" t="s">
        <v>2123</v>
      </c>
      <c r="C292" s="1922"/>
      <c r="D292" s="1922"/>
      <c r="E292" s="1922"/>
      <c r="F292" s="1922"/>
      <c r="G292" s="1922"/>
      <c r="H292" s="1922"/>
      <c r="I292" s="1922"/>
      <c r="J292" s="1922"/>
      <c r="K292" s="1922"/>
      <c r="L292" s="1922"/>
      <c r="M292" s="1145"/>
      <c r="N292" s="39"/>
      <c r="O292" s="39"/>
      <c r="P292" s="376"/>
      <c r="Q292" s="397"/>
      <c r="R292" s="376"/>
      <c r="S292" s="39"/>
    </row>
    <row r="293" spans="1:19" s="44" customFormat="1" ht="12.75">
      <c r="A293" s="188"/>
      <c r="B293" s="1922"/>
      <c r="C293" s="1922"/>
      <c r="D293" s="1922"/>
      <c r="E293" s="1922"/>
      <c r="F293" s="1922"/>
      <c r="G293" s="1922"/>
      <c r="H293" s="1922"/>
      <c r="I293" s="1922"/>
      <c r="J293" s="1922"/>
      <c r="K293" s="1922"/>
      <c r="L293" s="1922"/>
      <c r="M293" s="1145"/>
      <c r="N293" s="39"/>
      <c r="O293" s="39"/>
      <c r="P293" s="376"/>
      <c r="Q293" s="397"/>
      <c r="R293" s="376"/>
      <c r="S293" s="39"/>
    </row>
    <row r="294" spans="1:19" s="44" customFormat="1" ht="12.75">
      <c r="A294" s="188"/>
      <c r="B294" s="39"/>
      <c r="C294" s="39"/>
      <c r="D294" s="39"/>
      <c r="E294" s="39"/>
      <c r="F294" s="39"/>
      <c r="G294" s="39"/>
      <c r="H294" s="39"/>
      <c r="I294" s="39"/>
      <c r="J294" s="1739"/>
      <c r="K294" s="192"/>
      <c r="L294" s="1740"/>
      <c r="M294" s="1145"/>
      <c r="N294" s="39"/>
      <c r="O294" s="39"/>
      <c r="P294" s="376"/>
      <c r="Q294" s="397"/>
      <c r="R294" s="376"/>
      <c r="S294" s="39"/>
    </row>
    <row r="295" spans="1:19" s="44" customFormat="1" ht="12.75">
      <c r="A295" s="1821">
        <f>+A290+1</f>
        <v>13</v>
      </c>
      <c r="B295" s="157" t="s">
        <v>1160</v>
      </c>
      <c r="C295" s="39"/>
      <c r="D295" s="39"/>
      <c r="E295" s="39"/>
      <c r="F295" s="39"/>
      <c r="G295" s="39"/>
      <c r="H295" s="39"/>
      <c r="I295" s="39"/>
      <c r="J295" s="1739"/>
      <c r="K295" s="192"/>
      <c r="L295" s="1740"/>
      <c r="M295" s="1145"/>
      <c r="N295" s="39"/>
      <c r="O295" s="39"/>
      <c r="P295" s="376"/>
      <c r="Q295" s="397"/>
      <c r="R295" s="376"/>
      <c r="S295" s="39"/>
    </row>
    <row r="296" spans="1:19" s="44" customFormat="1" ht="12.75">
      <c r="A296" s="188"/>
      <c r="B296" s="39"/>
      <c r="C296" s="39"/>
      <c r="D296" s="39"/>
      <c r="E296" s="39"/>
      <c r="F296" s="39"/>
      <c r="G296" s="39"/>
      <c r="H296" s="39"/>
      <c r="I296" s="39"/>
      <c r="J296" s="1739"/>
      <c r="K296" s="192"/>
      <c r="L296" s="1740"/>
      <c r="M296" s="1145"/>
      <c r="N296" s="39"/>
      <c r="O296" s="39"/>
      <c r="P296" s="376"/>
      <c r="Q296" s="397"/>
      <c r="R296" s="376"/>
      <c r="S296" s="39"/>
    </row>
    <row r="297" spans="1:19" s="44" customFormat="1" ht="13.15" customHeight="1">
      <c r="A297" s="188"/>
      <c r="B297" s="2060" t="s">
        <v>1161</v>
      </c>
      <c r="C297" s="2060"/>
      <c r="D297" s="2060"/>
      <c r="E297" s="2060"/>
      <c r="F297" s="2060"/>
      <c r="G297" s="2060"/>
      <c r="H297" s="2060"/>
      <c r="I297" s="2060"/>
      <c r="J297" s="2060"/>
      <c r="K297" s="2060"/>
      <c r="L297" s="2060"/>
      <c r="M297" s="1145"/>
      <c r="N297" s="39"/>
      <c r="O297" s="39"/>
      <c r="P297" s="376"/>
      <c r="Q297" s="397"/>
      <c r="R297" s="376"/>
      <c r="S297" s="39"/>
    </row>
    <row r="298" spans="1:19" s="44" customFormat="1" ht="12.75">
      <c r="A298" s="188"/>
      <c r="B298" s="2060"/>
      <c r="C298" s="2060"/>
      <c r="D298" s="2060"/>
      <c r="E298" s="2060"/>
      <c r="F298" s="2060"/>
      <c r="G298" s="2060"/>
      <c r="H298" s="2060"/>
      <c r="I298" s="2060"/>
      <c r="J298" s="2060"/>
      <c r="K298" s="2060"/>
      <c r="L298" s="2060"/>
      <c r="M298" s="1145"/>
      <c r="N298" s="39"/>
      <c r="O298" s="39"/>
      <c r="P298" s="376"/>
      <c r="Q298" s="397"/>
      <c r="R298" s="376"/>
      <c r="S298" s="39"/>
    </row>
    <row r="299" spans="1:19" s="44" customFormat="1" ht="12.75">
      <c r="A299" s="188"/>
      <c r="B299" s="2060"/>
      <c r="C299" s="2060"/>
      <c r="D299" s="2060"/>
      <c r="E299" s="2060"/>
      <c r="F299" s="2060"/>
      <c r="G299" s="2060"/>
      <c r="H299" s="2060"/>
      <c r="I299" s="2060"/>
      <c r="J299" s="2060"/>
      <c r="K299" s="2060"/>
      <c r="L299" s="2060"/>
      <c r="M299" s="1145"/>
      <c r="N299" s="39"/>
      <c r="O299" s="39"/>
      <c r="P299" s="376"/>
      <c r="Q299" s="397"/>
      <c r="R299" s="376"/>
      <c r="S299" s="39"/>
    </row>
    <row r="300" spans="1:19" s="44" customFormat="1" ht="12.75">
      <c r="A300" s="188"/>
      <c r="B300" s="2060"/>
      <c r="C300" s="2060"/>
      <c r="D300" s="2060"/>
      <c r="E300" s="2060"/>
      <c r="F300" s="2060"/>
      <c r="G300" s="2060"/>
      <c r="H300" s="2060"/>
      <c r="I300" s="2060"/>
      <c r="J300" s="2060"/>
      <c r="K300" s="2060"/>
      <c r="L300" s="2060"/>
      <c r="M300" s="1145"/>
      <c r="N300" s="39"/>
      <c r="O300" s="39"/>
      <c r="P300" s="376"/>
      <c r="Q300" s="397"/>
      <c r="R300" s="376"/>
      <c r="S300" s="39"/>
    </row>
    <row r="301" spans="1:19" s="44" customFormat="1" ht="12.75">
      <c r="A301" s="188"/>
      <c r="B301" s="2060"/>
      <c r="C301" s="2060"/>
      <c r="D301" s="2060"/>
      <c r="E301" s="2060"/>
      <c r="F301" s="2060"/>
      <c r="G301" s="2060"/>
      <c r="H301" s="2060"/>
      <c r="I301" s="2060"/>
      <c r="J301" s="2060"/>
      <c r="K301" s="2060"/>
      <c r="L301" s="2060"/>
      <c r="M301" s="1145"/>
      <c r="N301" s="39"/>
      <c r="O301" s="39"/>
      <c r="P301" s="376"/>
      <c r="Q301" s="397"/>
      <c r="R301" s="376"/>
      <c r="S301" s="39"/>
    </row>
    <row r="302" spans="1:19" s="44" customFormat="1" ht="26.45" customHeight="1">
      <c r="A302" s="188"/>
      <c r="B302" s="2060"/>
      <c r="C302" s="2060"/>
      <c r="D302" s="2060"/>
      <c r="E302" s="2060"/>
      <c r="F302" s="2060"/>
      <c r="G302" s="2060"/>
      <c r="H302" s="2060"/>
      <c r="I302" s="2060"/>
      <c r="J302" s="2060"/>
      <c r="K302" s="2060"/>
      <c r="L302" s="2060"/>
      <c r="M302" s="1145"/>
      <c r="N302" s="39"/>
      <c r="O302" s="39"/>
      <c r="P302" s="376"/>
      <c r="Q302" s="397"/>
      <c r="R302" s="376"/>
      <c r="S302" s="39"/>
    </row>
    <row r="303" spans="1:19" s="44" customFormat="1" ht="12.75">
      <c r="A303" s="188"/>
      <c r="B303" s="2060"/>
      <c r="C303" s="2060"/>
      <c r="D303" s="2060"/>
      <c r="E303" s="2060"/>
      <c r="F303" s="2060"/>
      <c r="G303" s="2060"/>
      <c r="H303" s="2060"/>
      <c r="I303" s="2060"/>
      <c r="J303" s="2060"/>
      <c r="K303" s="2060"/>
      <c r="L303" s="2060"/>
      <c r="M303" s="1145"/>
      <c r="N303" s="39"/>
      <c r="O303" s="39"/>
      <c r="P303" s="376"/>
      <c r="Q303" s="397"/>
      <c r="R303" s="376"/>
      <c r="S303" s="39"/>
    </row>
    <row r="304" spans="1:19" s="44" customFormat="1" ht="12.75">
      <c r="A304" s="188"/>
      <c r="B304" s="2060"/>
      <c r="C304" s="2060"/>
      <c r="D304" s="2060"/>
      <c r="E304" s="2060"/>
      <c r="F304" s="2060"/>
      <c r="G304" s="2060"/>
      <c r="H304" s="2060"/>
      <c r="I304" s="2060"/>
      <c r="J304" s="2060"/>
      <c r="K304" s="2060"/>
      <c r="L304" s="2060"/>
      <c r="M304" s="1145"/>
      <c r="N304" s="39"/>
      <c r="O304" s="39"/>
      <c r="P304" s="376"/>
      <c r="Q304" s="397"/>
      <c r="R304" s="376"/>
      <c r="S304" s="39"/>
    </row>
    <row r="305" spans="1:22" s="44" customFormat="1" ht="12.75">
      <c r="A305" s="188"/>
      <c r="B305" s="2085" t="s">
        <v>1162</v>
      </c>
      <c r="C305" s="2085"/>
      <c r="D305" s="2085"/>
      <c r="E305" s="2085"/>
      <c r="F305" s="2085"/>
      <c r="G305" s="2085"/>
      <c r="H305" s="2085"/>
      <c r="I305" s="2085"/>
      <c r="J305" s="2085"/>
      <c r="K305" s="2085"/>
      <c r="L305" s="2085"/>
      <c r="M305" s="1145"/>
      <c r="N305" s="39"/>
      <c r="O305" s="39"/>
      <c r="P305" s="376"/>
      <c r="Q305" s="397"/>
      <c r="R305" s="376"/>
      <c r="S305" s="39"/>
    </row>
    <row r="306" spans="1:22" s="44" customFormat="1" ht="12.75">
      <c r="A306" s="188"/>
      <c r="B306" s="2085"/>
      <c r="C306" s="2085"/>
      <c r="D306" s="2085"/>
      <c r="E306" s="2085"/>
      <c r="F306" s="2085"/>
      <c r="G306" s="2085"/>
      <c r="H306" s="2085"/>
      <c r="I306" s="2085"/>
      <c r="J306" s="2085"/>
      <c r="K306" s="2085"/>
      <c r="L306" s="2085"/>
      <c r="M306" s="1145"/>
      <c r="N306" s="39"/>
      <c r="O306" s="39"/>
      <c r="P306" s="376"/>
      <c r="Q306" s="397"/>
      <c r="R306" s="376"/>
      <c r="S306" s="39"/>
    </row>
    <row r="307" spans="1:22" s="44" customFormat="1" ht="12.75">
      <c r="A307" s="188"/>
      <c r="B307" s="39"/>
      <c r="C307" s="39"/>
      <c r="D307" s="39"/>
      <c r="E307" s="39"/>
      <c r="F307" s="39"/>
      <c r="G307" s="39"/>
      <c r="H307" s="39"/>
      <c r="I307" s="39"/>
      <c r="J307" s="1739"/>
      <c r="K307" s="192"/>
      <c r="L307" s="1740"/>
      <c r="M307" s="1145"/>
      <c r="N307" s="39"/>
      <c r="O307" s="39"/>
      <c r="P307" s="376"/>
      <c r="Q307" s="397"/>
      <c r="R307" s="376"/>
      <c r="S307" s="39"/>
    </row>
    <row r="308" spans="1:22" s="44" customFormat="1" ht="12.75">
      <c r="A308" s="188"/>
      <c r="B308" s="1922" t="s">
        <v>2115</v>
      </c>
      <c r="C308" s="1922"/>
      <c r="D308" s="1922"/>
      <c r="E308" s="1922"/>
      <c r="F308" s="1922"/>
      <c r="G308" s="1922"/>
      <c r="H308" s="1922"/>
      <c r="I308" s="1922"/>
      <c r="J308" s="1922"/>
      <c r="K308" s="1922"/>
      <c r="L308" s="1922"/>
      <c r="M308" s="1145"/>
      <c r="N308" s="39"/>
      <c r="O308" s="39"/>
      <c r="P308" s="376"/>
      <c r="Q308" s="397"/>
      <c r="R308" s="376"/>
      <c r="S308" s="39"/>
    </row>
    <row r="309" spans="1:22" s="44" customFormat="1" ht="12.75">
      <c r="A309" s="188"/>
      <c r="B309" s="1922"/>
      <c r="C309" s="1922"/>
      <c r="D309" s="1922"/>
      <c r="E309" s="1922"/>
      <c r="F309" s="1922"/>
      <c r="G309" s="1922"/>
      <c r="H309" s="1922"/>
      <c r="I309" s="1922"/>
      <c r="J309" s="1922"/>
      <c r="K309" s="1922"/>
      <c r="L309" s="1922"/>
      <c r="M309" s="1145"/>
      <c r="N309" s="39"/>
      <c r="O309" s="39"/>
      <c r="P309" s="376"/>
      <c r="Q309" s="397"/>
      <c r="R309" s="376"/>
      <c r="S309" s="39"/>
    </row>
    <row r="310" spans="1:22" s="44" customFormat="1" ht="12.75">
      <c r="A310" s="188"/>
      <c r="B310" s="39"/>
      <c r="C310" s="39"/>
      <c r="D310" s="39"/>
      <c r="E310" s="39"/>
      <c r="F310" s="39"/>
      <c r="G310" s="39"/>
      <c r="H310" s="39"/>
      <c r="I310" s="39"/>
      <c r="J310" s="1739"/>
      <c r="K310" s="192"/>
      <c r="L310" s="1740"/>
      <c r="M310" s="1145"/>
      <c r="N310" s="39"/>
      <c r="O310" s="39"/>
      <c r="P310" s="376"/>
      <c r="Q310" s="397"/>
      <c r="R310" s="376"/>
      <c r="S310" s="39"/>
    </row>
    <row r="311" spans="1:22" s="44" customFormat="1" ht="12.75">
      <c r="A311" s="188"/>
      <c r="B311" s="1922" t="s">
        <v>1164</v>
      </c>
      <c r="C311" s="1922"/>
      <c r="D311" s="1922"/>
      <c r="E311" s="1922"/>
      <c r="F311" s="1922"/>
      <c r="G311" s="1922"/>
      <c r="H311" s="1922"/>
      <c r="I311" s="1922"/>
      <c r="J311" s="1922"/>
      <c r="K311" s="1922"/>
      <c r="L311" s="1922"/>
      <c r="M311" s="1145"/>
      <c r="N311" s="39"/>
      <c r="O311" s="39"/>
      <c r="P311" s="376"/>
      <c r="Q311" s="397"/>
      <c r="R311" s="376"/>
      <c r="S311" s="39"/>
    </row>
    <row r="312" spans="1:22" s="44" customFormat="1" ht="12.75">
      <c r="A312" s="188"/>
      <c r="B312" s="1922"/>
      <c r="C312" s="1922"/>
      <c r="D312" s="1922"/>
      <c r="E312" s="1922"/>
      <c r="F312" s="1922"/>
      <c r="G312" s="1922"/>
      <c r="H312" s="1922"/>
      <c r="I312" s="1922"/>
      <c r="J312" s="1922"/>
      <c r="K312" s="1922"/>
      <c r="L312" s="1922"/>
      <c r="M312" s="1145"/>
      <c r="N312" s="39"/>
      <c r="O312" s="39"/>
      <c r="P312" s="376"/>
      <c r="Q312" s="397"/>
      <c r="R312" s="376"/>
      <c r="S312" s="39"/>
    </row>
    <row r="313" spans="1:22" s="44" customFormat="1" ht="7.5" customHeight="1">
      <c r="A313" s="188"/>
      <c r="B313" s="39"/>
      <c r="C313" s="39"/>
      <c r="D313" s="39"/>
      <c r="E313" s="39"/>
      <c r="F313" s="39"/>
      <c r="G313" s="39"/>
      <c r="H313" s="39"/>
      <c r="I313" s="39"/>
      <c r="J313" s="1739"/>
      <c r="K313" s="192"/>
      <c r="L313" s="1740"/>
      <c r="M313" s="1145"/>
      <c r="N313" s="39"/>
      <c r="O313" s="39"/>
      <c r="P313" s="376"/>
      <c r="Q313" s="397"/>
      <c r="R313" s="376"/>
      <c r="S313" s="39"/>
    </row>
    <row r="314" spans="1:22" s="74" customFormat="1" ht="12.75">
      <c r="A314" s="360"/>
      <c r="B314" s="1868"/>
      <c r="C314" s="1868"/>
      <c r="D314" s="1868"/>
      <c r="E314" s="1868"/>
      <c r="F314" s="1868"/>
      <c r="G314" s="1868"/>
      <c r="H314" s="1868"/>
      <c r="I314" s="1868"/>
      <c r="J314" s="1868"/>
      <c r="K314" s="1868"/>
      <c r="L314" s="1868"/>
      <c r="M314" s="2080"/>
      <c r="N314" s="2080"/>
      <c r="O314" s="2080"/>
      <c r="P314" s="2080"/>
      <c r="Q314" s="2080"/>
      <c r="R314" s="2080"/>
      <c r="S314" s="2080"/>
      <c r="T314" s="401"/>
      <c r="U314" s="401"/>
      <c r="V314" s="401"/>
    </row>
    <row r="315" spans="1:22" s="74" customFormat="1" ht="12.75">
      <c r="A315" s="408">
        <f>+A295+0.1</f>
        <v>13.1</v>
      </c>
      <c r="B315" s="402" t="s">
        <v>1165</v>
      </c>
      <c r="C315" s="1868"/>
      <c r="D315" s="1868"/>
      <c r="E315" s="1868"/>
      <c r="F315" s="1868"/>
      <c r="G315" s="1868"/>
      <c r="H315" s="1868"/>
      <c r="I315" s="1868"/>
      <c r="J315" s="1868"/>
      <c r="K315" s="1868"/>
      <c r="L315" s="1868"/>
      <c r="M315" s="1854"/>
      <c r="N315" s="1878"/>
      <c r="O315" s="1878"/>
      <c r="P315" s="1878"/>
      <c r="Q315" s="1878"/>
      <c r="R315" s="1878"/>
      <c r="S315" s="1878"/>
      <c r="T315" s="401"/>
      <c r="U315" s="401"/>
      <c r="V315" s="401"/>
    </row>
    <row r="316" spans="1:22" s="74" customFormat="1" ht="12.75">
      <c r="A316" s="381"/>
      <c r="B316" s="402"/>
      <c r="C316" s="1868"/>
      <c r="D316" s="1868"/>
      <c r="E316" s="1868"/>
      <c r="F316" s="1868"/>
      <c r="G316" s="1868"/>
      <c r="H316" s="1868"/>
      <c r="I316" s="1868"/>
      <c r="J316" s="1868"/>
      <c r="K316" s="1868"/>
      <c r="L316" s="1868"/>
      <c r="M316" s="1854"/>
      <c r="N316" s="1878"/>
      <c r="O316" s="1878"/>
      <c r="P316" s="1878"/>
      <c r="Q316" s="1878"/>
      <c r="R316" s="1878"/>
      <c r="S316" s="1878"/>
      <c r="T316" s="401"/>
      <c r="U316" s="401"/>
      <c r="V316" s="401"/>
    </row>
    <row r="317" spans="1:22" s="74" customFormat="1" ht="12.75">
      <c r="A317" s="360"/>
      <c r="B317" s="1868"/>
      <c r="C317" s="1868"/>
      <c r="D317" s="1868"/>
      <c r="E317" s="1868"/>
      <c r="F317" s="1868"/>
      <c r="G317" s="1868"/>
      <c r="H317" s="1868"/>
      <c r="I317" s="1868"/>
      <c r="J317" s="752" t="s">
        <v>1809</v>
      </c>
      <c r="K317" s="89"/>
      <c r="L317" s="752" t="s">
        <v>1809</v>
      </c>
      <c r="M317" s="2081"/>
      <c r="N317" s="2081"/>
      <c r="O317" s="2081"/>
      <c r="P317" s="2081"/>
      <c r="Q317" s="2081"/>
      <c r="R317" s="2081"/>
      <c r="S317" s="2081"/>
      <c r="T317" s="401"/>
      <c r="U317" s="401"/>
      <c r="V317" s="401"/>
    </row>
    <row r="318" spans="1:22" s="74" customFormat="1" ht="12.75">
      <c r="A318" s="1868"/>
      <c r="B318" s="1868"/>
      <c r="C318" s="1868"/>
      <c r="D318" s="1868"/>
      <c r="E318" s="1868"/>
      <c r="F318" s="1868"/>
      <c r="G318" s="1868"/>
      <c r="I318" s="173"/>
      <c r="J318" s="173" t="s">
        <v>1952</v>
      </c>
      <c r="K318" s="174"/>
      <c r="L318" s="173" t="s">
        <v>1535</v>
      </c>
      <c r="M318" s="2081"/>
      <c r="N318" s="2081"/>
      <c r="O318" s="2081"/>
      <c r="P318" s="2081"/>
      <c r="Q318" s="2081"/>
      <c r="R318" s="2081"/>
      <c r="S318" s="2081"/>
      <c r="T318" s="401"/>
      <c r="U318" s="401"/>
      <c r="V318" s="401"/>
    </row>
    <row r="319" spans="1:22" s="74" customFormat="1" ht="12.75">
      <c r="A319" s="1868"/>
      <c r="B319" s="403"/>
      <c r="C319" s="1868"/>
      <c r="D319" s="1868"/>
      <c r="E319" s="1868"/>
      <c r="F319" s="1868"/>
      <c r="G319" s="1868"/>
      <c r="H319" s="173"/>
      <c r="I319" s="159"/>
      <c r="J319" s="2075" t="s">
        <v>1310</v>
      </c>
      <c r="K319" s="2075"/>
      <c r="L319" s="2075"/>
      <c r="M319" s="1837"/>
      <c r="N319" s="396"/>
      <c r="O319" s="396"/>
      <c r="P319" s="204"/>
      <c r="Q319" s="159"/>
      <c r="R319" s="159"/>
      <c r="S319" s="1868"/>
      <c r="T319" s="401"/>
      <c r="U319" s="401"/>
      <c r="V319" s="401"/>
    </row>
    <row r="320" spans="1:22" s="74" customFormat="1" ht="8.25" customHeight="1">
      <c r="A320" s="1868"/>
      <c r="B320" s="403"/>
      <c r="C320" s="1868"/>
      <c r="D320" s="1868"/>
      <c r="E320" s="1868"/>
      <c r="F320" s="1868"/>
      <c r="G320" s="1868"/>
      <c r="H320" s="173"/>
      <c r="I320" s="159"/>
      <c r="J320" s="1873"/>
      <c r="K320" s="1873"/>
      <c r="L320" s="1873"/>
      <c r="M320" s="1837"/>
      <c r="N320" s="396"/>
      <c r="O320" s="396"/>
      <c r="P320" s="204"/>
      <c r="Q320" s="159"/>
      <c r="R320" s="159"/>
      <c r="S320" s="1868"/>
      <c r="T320" s="401"/>
      <c r="U320" s="401"/>
      <c r="V320" s="401"/>
    </row>
    <row r="321" spans="1:22" s="74" customFormat="1" ht="12.75">
      <c r="A321" s="404"/>
      <c r="B321" s="405" t="s">
        <v>1166</v>
      </c>
      <c r="C321" s="1868"/>
      <c r="D321" s="1868"/>
      <c r="E321" s="1868"/>
      <c r="F321" s="1868"/>
      <c r="G321" s="1868"/>
      <c r="H321" s="159"/>
      <c r="I321" s="159"/>
      <c r="J321" s="368"/>
      <c r="K321" s="368"/>
      <c r="L321" s="368"/>
      <c r="M321" s="1837"/>
      <c r="N321" s="406"/>
      <c r="O321" s="406"/>
      <c r="P321" s="159"/>
      <c r="Q321" s="159"/>
      <c r="R321" s="159"/>
      <c r="S321" s="1868"/>
      <c r="T321" s="407"/>
      <c r="U321" s="407"/>
      <c r="V321" s="407"/>
    </row>
    <row r="322" spans="1:22" s="74" customFormat="1" ht="12.75">
      <c r="A322" s="404"/>
      <c r="B322" s="887" t="s">
        <v>1708</v>
      </c>
      <c r="C322" s="1868"/>
      <c r="D322" s="1868"/>
      <c r="E322" s="1868"/>
      <c r="F322" s="1868"/>
      <c r="G322" s="1868"/>
      <c r="H322" s="159"/>
      <c r="I322" s="159"/>
      <c r="J322" s="1873">
        <v>27350.54825</v>
      </c>
      <c r="K322" s="368"/>
      <c r="L322" s="368">
        <v>6702</v>
      </c>
      <c r="M322" s="1837"/>
      <c r="N322" s="406"/>
      <c r="O322" s="406"/>
      <c r="P322" s="159"/>
      <c r="Q322" s="159"/>
      <c r="R322" s="159"/>
      <c r="S322" s="1868"/>
      <c r="T322" s="407"/>
      <c r="U322" s="407"/>
      <c r="V322" s="407"/>
    </row>
    <row r="323" spans="1:22" s="74" customFormat="1" ht="12.75">
      <c r="A323" s="404"/>
      <c r="B323" s="887" t="s">
        <v>1736</v>
      </c>
      <c r="C323" s="1868"/>
      <c r="D323" s="1868"/>
      <c r="E323" s="1868"/>
      <c r="F323" s="1868"/>
      <c r="G323" s="1868"/>
      <c r="H323" s="159"/>
      <c r="I323" s="159"/>
      <c r="J323" s="1873">
        <v>2603.5365499999998</v>
      </c>
      <c r="K323" s="368"/>
      <c r="L323" s="368">
        <v>492.42942999999997</v>
      </c>
      <c r="M323" s="1837"/>
      <c r="N323" s="406"/>
      <c r="O323" s="406"/>
      <c r="P323" s="159"/>
      <c r="Q323" s="159"/>
      <c r="R323" s="159"/>
      <c r="S323" s="1868"/>
      <c r="T323" s="407"/>
      <c r="U323" s="407"/>
      <c r="V323" s="407"/>
    </row>
    <row r="324" spans="1:22" s="74" customFormat="1" ht="12.75">
      <c r="A324" s="404"/>
      <c r="B324" s="887" t="s">
        <v>1707</v>
      </c>
      <c r="C324" s="1868"/>
      <c r="D324" s="1868"/>
      <c r="E324" s="1868"/>
      <c r="F324" s="1868"/>
      <c r="G324" s="1868"/>
      <c r="H324" s="159"/>
      <c r="I324" s="159"/>
      <c r="J324" s="1873">
        <v>2328.7939999999999</v>
      </c>
      <c r="K324" s="368"/>
      <c r="L324" s="368">
        <v>633</v>
      </c>
      <c r="M324" s="1837"/>
      <c r="N324" s="406"/>
      <c r="O324" s="406"/>
      <c r="P324" s="159"/>
      <c r="Q324" s="159"/>
      <c r="R324" s="159"/>
      <c r="S324" s="1868"/>
      <c r="T324" s="407"/>
      <c r="U324" s="407"/>
      <c r="V324" s="407"/>
    </row>
    <row r="325" spans="1:22" s="74" customFormat="1" ht="8.25" customHeight="1">
      <c r="A325" s="404"/>
      <c r="B325" s="630"/>
      <c r="C325" s="1868"/>
      <c r="D325" s="1868"/>
      <c r="E325" s="1868"/>
      <c r="F325" s="1868"/>
      <c r="G325" s="1868"/>
      <c r="H325" s="159"/>
      <c r="I325" s="159"/>
      <c r="J325" s="368"/>
      <c r="K325" s="368"/>
      <c r="L325" s="368"/>
      <c r="M325" s="1837"/>
      <c r="N325" s="406"/>
      <c r="O325" s="406"/>
      <c r="P325" s="159"/>
      <c r="Q325" s="159"/>
      <c r="R325" s="159"/>
      <c r="S325" s="1868"/>
      <c r="T325" s="407"/>
      <c r="U325" s="407"/>
      <c r="V325" s="407"/>
    </row>
    <row r="326" spans="1:22" s="74" customFormat="1" ht="12.75">
      <c r="A326" s="404"/>
      <c r="B326" s="402" t="s">
        <v>1167</v>
      </c>
      <c r="C326" s="1868"/>
      <c r="D326" s="1868"/>
      <c r="E326" s="1868"/>
      <c r="F326" s="1868"/>
      <c r="G326" s="1868"/>
      <c r="H326" s="159"/>
      <c r="I326" s="159"/>
      <c r="J326" s="368"/>
      <c r="K326" s="368"/>
      <c r="L326" s="368"/>
      <c r="M326" s="1837"/>
      <c r="N326" s="406"/>
      <c r="O326" s="406"/>
      <c r="P326" s="159"/>
      <c r="Q326" s="159"/>
      <c r="R326" s="159"/>
      <c r="S326" s="1868"/>
      <c r="T326" s="407"/>
      <c r="U326" s="407"/>
      <c r="V326" s="407"/>
    </row>
    <row r="327" spans="1:22" s="74" customFormat="1" ht="12.75">
      <c r="A327" s="404"/>
      <c r="B327" s="887" t="s">
        <v>1708</v>
      </c>
      <c r="C327" s="1868"/>
      <c r="D327" s="1868"/>
      <c r="E327" s="1868"/>
      <c r="F327" s="1868"/>
      <c r="G327" s="1868"/>
      <c r="H327" s="159"/>
      <c r="I327" s="159"/>
      <c r="J327" s="1873">
        <v>2206.4499999999998</v>
      </c>
      <c r="K327" s="368"/>
      <c r="L327" s="368">
        <v>412.35</v>
      </c>
      <c r="M327" s="1837"/>
      <c r="N327" s="406"/>
      <c r="O327" s="406"/>
      <c r="P327" s="159"/>
      <c r="Q327" s="159"/>
      <c r="R327" s="159"/>
      <c r="S327" s="1868"/>
      <c r="T327" s="407"/>
      <c r="U327" s="407"/>
      <c r="V327" s="407"/>
    </row>
    <row r="328" spans="1:22" s="74" customFormat="1" ht="12.75">
      <c r="A328" s="404"/>
      <c r="B328" s="887" t="s">
        <v>1168</v>
      </c>
      <c r="C328" s="1868"/>
      <c r="D328" s="1868"/>
      <c r="E328" s="1868"/>
      <c r="F328" s="1868"/>
      <c r="G328" s="1868"/>
      <c r="H328" s="159"/>
      <c r="I328" s="159"/>
      <c r="J328" s="1873">
        <v>749.49400000000003</v>
      </c>
      <c r="K328" s="368"/>
      <c r="L328" s="368">
        <v>0</v>
      </c>
      <c r="M328" s="1837"/>
      <c r="N328" s="406"/>
      <c r="O328" s="406"/>
      <c r="P328" s="159"/>
      <c r="Q328" s="159"/>
      <c r="R328" s="159"/>
      <c r="S328" s="1868"/>
      <c r="T328" s="407"/>
      <c r="U328" s="407"/>
      <c r="V328" s="407"/>
    </row>
    <row r="329" spans="1:22" s="74" customFormat="1" ht="12.75" hidden="1">
      <c r="A329" s="404"/>
      <c r="B329" s="402" t="s">
        <v>1438</v>
      </c>
      <c r="C329" s="1868"/>
      <c r="D329" s="1868"/>
      <c r="E329" s="1868"/>
      <c r="F329" s="1868"/>
      <c r="G329" s="1868"/>
      <c r="H329" s="159"/>
      <c r="I329" s="159"/>
      <c r="J329" s="1873"/>
      <c r="K329" s="368"/>
      <c r="L329" s="368"/>
      <c r="M329" s="1837"/>
      <c r="N329" s="406"/>
      <c r="O329" s="406"/>
      <c r="P329" s="159"/>
      <c r="Q329" s="159"/>
      <c r="R329" s="159"/>
      <c r="S329" s="1868"/>
      <c r="T329" s="407"/>
      <c r="U329" s="407"/>
      <c r="V329" s="407"/>
    </row>
    <row r="330" spans="1:22" s="74" customFormat="1" ht="12.75" hidden="1">
      <c r="A330" s="404"/>
      <c r="B330" s="887" t="s">
        <v>1470</v>
      </c>
      <c r="C330" s="1868"/>
      <c r="D330" s="1868"/>
      <c r="E330" s="1868"/>
      <c r="F330" s="1868"/>
      <c r="G330" s="1868"/>
      <c r="H330" s="344"/>
      <c r="I330" s="344"/>
      <c r="J330" s="1873">
        <v>0</v>
      </c>
      <c r="K330" s="368"/>
      <c r="L330" s="368">
        <v>62</v>
      </c>
      <c r="M330" s="1837"/>
      <c r="N330" s="406">
        <f>ROUND(M330/1000,0)</f>
        <v>0</v>
      </c>
      <c r="O330" s="406"/>
      <c r="P330" s="159"/>
      <c r="Q330" s="159"/>
      <c r="R330" s="159"/>
      <c r="S330" s="1868"/>
      <c r="T330" s="407"/>
      <c r="U330" s="407"/>
      <c r="V330" s="407"/>
    </row>
    <row r="331" spans="1:22" s="74" customFormat="1" ht="8.25" customHeight="1">
      <c r="A331" s="404"/>
      <c r="B331" s="630"/>
      <c r="C331" s="1868"/>
      <c r="D331" s="1868"/>
      <c r="E331" s="1868"/>
      <c r="F331" s="1868"/>
      <c r="G331" s="1868"/>
      <c r="H331" s="159"/>
      <c r="I331" s="159"/>
      <c r="J331" s="1873"/>
      <c r="K331" s="368"/>
      <c r="L331" s="368"/>
      <c r="M331" s="1837"/>
      <c r="N331" s="406"/>
      <c r="O331" s="406"/>
      <c r="P331" s="159"/>
      <c r="Q331" s="159"/>
      <c r="R331" s="159"/>
      <c r="S331" s="1868"/>
      <c r="T331" s="407"/>
      <c r="U331" s="407"/>
      <c r="V331" s="407"/>
    </row>
    <row r="332" spans="1:22" s="74" customFormat="1" ht="12.75">
      <c r="A332" s="404"/>
      <c r="B332" s="637" t="s">
        <v>1169</v>
      </c>
      <c r="C332" s="1868"/>
      <c r="D332" s="1868"/>
      <c r="E332" s="1868"/>
      <c r="F332" s="1868"/>
      <c r="G332" s="1868"/>
      <c r="H332" s="159"/>
      <c r="I332" s="159"/>
      <c r="J332" s="1873"/>
      <c r="K332" s="368"/>
      <c r="L332" s="368"/>
      <c r="M332" s="1837"/>
      <c r="N332" s="406"/>
      <c r="O332" s="406"/>
      <c r="P332" s="159"/>
      <c r="Q332" s="159"/>
      <c r="R332" s="159"/>
      <c r="S332" s="1868"/>
      <c r="T332" s="407"/>
      <c r="U332" s="407"/>
      <c r="V332" s="407"/>
    </row>
    <row r="333" spans="1:22" s="74" customFormat="1" ht="12.75">
      <c r="A333" s="404"/>
      <c r="B333" s="887" t="s">
        <v>1709</v>
      </c>
      <c r="C333" s="1868"/>
      <c r="D333" s="1868"/>
      <c r="E333" s="1868"/>
      <c r="F333" s="1868"/>
      <c r="G333" s="1868"/>
      <c r="H333" s="159"/>
      <c r="I333" s="159"/>
      <c r="J333" s="1675">
        <v>55.605910000000002</v>
      </c>
      <c r="K333" s="368"/>
      <c r="L333" s="368">
        <v>104</v>
      </c>
      <c r="M333" s="1837"/>
      <c r="N333" s="406"/>
      <c r="O333" s="406"/>
      <c r="P333" s="159"/>
      <c r="Q333" s="159"/>
      <c r="R333" s="159"/>
      <c r="S333" s="1868"/>
      <c r="T333" s="407"/>
      <c r="U333" s="407"/>
      <c r="V333" s="407"/>
    </row>
    <row r="334" spans="1:22" s="74" customFormat="1" ht="12.75">
      <c r="A334" s="404"/>
      <c r="B334" s="887" t="s">
        <v>1170</v>
      </c>
      <c r="C334" s="1868"/>
      <c r="D334" s="1868"/>
      <c r="E334" s="1868"/>
      <c r="F334" s="1868"/>
      <c r="G334" s="1868"/>
      <c r="H334" s="159"/>
      <c r="I334" s="159"/>
      <c r="J334" s="1675">
        <v>10.028</v>
      </c>
      <c r="K334" s="368"/>
      <c r="L334" s="368">
        <v>6</v>
      </c>
      <c r="M334" s="1837"/>
      <c r="N334" s="406"/>
      <c r="O334" s="406"/>
      <c r="P334" s="159"/>
      <c r="Q334" s="159"/>
      <c r="R334" s="159"/>
      <c r="S334" s="1868"/>
      <c r="T334" s="407"/>
      <c r="U334" s="407"/>
      <c r="V334" s="407"/>
    </row>
    <row r="335" spans="1:22" s="74" customFormat="1" ht="12.75">
      <c r="A335" s="404"/>
      <c r="B335" s="887"/>
      <c r="C335" s="1868"/>
      <c r="D335" s="1868"/>
      <c r="E335" s="1868"/>
      <c r="F335" s="1868"/>
      <c r="G335" s="1868"/>
      <c r="H335" s="159"/>
      <c r="I335" s="159"/>
      <c r="J335" s="1675"/>
      <c r="K335" s="368"/>
      <c r="L335" s="368"/>
      <c r="M335" s="1837"/>
      <c r="N335" s="406"/>
      <c r="O335" s="406"/>
      <c r="P335" s="159"/>
      <c r="Q335" s="159"/>
      <c r="R335" s="159"/>
      <c r="S335" s="1868"/>
      <c r="T335" s="407"/>
      <c r="U335" s="407"/>
      <c r="V335" s="407"/>
    </row>
    <row r="336" spans="1:22" s="74" customFormat="1" ht="12.75">
      <c r="A336" s="404"/>
      <c r="B336" s="402" t="s">
        <v>2085</v>
      </c>
      <c r="C336" s="1868"/>
      <c r="D336" s="1868"/>
      <c r="E336" s="1868"/>
      <c r="F336" s="1868"/>
      <c r="G336" s="1868"/>
      <c r="H336" s="159"/>
      <c r="I336" s="159"/>
      <c r="J336" s="1873"/>
      <c r="K336" s="1873"/>
      <c r="L336" s="1873"/>
      <c r="M336" s="1837"/>
      <c r="N336" s="406"/>
      <c r="O336" s="406"/>
      <c r="P336" s="159"/>
      <c r="Q336" s="159"/>
      <c r="R336" s="159"/>
      <c r="S336" s="1868"/>
      <c r="T336" s="407"/>
      <c r="U336" s="407"/>
      <c r="V336" s="407"/>
    </row>
    <row r="337" spans="1:22" s="74" customFormat="1" ht="12.75">
      <c r="A337" s="404"/>
      <c r="B337" s="887" t="s">
        <v>1470</v>
      </c>
      <c r="C337" s="1868"/>
      <c r="D337" s="1868"/>
      <c r="E337" s="1868"/>
      <c r="F337" s="1868"/>
      <c r="G337" s="1868"/>
      <c r="H337" s="344"/>
      <c r="I337" s="344"/>
      <c r="J337" s="1873">
        <v>47.052999999999997</v>
      </c>
      <c r="K337" s="368"/>
      <c r="L337" s="368">
        <v>0</v>
      </c>
      <c r="M337" s="1837"/>
      <c r="N337" s="406"/>
      <c r="O337" s="406"/>
      <c r="P337" s="159"/>
      <c r="Q337" s="159"/>
      <c r="R337" s="159"/>
      <c r="S337" s="1868"/>
      <c r="T337" s="407"/>
      <c r="U337" s="407"/>
      <c r="V337" s="407"/>
    </row>
    <row r="338" spans="1:22" s="74" customFormat="1" ht="12.75">
      <c r="A338" s="404"/>
      <c r="B338" s="630"/>
      <c r="C338" s="1868"/>
      <c r="D338" s="1868"/>
      <c r="E338" s="1868"/>
      <c r="F338" s="1868"/>
      <c r="G338" s="1868"/>
      <c r="H338" s="159"/>
      <c r="I338" s="159"/>
      <c r="J338" s="1873"/>
      <c r="K338" s="1873"/>
      <c r="L338" s="1873"/>
      <c r="M338" s="1837"/>
      <c r="N338" s="406"/>
      <c r="O338" s="406"/>
      <c r="P338" s="159"/>
      <c r="Q338" s="159"/>
      <c r="R338" s="159"/>
      <c r="S338" s="1868"/>
      <c r="T338" s="407"/>
      <c r="U338" s="407"/>
      <c r="V338" s="407"/>
    </row>
    <row r="339" spans="1:22" s="74" customFormat="1" ht="12.75">
      <c r="A339" s="404"/>
      <c r="B339" s="1707" t="s">
        <v>2005</v>
      </c>
      <c r="C339" s="1868"/>
      <c r="D339" s="1868"/>
      <c r="E339" s="1868"/>
      <c r="F339" s="1868"/>
      <c r="G339" s="1868"/>
      <c r="H339" s="159"/>
      <c r="I339" s="159"/>
      <c r="J339" s="1873"/>
      <c r="K339" s="1873"/>
      <c r="L339" s="1873"/>
      <c r="M339" s="1837"/>
      <c r="N339" s="406"/>
      <c r="O339" s="406"/>
      <c r="P339" s="159"/>
      <c r="Q339" s="159"/>
      <c r="R339" s="159"/>
      <c r="S339" s="1868"/>
      <c r="T339" s="407"/>
      <c r="U339" s="407"/>
      <c r="V339" s="407"/>
    </row>
    <row r="340" spans="1:22" s="74" customFormat="1" ht="12.75">
      <c r="A340" s="404"/>
      <c r="B340" s="630" t="s">
        <v>2124</v>
      </c>
      <c r="C340" s="1868"/>
      <c r="D340" s="1868"/>
      <c r="E340" s="1868"/>
      <c r="F340" s="1868"/>
      <c r="G340" s="1868"/>
      <c r="H340" s="159"/>
      <c r="I340" s="159"/>
      <c r="J340" s="1873">
        <v>387935</v>
      </c>
      <c r="K340" s="1873"/>
      <c r="L340" s="1873"/>
      <c r="M340" s="1837"/>
      <c r="N340" s="406"/>
      <c r="O340" s="406"/>
      <c r="P340" s="159"/>
      <c r="Q340" s="159"/>
      <c r="R340" s="159"/>
      <c r="S340" s="1868"/>
      <c r="T340" s="407"/>
      <c r="U340" s="407"/>
      <c r="V340" s="407"/>
    </row>
    <row r="341" spans="1:22" s="74" customFormat="1" ht="12.75">
      <c r="A341" s="404"/>
      <c r="B341" s="630" t="s">
        <v>2127</v>
      </c>
      <c r="C341" s="1868"/>
      <c r="D341" s="1868"/>
      <c r="E341" s="1868"/>
      <c r="F341" s="1868"/>
      <c r="G341" s="1868"/>
      <c r="H341" s="159"/>
      <c r="I341" s="159"/>
      <c r="J341" s="1873">
        <v>401290</v>
      </c>
      <c r="K341" s="1873"/>
      <c r="L341" s="1873"/>
      <c r="M341" s="1837">
        <f>10933500+4971000</f>
        <v>15904500</v>
      </c>
      <c r="N341" s="406"/>
      <c r="O341" s="406"/>
      <c r="P341" s="159"/>
      <c r="Q341" s="159"/>
      <c r="R341" s="159"/>
      <c r="S341" s="1868"/>
      <c r="T341" s="407"/>
      <c r="U341" s="407"/>
      <c r="V341" s="407"/>
    </row>
    <row r="342" spans="1:22" s="74" customFormat="1" ht="12.75">
      <c r="A342" s="404"/>
      <c r="B342" s="630"/>
      <c r="C342" s="1868"/>
      <c r="D342" s="1868"/>
      <c r="E342" s="1868"/>
      <c r="F342" s="1868"/>
      <c r="G342" s="1868"/>
      <c r="H342" s="159"/>
      <c r="I342" s="159"/>
      <c r="J342" s="1873"/>
      <c r="K342" s="1873"/>
      <c r="L342" s="1873"/>
      <c r="M342" s="1837"/>
      <c r="N342" s="406"/>
      <c r="O342" s="406"/>
      <c r="P342" s="159"/>
      <c r="Q342" s="159"/>
      <c r="R342" s="159"/>
      <c r="S342" s="1868"/>
      <c r="T342" s="407"/>
      <c r="U342" s="407"/>
      <c r="V342" s="407"/>
    </row>
    <row r="343" spans="1:22" s="74" customFormat="1" ht="12.75">
      <c r="A343" s="404"/>
      <c r="B343" s="1704" t="s">
        <v>1836</v>
      </c>
      <c r="C343" s="1868"/>
      <c r="D343" s="1868"/>
      <c r="E343" s="1868"/>
      <c r="F343" s="1868"/>
      <c r="G343" s="1868"/>
      <c r="H343" s="159"/>
      <c r="I343" s="159"/>
      <c r="J343" s="1873"/>
      <c r="K343" s="1873"/>
      <c r="L343" s="1873"/>
      <c r="M343" s="1837"/>
      <c r="N343" s="406"/>
      <c r="O343" s="406"/>
      <c r="P343" s="159"/>
      <c r="Q343" s="159"/>
      <c r="R343" s="159"/>
      <c r="S343" s="1868"/>
      <c r="T343" s="407"/>
      <c r="U343" s="407"/>
      <c r="V343" s="407"/>
    </row>
    <row r="344" spans="1:22" s="74" customFormat="1" ht="12.75">
      <c r="A344" s="404"/>
      <c r="B344" s="630" t="s">
        <v>2125</v>
      </c>
      <c r="C344" s="1868"/>
      <c r="D344" s="1868"/>
      <c r="E344" s="1868"/>
      <c r="F344" s="1868"/>
      <c r="G344" s="1868"/>
      <c r="H344" s="159"/>
      <c r="I344" s="159"/>
      <c r="J344" s="1873">
        <v>168967</v>
      </c>
      <c r="K344" s="1873"/>
      <c r="L344" s="1873"/>
      <c r="M344" s="1837">
        <f>1237500+341500</f>
        <v>1579000</v>
      </c>
      <c r="N344" s="406"/>
      <c r="O344" s="406"/>
      <c r="P344" s="159"/>
      <c r="Q344" s="159"/>
      <c r="R344" s="159"/>
      <c r="S344" s="1868"/>
      <c r="T344" s="407"/>
      <c r="U344" s="407"/>
      <c r="V344" s="407"/>
    </row>
    <row r="345" spans="1:22" s="74" customFormat="1" ht="12.75">
      <c r="A345" s="404"/>
      <c r="B345" s="630" t="s">
        <v>2126</v>
      </c>
      <c r="C345" s="1868"/>
      <c r="D345" s="1868"/>
      <c r="E345" s="1868"/>
      <c r="F345" s="1868"/>
      <c r="G345" s="1868"/>
      <c r="H345" s="159"/>
      <c r="I345" s="159"/>
      <c r="J345" s="1873">
        <v>181440</v>
      </c>
      <c r="K345" s="1873"/>
      <c r="L345" s="1873"/>
      <c r="M345" s="1837"/>
      <c r="N345" s="406"/>
      <c r="O345" s="406"/>
      <c r="P345" s="159"/>
      <c r="Q345" s="159"/>
      <c r="R345" s="159"/>
      <c r="S345" s="1868"/>
      <c r="T345" s="407"/>
      <c r="U345" s="407"/>
      <c r="V345" s="407"/>
    </row>
    <row r="346" spans="1:22" s="74" customFormat="1" ht="12.75">
      <c r="A346" s="404"/>
      <c r="B346" s="630"/>
      <c r="C346" s="1868"/>
      <c r="D346" s="1868"/>
      <c r="E346" s="1868"/>
      <c r="F346" s="1868"/>
      <c r="G346" s="1868"/>
      <c r="H346" s="159"/>
      <c r="I346" s="159"/>
      <c r="J346" s="1873"/>
      <c r="K346" s="1873"/>
      <c r="L346" s="1873"/>
      <c r="M346" s="1837"/>
      <c r="N346" s="406"/>
      <c r="O346" s="406"/>
      <c r="P346" s="159"/>
      <c r="Q346" s="159"/>
      <c r="R346" s="159"/>
      <c r="S346" s="1868"/>
      <c r="T346" s="407"/>
      <c r="U346" s="407"/>
      <c r="V346" s="407"/>
    </row>
    <row r="347" spans="1:22" s="74" customFormat="1" ht="12.75">
      <c r="A347" s="404"/>
      <c r="B347" s="1707" t="s">
        <v>2006</v>
      </c>
      <c r="C347" s="1868"/>
      <c r="D347" s="1868"/>
      <c r="E347" s="1868"/>
      <c r="F347" s="1868"/>
      <c r="G347" s="1868"/>
      <c r="H347" s="159"/>
      <c r="I347" s="159"/>
      <c r="J347" s="1873"/>
      <c r="K347" s="1873"/>
      <c r="L347" s="1873"/>
      <c r="M347" s="1837"/>
      <c r="N347" s="406"/>
      <c r="O347" s="406"/>
      <c r="P347" s="159"/>
      <c r="Q347" s="159"/>
      <c r="R347" s="159"/>
      <c r="S347" s="1868"/>
      <c r="T347" s="407"/>
      <c r="U347" s="407"/>
      <c r="V347" s="407"/>
    </row>
    <row r="348" spans="1:22" s="74" customFormat="1" ht="12.75">
      <c r="A348" s="404"/>
      <c r="B348" s="630" t="s">
        <v>2128</v>
      </c>
      <c r="C348" s="1868"/>
      <c r="D348" s="1868"/>
      <c r="E348" s="1868"/>
      <c r="F348" s="1868"/>
      <c r="G348" s="1868"/>
      <c r="H348" s="159"/>
      <c r="I348" s="159"/>
      <c r="J348" s="1873">
        <v>22242</v>
      </c>
      <c r="K348" s="1873"/>
      <c r="L348" s="1873"/>
      <c r="M348" s="1837">
        <f>417500+3500</f>
        <v>421000</v>
      </c>
      <c r="N348" s="406"/>
      <c r="O348" s="406"/>
      <c r="P348" s="159"/>
      <c r="Q348" s="159"/>
      <c r="R348" s="159"/>
      <c r="S348" s="1868"/>
      <c r="T348" s="407"/>
      <c r="U348" s="407"/>
      <c r="V348" s="407"/>
    </row>
    <row r="349" spans="1:22" s="74" customFormat="1" ht="12.75">
      <c r="A349" s="404"/>
      <c r="B349" s="630" t="s">
        <v>2129</v>
      </c>
      <c r="C349" s="1868"/>
      <c r="D349" s="1868"/>
      <c r="E349" s="1868"/>
      <c r="F349" s="1868"/>
      <c r="G349" s="1868"/>
      <c r="H349" s="159"/>
      <c r="I349" s="159"/>
      <c r="J349" s="1873">
        <v>22126</v>
      </c>
      <c r="K349" s="1873"/>
      <c r="L349" s="1873"/>
      <c r="M349" s="1837"/>
      <c r="N349" s="406"/>
      <c r="O349" s="406"/>
      <c r="P349" s="159"/>
      <c r="Q349" s="159"/>
      <c r="R349" s="159"/>
      <c r="S349" s="1868"/>
      <c r="T349" s="407"/>
      <c r="U349" s="407"/>
      <c r="V349" s="407"/>
    </row>
    <row r="350" spans="1:22" s="74" customFormat="1" ht="12.75">
      <c r="A350" s="404"/>
      <c r="B350" s="630"/>
      <c r="C350" s="1868"/>
      <c r="D350" s="1868"/>
      <c r="E350" s="1868"/>
      <c r="F350" s="1868"/>
      <c r="G350" s="1868"/>
      <c r="H350" s="159"/>
      <c r="I350" s="159"/>
      <c r="J350" s="1873"/>
      <c r="K350" s="1873"/>
      <c r="L350" s="1873"/>
      <c r="M350" s="1837"/>
      <c r="N350" s="406"/>
      <c r="O350" s="406"/>
      <c r="P350" s="159"/>
      <c r="Q350" s="159"/>
      <c r="R350" s="159"/>
      <c r="S350" s="1868"/>
      <c r="T350" s="407"/>
      <c r="U350" s="407"/>
      <c r="V350" s="407"/>
    </row>
    <row r="351" spans="1:22" s="74" customFormat="1" ht="12.75">
      <c r="A351" s="404"/>
      <c r="B351" s="1707" t="s">
        <v>1095</v>
      </c>
      <c r="C351" s="1868"/>
      <c r="D351" s="1868"/>
      <c r="E351" s="1868"/>
      <c r="F351" s="1868"/>
      <c r="G351" s="1868"/>
      <c r="H351" s="159"/>
      <c r="I351" s="159"/>
      <c r="J351" s="1873"/>
      <c r="K351" s="1873"/>
      <c r="L351" s="1873"/>
      <c r="M351" s="1837"/>
      <c r="N351" s="406"/>
      <c r="O351" s="406"/>
      <c r="P351" s="159"/>
      <c r="Q351" s="159"/>
      <c r="R351" s="159"/>
      <c r="S351" s="1868"/>
      <c r="T351" s="407"/>
      <c r="U351" s="407"/>
      <c r="V351" s="407"/>
    </row>
    <row r="352" spans="1:22" s="74" customFormat="1" ht="12.75">
      <c r="A352" s="404"/>
      <c r="B352" s="630" t="s">
        <v>2130</v>
      </c>
      <c r="C352" s="1868"/>
      <c r="D352" s="1868"/>
      <c r="E352" s="1868"/>
      <c r="F352" s="1868"/>
      <c r="G352" s="1868"/>
      <c r="H352" s="159"/>
      <c r="I352" s="159"/>
      <c r="J352" s="1873">
        <v>60527</v>
      </c>
      <c r="K352" s="1873"/>
      <c r="L352" s="1873"/>
      <c r="M352" s="1837"/>
      <c r="N352" s="406"/>
      <c r="O352" s="406"/>
      <c r="P352" s="159"/>
      <c r="Q352" s="159"/>
      <c r="R352" s="159"/>
      <c r="S352" s="1868"/>
      <c r="T352" s="407"/>
      <c r="U352" s="407"/>
      <c r="V352" s="407"/>
    </row>
    <row r="353" spans="1:22" s="74" customFormat="1" ht="12.75">
      <c r="A353" s="404"/>
      <c r="B353" s="630" t="s">
        <v>2131</v>
      </c>
      <c r="C353" s="1868"/>
      <c r="D353" s="1868"/>
      <c r="E353" s="1868"/>
      <c r="F353" s="1868"/>
      <c r="G353" s="1868"/>
      <c r="H353" s="159"/>
      <c r="I353" s="159"/>
      <c r="J353" s="1873">
        <v>63894</v>
      </c>
      <c r="K353" s="1873"/>
      <c r="L353" s="1873"/>
      <c r="M353" s="1837">
        <f>614000+39000</f>
        <v>653000</v>
      </c>
      <c r="N353" s="406"/>
      <c r="O353" s="406"/>
      <c r="P353" s="159"/>
      <c r="Q353" s="159"/>
      <c r="R353" s="159"/>
      <c r="S353" s="1868"/>
      <c r="T353" s="407"/>
      <c r="U353" s="407"/>
      <c r="V353" s="407"/>
    </row>
    <row r="354" spans="1:22" s="74" customFormat="1" ht="12.75">
      <c r="A354" s="404"/>
      <c r="B354" s="630"/>
      <c r="C354" s="1868"/>
      <c r="D354" s="1868"/>
      <c r="E354" s="1868"/>
      <c r="F354" s="1868"/>
      <c r="G354" s="1868"/>
      <c r="H354" s="159"/>
      <c r="I354" s="159"/>
      <c r="J354" s="1873"/>
      <c r="K354" s="1873"/>
      <c r="L354" s="1873"/>
      <c r="M354" s="1837"/>
      <c r="N354" s="406"/>
      <c r="O354" s="406"/>
      <c r="P354" s="159"/>
      <c r="Q354" s="159"/>
      <c r="R354" s="159"/>
      <c r="S354" s="1868"/>
      <c r="T354" s="407"/>
      <c r="U354" s="407"/>
      <c r="V354" s="407"/>
    </row>
    <row r="355" spans="1:22" s="74" customFormat="1" ht="12.75">
      <c r="A355" s="404"/>
      <c r="B355" s="1707" t="s">
        <v>2007</v>
      </c>
      <c r="C355" s="1868"/>
      <c r="D355" s="1868"/>
      <c r="E355" s="1868"/>
      <c r="F355" s="1868"/>
      <c r="G355" s="1868"/>
      <c r="H355" s="159"/>
      <c r="I355" s="159"/>
      <c r="J355" s="1873"/>
      <c r="K355" s="1873"/>
      <c r="L355" s="1873"/>
      <c r="M355" s="1837"/>
      <c r="N355" s="406"/>
      <c r="O355" s="406"/>
      <c r="P355" s="159"/>
      <c r="Q355" s="159"/>
      <c r="R355" s="159"/>
      <c r="S355" s="1868"/>
      <c r="T355" s="407"/>
      <c r="U355" s="407"/>
      <c r="V355" s="407"/>
    </row>
    <row r="356" spans="1:22" s="74" customFormat="1" ht="12.75">
      <c r="A356" s="1737"/>
      <c r="B356" s="630" t="s">
        <v>2132</v>
      </c>
      <c r="C356" s="1868"/>
      <c r="D356" s="1868"/>
      <c r="E356" s="1868"/>
      <c r="F356" s="1868"/>
      <c r="G356" s="1868"/>
      <c r="H356" s="159"/>
      <c r="I356" s="159"/>
      <c r="J356" s="1873">
        <v>2132</v>
      </c>
      <c r="K356" s="1873"/>
      <c r="L356" s="1873"/>
      <c r="M356" s="1837"/>
      <c r="N356" s="406"/>
      <c r="O356" s="406"/>
      <c r="P356" s="159"/>
      <c r="Q356" s="159"/>
      <c r="R356" s="159"/>
      <c r="S356" s="1868"/>
      <c r="T356" s="407"/>
      <c r="U356" s="407"/>
      <c r="V356" s="407"/>
    </row>
    <row r="357" spans="1:22" s="74" customFormat="1" ht="13.5" customHeight="1">
      <c r="A357" s="404"/>
      <c r="B357" s="630" t="s">
        <v>2133</v>
      </c>
      <c r="C357" s="1868"/>
      <c r="D357" s="1868"/>
      <c r="E357" s="1868"/>
      <c r="F357" s="1868"/>
      <c r="G357" s="1868"/>
      <c r="H357" s="159"/>
      <c r="I357" s="159"/>
      <c r="J357" s="1155">
        <v>6281</v>
      </c>
      <c r="K357" s="1868"/>
      <c r="L357" s="1868"/>
      <c r="M357" s="1837">
        <f>200500+454000</f>
        <v>654500</v>
      </c>
      <c r="N357" s="406"/>
      <c r="O357" s="406"/>
      <c r="P357" s="159"/>
      <c r="Q357" s="159"/>
      <c r="R357" s="159"/>
      <c r="S357" s="1868"/>
      <c r="T357" s="407"/>
      <c r="U357" s="407"/>
      <c r="V357" s="407"/>
    </row>
    <row r="358" spans="1:22" s="74" customFormat="1" ht="12.75" hidden="1" customHeight="1">
      <c r="A358" s="404"/>
      <c r="B358" s="402" t="s">
        <v>1443</v>
      </c>
      <c r="C358" s="1868"/>
      <c r="D358" s="1868"/>
      <c r="E358" s="1868"/>
      <c r="F358" s="1868"/>
      <c r="G358" s="1868"/>
      <c r="H358" s="159"/>
      <c r="I358" s="159"/>
      <c r="J358" s="1873"/>
      <c r="K358" s="368"/>
      <c r="L358" s="368"/>
      <c r="M358" s="1837"/>
      <c r="N358" s="406"/>
      <c r="O358" s="406"/>
      <c r="P358" s="159"/>
      <c r="Q358" s="159"/>
      <c r="R358" s="159"/>
      <c r="S358" s="1868"/>
      <c r="T358" s="407"/>
      <c r="U358" s="407"/>
      <c r="V358" s="407"/>
    </row>
    <row r="359" spans="1:22" s="74" customFormat="1" ht="12.75" hidden="1" customHeight="1">
      <c r="A359" s="404"/>
      <c r="B359" s="402" t="s">
        <v>1439</v>
      </c>
      <c r="C359" s="1868"/>
      <c r="D359" s="1868"/>
      <c r="E359" s="1868"/>
      <c r="F359" s="1868"/>
      <c r="G359" s="1868"/>
      <c r="H359" s="159"/>
      <c r="I359" s="159"/>
      <c r="J359" s="1873"/>
      <c r="K359" s="368"/>
      <c r="L359" s="368"/>
      <c r="M359" s="1837"/>
      <c r="N359" s="406"/>
      <c r="O359" s="406"/>
      <c r="P359" s="159"/>
      <c r="Q359" s="159"/>
      <c r="R359" s="159"/>
      <c r="S359" s="1868"/>
      <c r="T359" s="407"/>
      <c r="U359" s="407"/>
      <c r="V359" s="407"/>
    </row>
    <row r="360" spans="1:22" s="74" customFormat="1" ht="12.75" hidden="1" customHeight="1">
      <c r="A360" s="404"/>
      <c r="B360" s="887" t="s">
        <v>1711</v>
      </c>
      <c r="C360" s="1868"/>
      <c r="D360" s="1868"/>
      <c r="E360" s="1868"/>
      <c r="F360" s="1868"/>
      <c r="G360" s="1868"/>
      <c r="H360" s="159"/>
      <c r="I360" s="159"/>
      <c r="J360" s="1873">
        <f>ROUND('17.1'!J22,0)</f>
        <v>612</v>
      </c>
      <c r="K360" s="368"/>
      <c r="L360" s="368">
        <v>612</v>
      </c>
      <c r="M360" s="1837"/>
      <c r="N360" s="406"/>
      <c r="O360" s="406"/>
      <c r="P360" s="159"/>
      <c r="Q360" s="159"/>
      <c r="R360" s="159"/>
      <c r="S360" s="1868"/>
      <c r="T360" s="407"/>
      <c r="U360" s="407"/>
      <c r="V360" s="407"/>
    </row>
    <row r="361" spans="1:22" s="74" customFormat="1" ht="12.75" hidden="1" customHeight="1">
      <c r="A361" s="404"/>
      <c r="B361" s="887" t="s">
        <v>1683</v>
      </c>
      <c r="C361" s="1868"/>
      <c r="D361" s="1868"/>
      <c r="E361" s="1868"/>
      <c r="F361" s="1868"/>
      <c r="G361" s="1868"/>
      <c r="H361" s="159"/>
      <c r="I361" s="159"/>
      <c r="J361" s="1873">
        <v>0</v>
      </c>
      <c r="K361" s="368"/>
      <c r="L361" s="368">
        <v>0</v>
      </c>
      <c r="M361" s="1837"/>
      <c r="N361" s="406"/>
      <c r="O361" s="406"/>
      <c r="P361" s="159"/>
      <c r="Q361" s="159"/>
      <c r="R361" s="159"/>
      <c r="S361" s="1868"/>
      <c r="T361" s="407"/>
      <c r="U361" s="407"/>
      <c r="V361" s="407"/>
    </row>
    <row r="362" spans="1:22" s="74" customFormat="1" ht="13.5" hidden="1" customHeight="1">
      <c r="A362" s="404"/>
      <c r="B362" s="630"/>
      <c r="C362" s="1868"/>
      <c r="D362" s="1868"/>
      <c r="E362" s="1868"/>
      <c r="F362" s="1868"/>
      <c r="G362" s="1868"/>
      <c r="H362" s="159"/>
      <c r="I362" s="159"/>
      <c r="J362" s="1873"/>
      <c r="K362" s="368"/>
      <c r="L362" s="368"/>
      <c r="M362" s="1837"/>
      <c r="N362" s="406"/>
      <c r="O362" s="406"/>
      <c r="P362" s="159"/>
      <c r="Q362" s="159"/>
      <c r="R362" s="159"/>
      <c r="S362" s="1868"/>
      <c r="T362" s="407"/>
      <c r="U362" s="407"/>
      <c r="V362" s="407"/>
    </row>
    <row r="363" spans="1:22" s="74" customFormat="1" ht="12.75" hidden="1" customHeight="1">
      <c r="A363" s="404"/>
      <c r="B363" s="630"/>
      <c r="C363" s="1868"/>
      <c r="D363" s="1868"/>
      <c r="E363" s="1868"/>
      <c r="F363" s="1868"/>
      <c r="G363" s="1868"/>
      <c r="I363" s="173"/>
      <c r="J363" s="173" t="s">
        <v>909</v>
      </c>
      <c r="K363" s="174"/>
      <c r="L363" s="173" t="s">
        <v>909</v>
      </c>
      <c r="M363" s="1837"/>
      <c r="N363" s="406"/>
      <c r="O363" s="406"/>
      <c r="P363" s="159"/>
      <c r="Q363" s="159"/>
      <c r="R363" s="159"/>
      <c r="S363" s="1868"/>
      <c r="T363" s="407"/>
      <c r="U363" s="407"/>
      <c r="V363" s="407"/>
    </row>
    <row r="364" spans="1:22" s="74" customFormat="1" ht="12.75" hidden="1" customHeight="1">
      <c r="A364" s="404"/>
      <c r="B364" s="630"/>
      <c r="C364" s="1868"/>
      <c r="D364" s="1868"/>
      <c r="E364" s="1868"/>
      <c r="F364" s="1868"/>
      <c r="G364" s="1868"/>
      <c r="H364" s="173" t="s">
        <v>910</v>
      </c>
      <c r="I364" s="159"/>
      <c r="J364" s="1306" t="s">
        <v>1310</v>
      </c>
      <c r="K364" s="1306"/>
      <c r="L364" s="1306" t="s">
        <v>1310</v>
      </c>
      <c r="M364" s="1837"/>
      <c r="N364" s="406"/>
      <c r="O364" s="406"/>
      <c r="P364" s="159"/>
      <c r="Q364" s="159"/>
      <c r="R364" s="159"/>
      <c r="S364" s="1868"/>
      <c r="T364" s="407"/>
      <c r="U364" s="407"/>
      <c r="V364" s="407"/>
    </row>
    <row r="365" spans="1:22" s="74" customFormat="1" ht="12.75" hidden="1" customHeight="1">
      <c r="A365" s="404"/>
      <c r="B365" s="402" t="s">
        <v>1171</v>
      </c>
      <c r="C365" s="1868"/>
      <c r="D365" s="1868"/>
      <c r="E365" s="1868"/>
      <c r="F365" s="1868"/>
      <c r="G365" s="1868"/>
      <c r="H365" s="159"/>
      <c r="I365" s="159"/>
      <c r="J365" s="1873"/>
      <c r="K365" s="368"/>
      <c r="L365" s="368"/>
      <c r="M365" s="1837"/>
      <c r="N365" s="406"/>
      <c r="O365" s="406"/>
      <c r="P365" s="159"/>
      <c r="Q365" s="159"/>
      <c r="R365" s="159"/>
      <c r="S365" s="1868"/>
      <c r="T365" s="407"/>
      <c r="U365" s="407"/>
      <c r="V365" s="407"/>
    </row>
    <row r="366" spans="1:22" s="74" customFormat="1" ht="12.75" hidden="1" customHeight="1">
      <c r="A366" s="404"/>
      <c r="B366" s="887" t="s">
        <v>1684</v>
      </c>
      <c r="C366" s="1868"/>
      <c r="D366" s="1868"/>
      <c r="E366" s="1868"/>
      <c r="F366" s="1868"/>
      <c r="G366" s="1868"/>
      <c r="H366" s="159"/>
      <c r="I366" s="159"/>
      <c r="J366" s="1873">
        <v>0</v>
      </c>
      <c r="K366" s="368"/>
      <c r="L366" s="368">
        <v>0</v>
      </c>
      <c r="M366" s="1837"/>
      <c r="N366" s="406"/>
      <c r="O366" s="406"/>
      <c r="P366" s="159"/>
      <c r="Q366" s="159"/>
      <c r="R366" s="159"/>
      <c r="S366" s="1868"/>
      <c r="T366" s="407"/>
      <c r="U366" s="407"/>
      <c r="V366" s="407"/>
    </row>
    <row r="367" spans="1:22" s="74" customFormat="1" ht="12.75" hidden="1" customHeight="1">
      <c r="A367" s="404"/>
      <c r="B367" s="887" t="s">
        <v>1685</v>
      </c>
      <c r="C367" s="1868"/>
      <c r="D367" s="1868"/>
      <c r="E367" s="1868"/>
      <c r="F367" s="1868"/>
      <c r="G367" s="1868"/>
      <c r="H367" s="159"/>
      <c r="I367" s="159"/>
      <c r="J367" s="1873">
        <v>0</v>
      </c>
      <c r="K367" s="368"/>
      <c r="L367" s="368">
        <v>0</v>
      </c>
      <c r="M367" s="1837"/>
      <c r="N367" s="406"/>
      <c r="O367" s="406"/>
      <c r="P367" s="159"/>
      <c r="Q367" s="159"/>
      <c r="R367" s="159"/>
      <c r="S367" s="1868"/>
      <c r="T367" s="407"/>
      <c r="U367" s="407"/>
      <c r="V367" s="407"/>
    </row>
    <row r="368" spans="1:22" s="74" customFormat="1" ht="13.5" hidden="1" customHeight="1">
      <c r="A368" s="404"/>
      <c r="B368" s="630"/>
      <c r="C368" s="1868"/>
      <c r="D368" s="1868"/>
      <c r="E368" s="1868"/>
      <c r="F368" s="1868"/>
      <c r="G368" s="1868"/>
      <c r="H368" s="159"/>
      <c r="I368" s="159"/>
      <c r="J368" s="368"/>
      <c r="K368" s="368"/>
      <c r="L368" s="368"/>
      <c r="M368" s="1837"/>
      <c r="N368" s="406"/>
      <c r="O368" s="406"/>
      <c r="P368" s="159"/>
      <c r="Q368" s="159"/>
      <c r="R368" s="159"/>
      <c r="S368" s="1868"/>
      <c r="T368" s="407"/>
      <c r="U368" s="407"/>
      <c r="V368" s="407"/>
    </row>
    <row r="369" spans="1:22" s="74" customFormat="1" ht="12.75" hidden="1" customHeight="1">
      <c r="A369" s="404"/>
      <c r="B369" s="402" t="s">
        <v>1440</v>
      </c>
      <c r="C369" s="1868"/>
      <c r="D369" s="1868"/>
      <c r="E369" s="1868"/>
      <c r="F369" s="1868"/>
      <c r="G369" s="1868"/>
      <c r="H369" s="159"/>
      <c r="I369" s="159"/>
      <c r="J369" s="1873"/>
      <c r="K369" s="368"/>
      <c r="L369" s="368"/>
      <c r="M369" s="1837"/>
      <c r="N369" s="406"/>
      <c r="O369" s="406"/>
      <c r="P369" s="159"/>
      <c r="Q369" s="159"/>
      <c r="R369" s="159"/>
      <c r="S369" s="1868"/>
      <c r="T369" s="407"/>
      <c r="U369" s="407"/>
      <c r="V369" s="407"/>
    </row>
    <row r="370" spans="1:22" s="74" customFormat="1" ht="12.75" hidden="1" customHeight="1">
      <c r="A370" s="404"/>
      <c r="B370" s="887" t="s">
        <v>1712</v>
      </c>
      <c r="C370" s="1868"/>
      <c r="D370" s="1868"/>
      <c r="E370" s="1868"/>
      <c r="F370" s="1868"/>
      <c r="G370" s="1868"/>
      <c r="H370" s="159"/>
      <c r="I370" s="159"/>
      <c r="J370" s="1873">
        <f>ROUND('17.1'!J26,0)</f>
        <v>96789</v>
      </c>
      <c r="K370" s="368"/>
      <c r="L370" s="368">
        <v>96789</v>
      </c>
      <c r="M370" s="1837"/>
      <c r="N370" s="406"/>
      <c r="O370" s="406"/>
      <c r="P370" s="159"/>
      <c r="Q370" s="159"/>
      <c r="R370" s="159"/>
      <c r="S370" s="1868"/>
      <c r="T370" s="407"/>
      <c r="U370" s="407"/>
      <c r="V370" s="407"/>
    </row>
    <row r="371" spans="1:22" s="74" customFormat="1" ht="12.75" hidden="1" customHeight="1">
      <c r="A371" s="404"/>
      <c r="B371" s="887" t="s">
        <v>1713</v>
      </c>
      <c r="C371" s="1868"/>
      <c r="D371" s="1868"/>
      <c r="E371" s="1868"/>
      <c r="F371" s="1868"/>
      <c r="G371" s="1868"/>
      <c r="H371" s="159"/>
      <c r="I371" s="159"/>
      <c r="J371" s="1873">
        <f>ROUND('17.1'!L26,0)</f>
        <v>97101</v>
      </c>
      <c r="K371" s="368"/>
      <c r="L371" s="368">
        <v>97101</v>
      </c>
      <c r="M371" s="1837"/>
      <c r="N371" s="406"/>
      <c r="O371" s="406"/>
      <c r="P371" s="159"/>
      <c r="Q371" s="159"/>
      <c r="R371" s="159"/>
      <c r="S371" s="1868"/>
      <c r="T371" s="407"/>
      <c r="U371" s="407"/>
      <c r="V371" s="407"/>
    </row>
    <row r="372" spans="1:22" s="74" customFormat="1" ht="12.75" hidden="1" customHeight="1">
      <c r="A372" s="404"/>
      <c r="B372" s="630"/>
      <c r="C372" s="1868"/>
      <c r="D372" s="1868"/>
      <c r="E372" s="1868"/>
      <c r="F372" s="1868"/>
      <c r="G372" s="1868"/>
      <c r="H372" s="159"/>
      <c r="I372" s="159"/>
      <c r="J372" s="1873"/>
      <c r="K372" s="368"/>
      <c r="L372" s="368"/>
      <c r="M372" s="1837"/>
      <c r="N372" s="406"/>
      <c r="O372" s="406"/>
      <c r="P372" s="159"/>
      <c r="Q372" s="159"/>
      <c r="R372" s="159"/>
      <c r="S372" s="1868"/>
      <c r="T372" s="407"/>
      <c r="U372" s="407"/>
      <c r="V372" s="407"/>
    </row>
    <row r="373" spans="1:22" s="74" customFormat="1" ht="12.75" hidden="1" customHeight="1">
      <c r="A373" s="404"/>
      <c r="B373" s="402" t="s">
        <v>1655</v>
      </c>
      <c r="C373" s="1868"/>
      <c r="D373" s="1868"/>
      <c r="E373" s="1868"/>
      <c r="F373" s="1868"/>
      <c r="G373" s="1868"/>
      <c r="H373" s="159"/>
      <c r="I373" s="159"/>
      <c r="J373" s="1873"/>
      <c r="K373" s="368"/>
      <c r="L373" s="368"/>
      <c r="M373" s="1837"/>
      <c r="N373" s="406"/>
      <c r="O373" s="406"/>
      <c r="P373" s="159"/>
      <c r="Q373" s="159"/>
      <c r="R373" s="159"/>
      <c r="S373" s="1868"/>
      <c r="T373" s="407"/>
      <c r="U373" s="407"/>
      <c r="V373" s="407"/>
    </row>
    <row r="374" spans="1:22" s="74" customFormat="1" ht="12.75" hidden="1" customHeight="1">
      <c r="A374" s="404"/>
      <c r="B374" s="887" t="s">
        <v>1716</v>
      </c>
      <c r="C374" s="1868"/>
      <c r="D374" s="1868"/>
      <c r="E374" s="1868"/>
      <c r="F374" s="1868"/>
      <c r="G374" s="1868"/>
      <c r="H374" s="159"/>
      <c r="I374" s="159"/>
      <c r="J374" s="1873" t="e">
        <f>ROUND('17.1'!#REF!,0)</f>
        <v>#REF!</v>
      </c>
      <c r="K374" s="368"/>
      <c r="L374" s="368" t="e">
        <v>#REF!</v>
      </c>
      <c r="M374" s="1837"/>
      <c r="N374" s="406"/>
      <c r="O374" s="406"/>
      <c r="P374" s="159"/>
      <c r="Q374" s="159"/>
      <c r="R374" s="159"/>
      <c r="S374" s="1868"/>
      <c r="T374" s="407"/>
      <c r="U374" s="407"/>
      <c r="V374" s="407"/>
    </row>
    <row r="375" spans="1:22" s="74" customFormat="1" ht="12.75" hidden="1" customHeight="1">
      <c r="A375" s="404"/>
      <c r="B375" s="630"/>
      <c r="C375" s="1868"/>
      <c r="D375" s="1868"/>
      <c r="E375" s="1868"/>
      <c r="F375" s="1868"/>
      <c r="G375" s="1868"/>
      <c r="H375" s="159"/>
      <c r="I375" s="159"/>
      <c r="J375" s="1873"/>
      <c r="K375" s="368"/>
      <c r="L375" s="368"/>
      <c r="M375" s="1837"/>
      <c r="N375" s="406"/>
      <c r="O375" s="406"/>
      <c r="P375" s="159"/>
      <c r="Q375" s="159"/>
      <c r="R375" s="159"/>
      <c r="S375" s="1868"/>
      <c r="T375" s="407"/>
      <c r="U375" s="407"/>
      <c r="V375" s="407"/>
    </row>
    <row r="376" spans="1:22" s="74" customFormat="1" ht="12.75" hidden="1" customHeight="1">
      <c r="A376" s="404"/>
      <c r="B376" s="402" t="s">
        <v>1172</v>
      </c>
      <c r="C376" s="1868"/>
      <c r="D376" s="1868"/>
      <c r="E376" s="1868"/>
      <c r="F376" s="1868"/>
      <c r="G376" s="1868"/>
      <c r="H376" s="159"/>
      <c r="I376" s="159"/>
      <c r="J376" s="1873"/>
      <c r="K376" s="368"/>
      <c r="L376" s="368"/>
      <c r="M376" s="1837"/>
      <c r="N376" s="406"/>
      <c r="O376" s="406"/>
      <c r="P376" s="159"/>
      <c r="Q376" s="159"/>
      <c r="R376" s="159"/>
      <c r="S376" s="1868"/>
      <c r="T376" s="407"/>
      <c r="U376" s="407"/>
      <c r="V376" s="407"/>
    </row>
    <row r="377" spans="1:22" s="74" customFormat="1" ht="12.75" hidden="1" customHeight="1">
      <c r="A377" s="404"/>
      <c r="B377" s="887" t="s">
        <v>1714</v>
      </c>
      <c r="C377" s="1868"/>
      <c r="D377" s="1868"/>
      <c r="E377" s="1868"/>
      <c r="F377" s="1868"/>
      <c r="G377" s="1868"/>
      <c r="H377" s="159"/>
      <c r="I377" s="159"/>
      <c r="J377" s="1873">
        <f>ROUND('17.1'!J28,0)</f>
        <v>11852</v>
      </c>
      <c r="K377" s="368"/>
      <c r="L377" s="368">
        <v>11852</v>
      </c>
      <c r="M377" s="1837"/>
      <c r="N377" s="406"/>
      <c r="O377" s="406"/>
      <c r="P377" s="159"/>
      <c r="Q377" s="159"/>
      <c r="R377" s="159"/>
      <c r="S377" s="1868"/>
      <c r="T377" s="407"/>
      <c r="U377" s="407"/>
      <c r="V377" s="407"/>
    </row>
    <row r="378" spans="1:22" s="74" customFormat="1" ht="12.75" hidden="1" customHeight="1">
      <c r="A378" s="404"/>
      <c r="B378" s="887" t="s">
        <v>1715</v>
      </c>
      <c r="C378" s="1868"/>
      <c r="D378" s="1868"/>
      <c r="E378" s="1868"/>
      <c r="F378" s="1868"/>
      <c r="G378" s="1868"/>
      <c r="H378" s="159"/>
      <c r="I378" s="159"/>
      <c r="J378" s="1873">
        <f>ROUND('17.1'!L28,0)</f>
        <v>11869</v>
      </c>
      <c r="K378" s="368"/>
      <c r="L378" s="368">
        <v>11869</v>
      </c>
      <c r="M378" s="1837"/>
      <c r="N378" s="406"/>
      <c r="O378" s="406"/>
      <c r="P378" s="159"/>
      <c r="Q378" s="159"/>
      <c r="R378" s="159"/>
      <c r="S378" s="1868"/>
      <c r="T378" s="407"/>
      <c r="U378" s="407"/>
      <c r="V378" s="407"/>
    </row>
    <row r="379" spans="1:22" s="74" customFormat="1" ht="18.75" hidden="1" customHeight="1">
      <c r="A379" s="404"/>
      <c r="B379" s="630"/>
      <c r="C379" s="1868"/>
      <c r="D379" s="1868"/>
      <c r="E379" s="1868"/>
      <c r="F379" s="1868"/>
      <c r="G379" s="1868"/>
      <c r="H379" s="159"/>
      <c r="I379" s="159"/>
      <c r="J379" s="1873"/>
      <c r="K379" s="368"/>
      <c r="L379" s="368"/>
      <c r="M379" s="1837"/>
      <c r="N379" s="406"/>
      <c r="O379" s="406"/>
      <c r="P379" s="159"/>
      <c r="Q379" s="159"/>
      <c r="R379" s="159"/>
      <c r="S379" s="1868"/>
      <c r="T379" s="407"/>
      <c r="U379" s="407"/>
      <c r="V379" s="407"/>
    </row>
    <row r="380" spans="1:22" s="74" customFormat="1" ht="18.75" customHeight="1">
      <c r="A380" s="404"/>
      <c r="B380" s="630"/>
      <c r="C380" s="1868"/>
      <c r="D380" s="1868"/>
      <c r="E380" s="1868"/>
      <c r="F380" s="1868"/>
      <c r="G380" s="1868"/>
      <c r="H380" s="159"/>
      <c r="I380" s="159"/>
      <c r="J380" s="1873"/>
      <c r="K380" s="368"/>
      <c r="L380" s="368"/>
      <c r="M380" s="1837"/>
      <c r="N380" s="406"/>
      <c r="O380" s="406"/>
      <c r="P380" s="159"/>
      <c r="Q380" s="159"/>
      <c r="R380" s="159"/>
      <c r="S380" s="1868"/>
      <c r="T380" s="407"/>
      <c r="U380" s="407"/>
      <c r="V380" s="407"/>
    </row>
    <row r="381" spans="1:22" s="74" customFormat="1" ht="18.75" customHeight="1">
      <c r="A381" s="408">
        <f>A315+0.1</f>
        <v>13.2</v>
      </c>
      <c r="B381" s="402" t="s">
        <v>1173</v>
      </c>
      <c r="C381" s="1868"/>
      <c r="D381" s="1868"/>
      <c r="E381" s="1868"/>
      <c r="F381" s="1868"/>
      <c r="G381" s="1868"/>
      <c r="H381" s="159"/>
      <c r="I381" s="159"/>
      <c r="J381" s="1873"/>
      <c r="K381" s="368"/>
      <c r="L381" s="368"/>
      <c r="M381" s="1837"/>
      <c r="N381" s="406"/>
      <c r="O381" s="406"/>
      <c r="P381" s="159"/>
      <c r="Q381" s="159"/>
      <c r="R381" s="159"/>
      <c r="S381" s="1868"/>
      <c r="T381" s="407"/>
      <c r="U381" s="407"/>
      <c r="V381" s="407"/>
    </row>
    <row r="382" spans="1:22" s="74" customFormat="1" ht="12.75">
      <c r="C382" s="1868"/>
      <c r="D382" s="1868"/>
      <c r="E382" s="1868"/>
      <c r="F382" s="1868"/>
      <c r="G382" s="1868"/>
      <c r="H382" s="159"/>
      <c r="I382" s="159"/>
      <c r="J382" s="752" t="s">
        <v>1809</v>
      </c>
      <c r="K382" s="89"/>
      <c r="L382" s="752" t="s">
        <v>1314</v>
      </c>
      <c r="M382" s="1837"/>
      <c r="N382" s="406"/>
      <c r="O382" s="406"/>
      <c r="P382" s="159"/>
      <c r="Q382" s="159"/>
      <c r="R382" s="159"/>
      <c r="S382" s="1868"/>
      <c r="T382" s="407"/>
      <c r="U382" s="407"/>
      <c r="V382" s="407"/>
    </row>
    <row r="383" spans="1:22" s="74" customFormat="1" ht="12.75">
      <c r="A383" s="404"/>
      <c r="B383" s="630"/>
      <c r="C383" s="1868"/>
      <c r="D383" s="1868"/>
      <c r="E383" s="1868"/>
      <c r="F383" s="1868"/>
      <c r="G383" s="1868"/>
      <c r="H383" s="159"/>
      <c r="I383" s="159"/>
      <c r="J383" s="173" t="s">
        <v>1952</v>
      </c>
      <c r="K383" s="174"/>
      <c r="L383" s="173" t="s">
        <v>1952</v>
      </c>
      <c r="M383" s="1837"/>
      <c r="N383" s="406"/>
      <c r="O383" s="406"/>
      <c r="P383" s="159"/>
      <c r="Q383" s="159"/>
      <c r="R383" s="159"/>
      <c r="S383" s="1868"/>
      <c r="T383" s="407"/>
      <c r="U383" s="407"/>
      <c r="V383" s="407"/>
    </row>
    <row r="384" spans="1:22" s="74" customFormat="1" ht="12.75">
      <c r="A384" s="404"/>
      <c r="B384" s="405" t="s">
        <v>1166</v>
      </c>
      <c r="C384" s="1868"/>
      <c r="D384" s="1868"/>
      <c r="E384" s="1868"/>
      <c r="F384" s="1868"/>
      <c r="G384" s="1868"/>
      <c r="H384" s="159"/>
      <c r="I384" s="159"/>
      <c r="J384" s="2075" t="s">
        <v>1310</v>
      </c>
      <c r="K384" s="2075"/>
      <c r="L384" s="2075"/>
      <c r="M384" s="1837"/>
      <c r="N384" s="406"/>
      <c r="O384" s="406"/>
      <c r="P384" s="159"/>
      <c r="Q384" s="159"/>
      <c r="R384" s="159"/>
      <c r="S384" s="1868"/>
      <c r="T384" s="407"/>
      <c r="U384" s="407"/>
      <c r="V384" s="407"/>
    </row>
    <row r="385" spans="1:22" s="74" customFormat="1" ht="12.75">
      <c r="A385" s="404"/>
      <c r="C385" s="1868"/>
      <c r="D385" s="1868"/>
      <c r="E385" s="1868"/>
      <c r="F385" s="1868"/>
      <c r="G385" s="1868"/>
      <c r="H385" s="159"/>
      <c r="I385" s="159"/>
      <c r="M385" s="1837"/>
      <c r="N385" s="406"/>
      <c r="O385" s="406"/>
      <c r="P385" s="159"/>
      <c r="Q385" s="159"/>
      <c r="R385" s="159"/>
      <c r="S385" s="1868"/>
      <c r="T385" s="407"/>
      <c r="U385" s="407"/>
      <c r="V385" s="407"/>
    </row>
    <row r="386" spans="1:22" s="74" customFormat="1" ht="12.75">
      <c r="A386" s="404"/>
      <c r="B386" s="887" t="s">
        <v>1130</v>
      </c>
      <c r="C386" s="1868"/>
      <c r="D386" s="1868"/>
      <c r="E386" s="1868"/>
      <c r="F386" s="1868"/>
      <c r="G386" s="1868"/>
      <c r="H386" s="159"/>
      <c r="I386" s="159"/>
      <c r="J386" s="1873">
        <v>8968.1909600000017</v>
      </c>
      <c r="K386" s="368"/>
      <c r="L386" s="368">
        <v>6772</v>
      </c>
      <c r="M386" s="1837"/>
      <c r="N386" s="406"/>
      <c r="O386" s="406"/>
      <c r="P386" s="159"/>
      <c r="Q386" s="159"/>
      <c r="R386" s="159"/>
      <c r="S386" s="1868"/>
      <c r="T386" s="407"/>
      <c r="U386" s="407"/>
      <c r="V386" s="407"/>
    </row>
    <row r="387" spans="1:22" s="74" customFormat="1" ht="12.75">
      <c r="A387" s="404"/>
      <c r="B387" s="887" t="s">
        <v>1131</v>
      </c>
      <c r="C387" s="1868"/>
      <c r="D387" s="1868"/>
      <c r="E387" s="1868"/>
      <c r="F387" s="1868"/>
      <c r="G387" s="1868"/>
      <c r="H387" s="159"/>
      <c r="I387" s="159"/>
      <c r="J387" s="1873">
        <v>1165.6839299999999</v>
      </c>
      <c r="K387" s="368"/>
      <c r="L387" s="368">
        <v>880</v>
      </c>
      <c r="M387" s="1837"/>
      <c r="N387" s="406"/>
      <c r="O387" s="406"/>
      <c r="P387" s="159"/>
      <c r="Q387" s="159"/>
      <c r="R387" s="159"/>
      <c r="S387" s="1868"/>
      <c r="T387" s="407"/>
      <c r="U387" s="407"/>
      <c r="V387" s="407"/>
    </row>
    <row r="388" spans="1:22" s="74" customFormat="1" ht="12.75">
      <c r="A388" s="404"/>
      <c r="B388" s="887" t="s">
        <v>1132</v>
      </c>
      <c r="C388" s="1868"/>
      <c r="D388" s="1868"/>
      <c r="E388" s="1868"/>
      <c r="F388" s="1868"/>
      <c r="G388" s="1868"/>
      <c r="H388" s="159"/>
      <c r="I388" s="159"/>
      <c r="J388" s="1873">
        <v>231.94027000000003</v>
      </c>
      <c r="K388" s="368"/>
      <c r="L388" s="368">
        <v>343</v>
      </c>
      <c r="M388" s="1837"/>
      <c r="N388" s="406"/>
      <c r="O388" s="406"/>
      <c r="P388" s="159"/>
      <c r="Q388" s="159"/>
      <c r="R388" s="159"/>
      <c r="S388" s="1868"/>
      <c r="T388" s="407"/>
      <c r="U388" s="407"/>
      <c r="V388" s="407"/>
    </row>
    <row r="389" spans="1:22" s="74" customFormat="1" ht="12.75">
      <c r="A389" s="404"/>
      <c r="B389" s="887" t="s">
        <v>1136</v>
      </c>
      <c r="C389" s="1868"/>
      <c r="D389" s="1868"/>
      <c r="E389" s="1868"/>
      <c r="F389" s="1868"/>
      <c r="G389" s="1868"/>
      <c r="H389" s="159"/>
      <c r="I389" s="159"/>
      <c r="J389" s="1873">
        <v>813.18157000000008</v>
      </c>
      <c r="K389" s="368"/>
      <c r="L389" s="368">
        <v>852</v>
      </c>
      <c r="M389" s="1837"/>
      <c r="N389" s="406"/>
      <c r="O389" s="406"/>
      <c r="P389" s="159"/>
      <c r="Q389" s="159"/>
      <c r="R389" s="159"/>
      <c r="S389" s="1868"/>
      <c r="T389" s="407"/>
      <c r="U389" s="407"/>
      <c r="V389" s="407"/>
    </row>
    <row r="390" spans="1:22" s="74" customFormat="1" ht="12.75">
      <c r="A390" s="404"/>
      <c r="B390" s="887" t="s">
        <v>1695</v>
      </c>
      <c r="C390" s="1868"/>
      <c r="D390" s="1868"/>
      <c r="E390" s="1868"/>
      <c r="F390" s="1868"/>
      <c r="G390" s="1868"/>
      <c r="H390" s="159"/>
      <c r="I390" s="159"/>
      <c r="J390" s="1873">
        <v>2328.3396400000001</v>
      </c>
      <c r="K390" s="368"/>
      <c r="L390" s="368">
        <v>0</v>
      </c>
      <c r="M390" s="1837"/>
      <c r="N390" s="406"/>
      <c r="O390" s="406"/>
      <c r="P390" s="159"/>
      <c r="Q390" s="159"/>
      <c r="R390" s="159"/>
      <c r="S390" s="1868"/>
      <c r="T390" s="407"/>
      <c r="U390" s="407"/>
      <c r="V390" s="407"/>
    </row>
    <row r="391" spans="1:22" s="74" customFormat="1" ht="8.25" customHeight="1">
      <c r="A391" s="404"/>
      <c r="B391" s="630"/>
      <c r="C391" s="1868"/>
      <c r="D391" s="1868"/>
      <c r="E391" s="1868"/>
      <c r="F391" s="1868"/>
      <c r="G391" s="1868"/>
      <c r="H391" s="159"/>
      <c r="I391" s="159"/>
      <c r="J391" s="1873"/>
      <c r="K391" s="368"/>
      <c r="L391" s="368"/>
      <c r="M391" s="1837"/>
      <c r="N391" s="406"/>
      <c r="O391" s="406"/>
      <c r="P391" s="159"/>
      <c r="Q391" s="159"/>
      <c r="R391" s="159"/>
      <c r="S391" s="1868"/>
      <c r="T391" s="407"/>
      <c r="U391" s="407"/>
      <c r="V391" s="407"/>
    </row>
    <row r="392" spans="1:22" s="74" customFormat="1" ht="12.75">
      <c r="A392" s="404"/>
      <c r="B392" s="405" t="s">
        <v>1167</v>
      </c>
      <c r="C392" s="1868"/>
      <c r="D392" s="1868"/>
      <c r="E392" s="1868"/>
      <c r="F392" s="1868"/>
      <c r="G392" s="1868"/>
      <c r="H392" s="159"/>
      <c r="I392" s="159"/>
      <c r="J392" s="1873"/>
      <c r="K392" s="368"/>
      <c r="L392" s="368"/>
      <c r="M392" s="1837"/>
      <c r="N392" s="406"/>
      <c r="O392" s="406"/>
      <c r="P392" s="159"/>
      <c r="Q392" s="159"/>
      <c r="R392" s="159"/>
      <c r="S392" s="1868"/>
      <c r="T392" s="407"/>
      <c r="U392" s="407"/>
      <c r="V392" s="407"/>
    </row>
    <row r="393" spans="1:22" s="74" customFormat="1" ht="12.75">
      <c r="A393" s="404"/>
      <c r="B393" s="887" t="s">
        <v>1139</v>
      </c>
      <c r="C393" s="1868"/>
      <c r="D393" s="1868"/>
      <c r="E393" s="1868"/>
      <c r="F393" s="1868"/>
      <c r="G393" s="1868"/>
      <c r="H393" s="159"/>
      <c r="I393" s="159"/>
      <c r="J393" s="1873">
        <v>610.35473000000002</v>
      </c>
      <c r="K393" s="368"/>
      <c r="L393" s="368">
        <v>640</v>
      </c>
      <c r="M393" s="1837"/>
      <c r="N393" s="406"/>
      <c r="O393" s="406"/>
      <c r="P393" s="159"/>
      <c r="Q393" s="159"/>
      <c r="R393" s="159"/>
      <c r="S393" s="1868"/>
      <c r="T393" s="407"/>
      <c r="U393" s="407"/>
      <c r="V393" s="407"/>
    </row>
    <row r="394" spans="1:22" s="74" customFormat="1" ht="12.75">
      <c r="A394" s="404"/>
      <c r="B394" s="887" t="s">
        <v>1174</v>
      </c>
      <c r="C394" s="1868"/>
      <c r="D394" s="1868"/>
      <c r="E394" s="1868"/>
      <c r="F394" s="1868"/>
      <c r="G394" s="1868"/>
      <c r="H394" s="159"/>
      <c r="I394" s="159"/>
      <c r="J394" s="1873">
        <v>79.284999999999997</v>
      </c>
      <c r="K394" s="368"/>
      <c r="L394" s="368">
        <v>83</v>
      </c>
      <c r="M394" s="1837"/>
      <c r="N394" s="406"/>
      <c r="O394" s="406"/>
      <c r="P394" s="159"/>
      <c r="Q394" s="159"/>
      <c r="R394" s="159"/>
      <c r="S394" s="1868"/>
      <c r="T394" s="407"/>
      <c r="U394" s="407"/>
      <c r="V394" s="407"/>
    </row>
    <row r="395" spans="1:22" s="74" customFormat="1" ht="12.75">
      <c r="A395" s="404"/>
      <c r="B395" s="887" t="s">
        <v>1175</v>
      </c>
      <c r="C395" s="1868"/>
      <c r="D395" s="1868"/>
      <c r="E395" s="1868"/>
      <c r="F395" s="1868"/>
      <c r="G395" s="1868"/>
      <c r="H395" s="159"/>
      <c r="I395" s="159"/>
      <c r="J395" s="1873">
        <v>200</v>
      </c>
      <c r="K395" s="368"/>
      <c r="L395" s="368">
        <v>200</v>
      </c>
      <c r="M395" s="1837"/>
      <c r="N395" s="406"/>
      <c r="O395" s="406"/>
      <c r="P395" s="159"/>
      <c r="Q395" s="159"/>
      <c r="R395" s="159"/>
      <c r="S395" s="1868"/>
      <c r="T395" s="407"/>
      <c r="U395" s="407"/>
      <c r="V395" s="407"/>
    </row>
    <row r="396" spans="1:22" s="74" customFormat="1" ht="8.25" customHeight="1">
      <c r="A396" s="404"/>
      <c r="B396" s="630"/>
      <c r="C396" s="1868"/>
      <c r="D396" s="1868"/>
      <c r="E396" s="1868"/>
      <c r="F396" s="1868"/>
      <c r="G396" s="1868"/>
      <c r="H396" s="159"/>
      <c r="I396" s="159"/>
      <c r="J396" s="1873"/>
      <c r="K396" s="368"/>
      <c r="L396" s="368"/>
      <c r="M396" s="1837"/>
      <c r="N396" s="406"/>
      <c r="O396" s="406"/>
      <c r="P396" s="159"/>
      <c r="Q396" s="159"/>
      <c r="R396" s="159"/>
      <c r="S396" s="1868"/>
      <c r="T396" s="407"/>
      <c r="U396" s="407"/>
      <c r="V396" s="407"/>
    </row>
    <row r="397" spans="1:22" s="74" customFormat="1" ht="12.75">
      <c r="A397" s="404"/>
      <c r="B397" s="637" t="s">
        <v>1169</v>
      </c>
      <c r="C397" s="1868"/>
      <c r="D397" s="1868"/>
      <c r="E397" s="1868"/>
      <c r="F397" s="1868"/>
      <c r="G397" s="1868"/>
      <c r="H397" s="159"/>
      <c r="I397" s="159"/>
      <c r="J397" s="1873"/>
      <c r="K397" s="368"/>
      <c r="L397" s="368"/>
      <c r="M397" s="1837"/>
      <c r="N397" s="406"/>
      <c r="O397" s="406"/>
      <c r="P397" s="159"/>
      <c r="Q397" s="159"/>
      <c r="R397" s="159"/>
      <c r="S397" s="1868"/>
      <c r="T397" s="407"/>
      <c r="U397" s="407"/>
      <c r="V397" s="407"/>
    </row>
    <row r="398" spans="1:22" s="74" customFormat="1" ht="12.75">
      <c r="A398" s="404"/>
      <c r="B398" s="887" t="s">
        <v>1176</v>
      </c>
      <c r="C398" s="1868"/>
      <c r="D398" s="1868"/>
      <c r="E398" s="1868"/>
      <c r="F398" s="1868"/>
      <c r="G398" s="1868"/>
      <c r="H398" s="159"/>
      <c r="I398" s="159"/>
      <c r="J398" s="1873">
        <v>9798.6347399999995</v>
      </c>
      <c r="K398" s="368"/>
      <c r="L398" s="368">
        <v>15156</v>
      </c>
      <c r="M398" s="1837"/>
      <c r="N398" s="1859"/>
      <c r="O398" s="409"/>
      <c r="P398" s="159"/>
      <c r="Q398" s="159"/>
      <c r="R398" s="159"/>
      <c r="S398" s="1868"/>
      <c r="T398" s="407"/>
      <c r="U398" s="407"/>
      <c r="V398" s="407"/>
    </row>
    <row r="399" spans="1:22" s="74" customFormat="1" ht="8.25" customHeight="1">
      <c r="A399" s="404"/>
      <c r="B399" s="630"/>
      <c r="C399" s="1868"/>
      <c r="D399" s="1868"/>
      <c r="E399" s="1868"/>
      <c r="F399" s="1868"/>
      <c r="G399" s="1868"/>
      <c r="H399" s="159"/>
      <c r="I399" s="159"/>
      <c r="J399" s="1873"/>
      <c r="K399" s="368"/>
      <c r="L399" s="368"/>
      <c r="M399" s="1837"/>
      <c r="N399" s="1859"/>
      <c r="O399" s="406"/>
      <c r="P399" s="159"/>
      <c r="Q399" s="159"/>
      <c r="R399" s="159"/>
      <c r="S399" s="1868"/>
      <c r="T399" s="407"/>
      <c r="U399" s="407"/>
      <c r="V399" s="407"/>
    </row>
    <row r="400" spans="1:22" s="74" customFormat="1" ht="12.75">
      <c r="A400" s="404"/>
      <c r="B400" s="402" t="s">
        <v>2085</v>
      </c>
      <c r="C400" s="1868"/>
      <c r="D400" s="1868"/>
      <c r="E400" s="1868"/>
      <c r="F400" s="1868"/>
      <c r="G400" s="1868"/>
      <c r="H400" s="159"/>
      <c r="I400" s="159"/>
      <c r="J400" s="1873"/>
      <c r="K400" s="368"/>
      <c r="L400" s="368"/>
      <c r="M400" s="1837"/>
      <c r="N400" s="406"/>
      <c r="O400" s="406"/>
      <c r="P400" s="159"/>
      <c r="Q400" s="159"/>
      <c r="R400" s="159"/>
      <c r="S400" s="1868"/>
      <c r="T400" s="407"/>
      <c r="U400" s="407"/>
      <c r="V400" s="407"/>
    </row>
    <row r="401" spans="1:22" s="74" customFormat="1" ht="12.75">
      <c r="A401" s="404"/>
      <c r="B401" s="887" t="s">
        <v>1471</v>
      </c>
      <c r="C401" s="1868"/>
      <c r="D401" s="1868"/>
      <c r="E401" s="1868"/>
      <c r="F401" s="1868"/>
      <c r="G401" s="1868"/>
      <c r="H401" s="344"/>
      <c r="I401" s="344"/>
      <c r="J401" s="1873">
        <v>47.052999999999997</v>
      </c>
      <c r="K401" s="368"/>
      <c r="L401" s="368">
        <v>0</v>
      </c>
      <c r="M401" s="1837"/>
      <c r="N401" s="406"/>
      <c r="O401" s="406"/>
      <c r="P401" s="159"/>
      <c r="Q401" s="159"/>
      <c r="R401" s="159"/>
      <c r="S401" s="1868"/>
      <c r="T401" s="407"/>
      <c r="U401" s="407"/>
      <c r="V401" s="407"/>
    </row>
    <row r="402" spans="1:22" s="74" customFormat="1" ht="8.25" customHeight="1">
      <c r="A402" s="404"/>
      <c r="B402" s="630"/>
      <c r="C402" s="1868"/>
      <c r="D402" s="1868"/>
      <c r="E402" s="1868"/>
      <c r="F402" s="1868"/>
      <c r="G402" s="1868"/>
      <c r="H402" s="159"/>
      <c r="I402" s="159"/>
      <c r="J402" s="1873"/>
      <c r="K402" s="368"/>
      <c r="L402" s="368"/>
      <c r="M402" s="1837"/>
      <c r="N402" s="406"/>
      <c r="O402" s="406"/>
      <c r="P402" s="159"/>
      <c r="Q402" s="159"/>
      <c r="R402" s="159"/>
      <c r="S402" s="1868"/>
      <c r="T402" s="407"/>
      <c r="U402" s="407"/>
      <c r="V402" s="407"/>
    </row>
    <row r="403" spans="1:22" s="74" customFormat="1" ht="12.75" hidden="1" customHeight="1">
      <c r="A403" s="404"/>
      <c r="B403" s="402" t="s">
        <v>1655</v>
      </c>
      <c r="C403" s="1868"/>
      <c r="D403" s="1868"/>
      <c r="E403" s="1868"/>
      <c r="F403" s="1868"/>
      <c r="G403" s="1868"/>
      <c r="H403" s="344"/>
      <c r="I403" s="344"/>
      <c r="J403" s="1873"/>
      <c r="K403" s="368"/>
      <c r="L403" s="368"/>
      <c r="M403" s="1837"/>
      <c r="N403" s="406"/>
      <c r="O403" s="406"/>
      <c r="P403" s="159"/>
      <c r="Q403" s="159"/>
      <c r="R403" s="159"/>
      <c r="S403" s="1868"/>
      <c r="T403" s="407"/>
      <c r="U403" s="407"/>
      <c r="V403" s="407"/>
    </row>
    <row r="404" spans="1:22" s="74" customFormat="1" ht="12.75" hidden="1" customHeight="1">
      <c r="A404" s="404"/>
      <c r="B404" s="887" t="s">
        <v>1717</v>
      </c>
      <c r="C404" s="1868"/>
      <c r="D404" s="1868"/>
      <c r="E404" s="1868"/>
      <c r="F404" s="1868"/>
      <c r="G404" s="1868"/>
      <c r="H404" s="344"/>
      <c r="I404" s="344"/>
      <c r="J404" s="1873" t="e">
        <v>#REF!</v>
      </c>
      <c r="K404" s="368"/>
      <c r="L404" s="368">
        <v>0</v>
      </c>
      <c r="M404" s="1837"/>
      <c r="N404" s="406"/>
      <c r="O404" s="406"/>
      <c r="P404" s="159"/>
      <c r="Q404" s="159"/>
      <c r="R404" s="159"/>
      <c r="S404" s="1868"/>
      <c r="T404" s="407"/>
      <c r="U404" s="407"/>
      <c r="V404" s="407"/>
    </row>
    <row r="405" spans="1:22" s="74" customFormat="1" ht="8.25" customHeight="1">
      <c r="A405" s="404"/>
      <c r="B405" s="887"/>
      <c r="C405" s="1868"/>
      <c r="D405" s="1868"/>
      <c r="E405" s="1868"/>
      <c r="F405" s="1868"/>
      <c r="G405" s="1868"/>
      <c r="H405" s="344"/>
      <c r="I405" s="344"/>
      <c r="J405" s="1873"/>
      <c r="K405" s="368"/>
      <c r="L405" s="368"/>
      <c r="M405" s="1837"/>
      <c r="N405" s="406"/>
      <c r="O405" s="406"/>
      <c r="P405" s="159"/>
      <c r="Q405" s="159"/>
      <c r="R405" s="159"/>
      <c r="S405" s="1868"/>
      <c r="T405" s="407"/>
      <c r="U405" s="407"/>
      <c r="V405" s="407"/>
    </row>
    <row r="406" spans="1:22" s="74" customFormat="1" ht="12.75">
      <c r="A406" s="404"/>
      <c r="B406" s="1704" t="s">
        <v>1836</v>
      </c>
      <c r="C406" s="1868"/>
      <c r="D406" s="1868"/>
      <c r="E406" s="1868"/>
      <c r="F406" s="1868"/>
      <c r="G406" s="1868"/>
      <c r="H406" s="344"/>
      <c r="I406" s="344"/>
      <c r="J406" s="1873"/>
      <c r="K406" s="368"/>
      <c r="L406" s="368"/>
      <c r="M406" s="1837"/>
      <c r="N406" s="406"/>
      <c r="O406" s="406"/>
      <c r="P406" s="159"/>
      <c r="Q406" s="159"/>
      <c r="R406" s="159"/>
      <c r="S406" s="1868"/>
      <c r="T406" s="407"/>
      <c r="U406" s="407"/>
      <c r="V406" s="407"/>
    </row>
    <row r="407" spans="1:22" s="74" customFormat="1" ht="12.75">
      <c r="A407" s="404"/>
      <c r="B407" s="1705" t="s">
        <v>2086</v>
      </c>
      <c r="C407" s="1868"/>
      <c r="D407" s="1868"/>
      <c r="E407" s="1868"/>
      <c r="F407" s="1868"/>
      <c r="G407" s="1868"/>
      <c r="H407" s="344"/>
      <c r="I407" s="344"/>
      <c r="J407" s="1873">
        <v>32538.560000000001</v>
      </c>
      <c r="K407" s="368"/>
      <c r="L407" s="368">
        <v>40270</v>
      </c>
      <c r="M407" s="1837">
        <f>341500+1605500-1579000</f>
        <v>368000</v>
      </c>
      <c r="N407" s="409"/>
      <c r="O407" s="406"/>
      <c r="P407" s="159"/>
      <c r="Q407" s="159"/>
      <c r="R407" s="159"/>
      <c r="S407" s="1868"/>
      <c r="T407" s="407"/>
      <c r="U407" s="407"/>
      <c r="V407" s="407"/>
    </row>
    <row r="408" spans="1:22" s="74" customFormat="1" ht="12.75">
      <c r="A408" s="404"/>
      <c r="B408" s="1706"/>
      <c r="C408" s="1868"/>
      <c r="D408" s="1868"/>
      <c r="E408" s="1868"/>
      <c r="F408" s="1868"/>
      <c r="G408" s="1868"/>
      <c r="H408" s="344"/>
      <c r="I408" s="344"/>
      <c r="J408" s="1873"/>
      <c r="K408" s="368"/>
      <c r="L408" s="368"/>
      <c r="M408" s="1837"/>
      <c r="N408" s="406"/>
      <c r="O408" s="406"/>
      <c r="P408" s="159"/>
      <c r="Q408" s="159"/>
      <c r="R408" s="159"/>
      <c r="S408" s="1868"/>
      <c r="T408" s="407"/>
      <c r="U408" s="407"/>
      <c r="V408" s="407"/>
    </row>
    <row r="409" spans="1:22" s="74" customFormat="1" ht="12.75">
      <c r="A409" s="404"/>
      <c r="B409" s="1707" t="s">
        <v>2005</v>
      </c>
      <c r="C409" s="1868"/>
      <c r="D409" s="1868"/>
      <c r="E409" s="1868"/>
      <c r="F409" s="1868"/>
      <c r="G409" s="1868"/>
      <c r="H409" s="344"/>
      <c r="I409" s="344"/>
      <c r="J409" s="1873"/>
      <c r="K409" s="368"/>
      <c r="L409" s="368"/>
      <c r="M409" s="1837"/>
      <c r="N409" s="406"/>
      <c r="O409" s="406"/>
      <c r="P409" s="159"/>
      <c r="Q409" s="159"/>
      <c r="R409" s="159"/>
      <c r="S409" s="1868"/>
      <c r="T409" s="407"/>
      <c r="U409" s="407"/>
      <c r="V409" s="407"/>
    </row>
    <row r="410" spans="1:22" s="74" customFormat="1" ht="11.45" customHeight="1">
      <c r="A410" s="404"/>
      <c r="B410" s="1705" t="s">
        <v>2088</v>
      </c>
      <c r="C410" s="1868"/>
      <c r="D410" s="1868"/>
      <c r="E410" s="1868"/>
      <c r="F410" s="1868"/>
      <c r="G410" s="1868"/>
      <c r="H410" s="344"/>
      <c r="I410" s="344"/>
      <c r="J410" s="1873">
        <v>113320.855</v>
      </c>
      <c r="K410" s="368"/>
      <c r="L410" s="368">
        <v>123827.61</v>
      </c>
      <c r="M410" s="1837">
        <f>4971000+16379000-15904500</f>
        <v>5445500</v>
      </c>
      <c r="N410" s="406"/>
      <c r="O410" s="409"/>
      <c r="P410" s="159"/>
      <c r="Q410" s="159"/>
      <c r="R410" s="159"/>
      <c r="S410" s="1868"/>
      <c r="T410" s="407"/>
      <c r="U410" s="407"/>
      <c r="V410" s="407"/>
    </row>
    <row r="411" spans="1:22" s="74" customFormat="1" ht="12.75">
      <c r="A411" s="404"/>
      <c r="C411" s="1868"/>
      <c r="D411" s="1868"/>
      <c r="E411" s="1868"/>
      <c r="F411" s="1868"/>
      <c r="G411" s="1868"/>
      <c r="H411" s="344"/>
      <c r="I411" s="344"/>
      <c r="J411" s="1873"/>
      <c r="K411" s="368"/>
      <c r="L411" s="368"/>
      <c r="M411" s="1837"/>
      <c r="N411" s="406"/>
      <c r="O411" s="406"/>
      <c r="P411" s="159"/>
      <c r="Q411" s="159"/>
      <c r="R411" s="159"/>
      <c r="S411" s="1868"/>
      <c r="T411" s="407"/>
      <c r="U411" s="407"/>
      <c r="V411" s="407"/>
    </row>
    <row r="412" spans="1:22" s="74" customFormat="1" ht="12.75">
      <c r="A412" s="404"/>
      <c r="B412" s="1707" t="s">
        <v>2006</v>
      </c>
      <c r="C412" s="1868"/>
      <c r="D412" s="1868"/>
      <c r="E412" s="1868"/>
      <c r="F412" s="1868"/>
      <c r="G412" s="1868"/>
      <c r="H412" s="344"/>
      <c r="I412" s="344"/>
      <c r="J412" s="1873"/>
      <c r="K412" s="368"/>
      <c r="L412" s="368"/>
      <c r="M412" s="1837"/>
      <c r="N412" s="406"/>
      <c r="O412" s="406"/>
      <c r="P412" s="159"/>
      <c r="Q412" s="159"/>
      <c r="R412" s="159"/>
      <c r="S412" s="1868"/>
      <c r="T412" s="407"/>
      <c r="U412" s="407"/>
      <c r="V412" s="407"/>
    </row>
    <row r="413" spans="1:22" s="74" customFormat="1" ht="12.75">
      <c r="A413" s="404"/>
      <c r="B413" s="1705" t="s">
        <v>2089</v>
      </c>
      <c r="C413" s="1868"/>
      <c r="D413" s="1868"/>
      <c r="E413" s="1868"/>
      <c r="F413" s="1868"/>
      <c r="G413" s="1868"/>
      <c r="H413" s="344"/>
      <c r="I413" s="344"/>
      <c r="J413" s="1873">
        <v>445.68</v>
      </c>
      <c r="K413" s="368"/>
      <c r="L413" s="368">
        <v>176</v>
      </c>
      <c r="M413" s="1837">
        <f>3500+426500-421000</f>
        <v>9000</v>
      </c>
      <c r="N413" s="406"/>
      <c r="O413" s="406"/>
      <c r="P413" s="159"/>
      <c r="Q413" s="159"/>
      <c r="R413" s="159"/>
      <c r="S413" s="1868"/>
      <c r="T413" s="407"/>
      <c r="U413" s="407"/>
      <c r="V413" s="407"/>
    </row>
    <row r="414" spans="1:22" s="74" customFormat="1" ht="12.75">
      <c r="A414" s="404"/>
      <c r="C414" s="1868"/>
      <c r="D414" s="1868"/>
      <c r="E414" s="1868"/>
      <c r="F414" s="1868"/>
      <c r="G414" s="1868"/>
      <c r="H414" s="344"/>
      <c r="I414" s="344"/>
      <c r="J414" s="1873"/>
      <c r="K414" s="368"/>
      <c r="L414" s="368"/>
      <c r="M414" s="1837"/>
      <c r="N414" s="406"/>
      <c r="O414" s="406"/>
      <c r="P414" s="159"/>
      <c r="Q414" s="159"/>
      <c r="R414" s="159"/>
      <c r="S414" s="1868"/>
      <c r="T414" s="407"/>
      <c r="U414" s="407"/>
      <c r="V414" s="407"/>
    </row>
    <row r="415" spans="1:22" s="74" customFormat="1" ht="12.75">
      <c r="A415" s="404"/>
      <c r="B415" s="1707" t="s">
        <v>1095</v>
      </c>
      <c r="C415" s="1868"/>
      <c r="D415" s="1868"/>
      <c r="E415" s="1868"/>
      <c r="F415" s="1868"/>
      <c r="G415" s="1868"/>
      <c r="H415" s="344"/>
      <c r="I415" s="344"/>
      <c r="J415" s="1873"/>
      <c r="K415" s="368"/>
      <c r="L415" s="368"/>
      <c r="M415" s="1837"/>
      <c r="N415" s="406"/>
      <c r="O415" s="406"/>
      <c r="P415" s="159"/>
      <c r="Q415" s="159"/>
      <c r="R415" s="159"/>
      <c r="S415" s="1868"/>
      <c r="T415" s="407"/>
      <c r="U415" s="407"/>
      <c r="V415" s="407"/>
    </row>
    <row r="416" spans="1:22" s="74" customFormat="1" ht="12.75">
      <c r="A416" s="404"/>
      <c r="B416" s="1705" t="s">
        <v>2090</v>
      </c>
      <c r="C416" s="1868"/>
      <c r="D416" s="1868"/>
      <c r="E416" s="1868"/>
      <c r="F416" s="1868"/>
      <c r="G416" s="1868"/>
      <c r="H416" s="344"/>
      <c r="I416" s="344"/>
      <c r="J416" s="1873">
        <v>1044.8900000000001</v>
      </c>
      <c r="K416" s="368"/>
      <c r="L416" s="368">
        <v>3638.7</v>
      </c>
      <c r="M416" s="1837">
        <f>39000+625500-653000</f>
        <v>11500</v>
      </c>
      <c r="N416" s="406"/>
      <c r="O416" s="406"/>
      <c r="P416" s="159"/>
      <c r="Q416" s="159"/>
      <c r="R416" s="159"/>
      <c r="S416" s="1868"/>
      <c r="T416" s="407"/>
      <c r="U416" s="407"/>
      <c r="V416" s="407"/>
    </row>
    <row r="417" spans="1:22" s="74" customFormat="1" ht="12.75">
      <c r="A417" s="404"/>
      <c r="C417" s="1868"/>
      <c r="D417" s="1868"/>
      <c r="E417" s="1868"/>
      <c r="F417" s="1868"/>
      <c r="G417" s="1868"/>
      <c r="H417" s="344"/>
      <c r="I417" s="344"/>
      <c r="J417" s="1873"/>
      <c r="K417" s="368"/>
      <c r="L417" s="368"/>
      <c r="M417" s="1837"/>
      <c r="N417" s="406"/>
      <c r="O417" s="406"/>
      <c r="P417" s="159"/>
      <c r="Q417" s="159"/>
      <c r="R417" s="159"/>
      <c r="S417" s="1868"/>
      <c r="T417" s="407"/>
      <c r="U417" s="407"/>
      <c r="V417" s="407"/>
    </row>
    <row r="418" spans="1:22" s="74" customFormat="1" ht="12.75">
      <c r="A418" s="404"/>
      <c r="B418" s="1707" t="s">
        <v>2007</v>
      </c>
      <c r="C418" s="1868"/>
      <c r="D418" s="1868"/>
      <c r="E418" s="1868"/>
      <c r="F418" s="1868"/>
      <c r="G418" s="1868"/>
      <c r="H418" s="344"/>
      <c r="I418" s="344"/>
      <c r="J418" s="1873"/>
      <c r="K418" s="368"/>
      <c r="L418" s="368"/>
      <c r="M418" s="1837"/>
      <c r="N418" s="406"/>
      <c r="O418" s="406"/>
      <c r="P418" s="159"/>
      <c r="Q418" s="159"/>
      <c r="R418" s="159"/>
      <c r="S418" s="1868"/>
      <c r="T418" s="407"/>
      <c r="U418" s="407"/>
      <c r="V418" s="407"/>
    </row>
    <row r="419" spans="1:22" s="74" customFormat="1" ht="12.75">
      <c r="A419" s="404"/>
      <c r="B419" s="1705" t="s">
        <v>2087</v>
      </c>
      <c r="C419" s="1868"/>
      <c r="D419" s="1868"/>
      <c r="E419" s="1868"/>
      <c r="F419" s="1868"/>
      <c r="G419" s="1868"/>
      <c r="H419" s="344"/>
      <c r="I419" s="344"/>
      <c r="J419" s="1873">
        <v>393.12</v>
      </c>
      <c r="K419" s="368"/>
      <c r="L419" s="368">
        <v>4362.9399999999996</v>
      </c>
      <c r="M419" s="1837">
        <f>454000+256500-654500</f>
        <v>56000</v>
      </c>
      <c r="N419" s="406"/>
      <c r="O419" s="406"/>
      <c r="P419" s="159"/>
      <c r="Q419" s="159"/>
      <c r="R419" s="159"/>
      <c r="S419" s="1868"/>
      <c r="T419" s="407"/>
      <c r="U419" s="407"/>
      <c r="V419" s="407"/>
    </row>
    <row r="420" spans="1:22" s="74" customFormat="1" ht="8.25" customHeight="1">
      <c r="A420" s="404"/>
      <c r="B420" s="887"/>
      <c r="C420" s="1868"/>
      <c r="D420" s="1868"/>
      <c r="E420" s="1868"/>
      <c r="F420" s="1868"/>
      <c r="G420" s="1868"/>
      <c r="H420" s="344"/>
      <c r="I420" s="344"/>
      <c r="J420" s="1873"/>
      <c r="K420" s="368"/>
      <c r="L420" s="368"/>
      <c r="M420" s="1837"/>
      <c r="N420" s="406"/>
      <c r="O420" s="406"/>
      <c r="P420" s="159"/>
      <c r="Q420" s="159"/>
      <c r="R420" s="159"/>
      <c r="S420" s="1868"/>
      <c r="T420" s="407"/>
      <c r="U420" s="407"/>
      <c r="V420" s="407"/>
    </row>
    <row r="421" spans="1:22" s="74" customFormat="1" ht="8.25" customHeight="1">
      <c r="A421" s="404"/>
      <c r="B421" s="887"/>
      <c r="C421" s="1868"/>
      <c r="D421" s="1868"/>
      <c r="E421" s="1868"/>
      <c r="F421" s="1868"/>
      <c r="G421" s="1868"/>
      <c r="H421" s="344"/>
      <c r="I421" s="344"/>
      <c r="J421" s="1873"/>
      <c r="K421" s="368"/>
      <c r="L421" s="368"/>
      <c r="M421" s="1837"/>
      <c r="N421" s="406"/>
      <c r="O421" s="406"/>
      <c r="P421" s="159"/>
      <c r="Q421" s="159"/>
      <c r="R421" s="159"/>
      <c r="S421" s="1868"/>
      <c r="T421" s="407"/>
      <c r="U421" s="407"/>
      <c r="V421" s="407"/>
    </row>
    <row r="422" spans="1:22" s="74" customFormat="1" ht="12.75">
      <c r="A422" s="972" t="s">
        <v>1472</v>
      </c>
      <c r="B422" s="2060" t="s">
        <v>1178</v>
      </c>
      <c r="C422" s="2060"/>
      <c r="D422" s="2060"/>
      <c r="E422" s="2060"/>
      <c r="F422" s="2060"/>
      <c r="G422" s="2060"/>
      <c r="H422" s="2060"/>
      <c r="I422" s="2060"/>
      <c r="J422" s="2060"/>
      <c r="K422" s="2060"/>
      <c r="L422" s="2060"/>
      <c r="M422" s="1837"/>
      <c r="N422" s="406"/>
      <c r="O422" s="406"/>
      <c r="P422" s="159"/>
      <c r="Q422" s="159"/>
      <c r="R422" s="159"/>
      <c r="S422" s="1868"/>
      <c r="T422" s="407"/>
      <c r="U422" s="407"/>
      <c r="V422" s="407"/>
    </row>
    <row r="423" spans="1:22" s="74" customFormat="1" ht="12.75">
      <c r="A423" s="972"/>
      <c r="B423" s="2060"/>
      <c r="C423" s="2060"/>
      <c r="D423" s="2060"/>
      <c r="E423" s="2060"/>
      <c r="F423" s="2060"/>
      <c r="G423" s="2060"/>
      <c r="H423" s="2060"/>
      <c r="I423" s="2060"/>
      <c r="J423" s="2060"/>
      <c r="K423" s="2060"/>
      <c r="L423" s="2060"/>
      <c r="M423" s="1837"/>
      <c r="N423" s="406"/>
      <c r="O423" s="406"/>
      <c r="P423" s="159"/>
      <c r="Q423" s="159"/>
      <c r="R423" s="159"/>
      <c r="S423" s="1868"/>
      <c r="T423" s="407"/>
      <c r="U423" s="407"/>
      <c r="V423" s="407"/>
    </row>
    <row r="424" spans="1:22" s="74" customFormat="1" ht="12.75">
      <c r="A424" s="408"/>
      <c r="B424" s="2060"/>
      <c r="C424" s="2060"/>
      <c r="D424" s="2060"/>
      <c r="E424" s="2060"/>
      <c r="F424" s="2060"/>
      <c r="G424" s="2060"/>
      <c r="H424" s="2060"/>
      <c r="I424" s="2060"/>
      <c r="J424" s="2060"/>
      <c r="K424" s="2060"/>
      <c r="L424" s="2060"/>
      <c r="M424" s="1837"/>
      <c r="N424" s="406"/>
      <c r="O424" s="406"/>
      <c r="P424" s="159"/>
      <c r="Q424" s="159"/>
      <c r="R424" s="159"/>
      <c r="S424" s="1868"/>
      <c r="T424" s="407"/>
      <c r="U424" s="407"/>
      <c r="V424" s="407"/>
    </row>
    <row r="425" spans="1:22" s="74" customFormat="1" ht="12.75">
      <c r="A425" s="408"/>
      <c r="B425" s="1869"/>
      <c r="C425" s="1869"/>
      <c r="D425" s="1869"/>
      <c r="E425" s="1869"/>
      <c r="F425" s="1869"/>
      <c r="G425" s="1869"/>
      <c r="H425" s="1869"/>
      <c r="I425" s="1869"/>
      <c r="J425" s="1869"/>
      <c r="K425" s="1869"/>
      <c r="L425" s="1869"/>
      <c r="M425" s="1837"/>
      <c r="N425" s="406"/>
      <c r="O425" s="406"/>
      <c r="P425" s="159"/>
      <c r="Q425" s="159"/>
      <c r="R425" s="159"/>
      <c r="S425" s="1868"/>
      <c r="T425" s="407"/>
      <c r="U425" s="407"/>
      <c r="V425" s="407"/>
    </row>
    <row r="426" spans="1:22" s="74" customFormat="1" ht="15">
      <c r="A426" s="1865">
        <f>+A295+1</f>
        <v>14</v>
      </c>
      <c r="B426" s="1864" t="s">
        <v>2145</v>
      </c>
      <c r="C426" s="1869"/>
      <c r="D426" s="1869"/>
      <c r="E426" s="1869"/>
      <c r="F426" s="1869"/>
      <c r="G426" s="1869"/>
      <c r="H426" s="1869"/>
      <c r="I426" s="1869"/>
      <c r="J426" s="1869"/>
      <c r="K426" s="1869"/>
      <c r="L426" s="1869"/>
      <c r="M426" s="1837"/>
      <c r="N426" s="406"/>
      <c r="O426" s="406"/>
      <c r="P426" s="159"/>
      <c r="Q426" s="159"/>
      <c r="R426" s="159"/>
      <c r="S426" s="1868"/>
      <c r="T426" s="407"/>
      <c r="U426" s="407"/>
      <c r="V426" s="407"/>
    </row>
    <row r="427" spans="1:22" s="74" customFormat="1" ht="12.75">
      <c r="A427" s="408"/>
      <c r="B427" s="1869"/>
      <c r="C427" s="1869"/>
      <c r="D427" s="1869"/>
      <c r="E427" s="1869"/>
      <c r="F427" s="1869"/>
      <c r="G427" s="1869"/>
      <c r="H427" s="1869"/>
      <c r="I427" s="1869"/>
      <c r="J427" s="1869"/>
      <c r="K427" s="1869"/>
      <c r="L427" s="1869"/>
      <c r="M427" s="1837"/>
      <c r="N427" s="406"/>
      <c r="O427" s="406"/>
      <c r="P427" s="159"/>
      <c r="Q427" s="159"/>
      <c r="R427" s="159"/>
      <c r="S427" s="1868"/>
      <c r="T427" s="407"/>
      <c r="U427" s="407"/>
      <c r="V427" s="407"/>
    </row>
    <row r="428" spans="1:22" s="74" customFormat="1" ht="12.75">
      <c r="A428" s="408"/>
      <c r="B428" s="2060" t="s">
        <v>2146</v>
      </c>
      <c r="C428" s="2060"/>
      <c r="D428" s="2060"/>
      <c r="E428" s="2060"/>
      <c r="F428" s="2060"/>
      <c r="G428" s="2060"/>
      <c r="H428" s="2060"/>
      <c r="I428" s="2060"/>
      <c r="J428" s="2060"/>
      <c r="K428" s="2060"/>
      <c r="L428" s="2060"/>
      <c r="M428" s="1837"/>
      <c r="N428" s="406"/>
      <c r="O428" s="406"/>
      <c r="P428" s="159"/>
      <c r="Q428" s="159"/>
      <c r="R428" s="159"/>
      <c r="S428" s="1868"/>
      <c r="T428" s="407"/>
      <c r="U428" s="407"/>
      <c r="V428" s="407"/>
    </row>
    <row r="429" spans="1:22" s="74" customFormat="1" ht="12.75">
      <c r="A429" s="408"/>
      <c r="B429" s="2060"/>
      <c r="C429" s="2060"/>
      <c r="D429" s="2060"/>
      <c r="E429" s="2060"/>
      <c r="F429" s="2060"/>
      <c r="G429" s="2060"/>
      <c r="H429" s="2060"/>
      <c r="I429" s="2060"/>
      <c r="J429" s="2060"/>
      <c r="K429" s="2060"/>
      <c r="L429" s="2060"/>
      <c r="M429" s="1837"/>
      <c r="N429" s="406"/>
      <c r="O429" s="406"/>
      <c r="P429" s="159"/>
      <c r="Q429" s="159"/>
      <c r="R429" s="159"/>
      <c r="S429" s="1868"/>
      <c r="T429" s="407"/>
      <c r="U429" s="407"/>
      <c r="V429" s="407"/>
    </row>
    <row r="430" spans="1:22" s="74" customFormat="1" ht="12.75">
      <c r="A430" s="408"/>
      <c r="B430" s="2060"/>
      <c r="C430" s="2060"/>
      <c r="D430" s="2060"/>
      <c r="E430" s="2060"/>
      <c r="F430" s="2060"/>
      <c r="G430" s="2060"/>
      <c r="H430" s="2060"/>
      <c r="I430" s="2060"/>
      <c r="J430" s="2060"/>
      <c r="K430" s="2060"/>
      <c r="L430" s="2060"/>
      <c r="M430" s="1837"/>
      <c r="N430" s="406"/>
      <c r="O430" s="406"/>
      <c r="P430" s="159"/>
      <c r="Q430" s="159"/>
      <c r="R430" s="159"/>
      <c r="S430" s="1868"/>
      <c r="T430" s="407"/>
      <c r="U430" s="407"/>
      <c r="V430" s="407"/>
    </row>
    <row r="431" spans="1:22" s="74" customFormat="1" ht="12.75">
      <c r="A431" s="408"/>
      <c r="B431" s="1869"/>
      <c r="C431" s="1869"/>
      <c r="D431" s="1869"/>
      <c r="E431" s="1869"/>
      <c r="F431" s="1869"/>
      <c r="G431" s="1869"/>
      <c r="H431" s="1869"/>
      <c r="I431" s="1869"/>
      <c r="J431" s="1869"/>
      <c r="K431" s="1869"/>
      <c r="L431" s="1869"/>
      <c r="M431" s="1837"/>
      <c r="N431" s="406"/>
      <c r="O431" s="406"/>
      <c r="P431" s="159"/>
      <c r="Q431" s="159"/>
      <c r="R431" s="159"/>
      <c r="S431" s="1868"/>
      <c r="T431" s="407"/>
      <c r="U431" s="407"/>
      <c r="V431" s="407"/>
    </row>
    <row r="432" spans="1:22" s="74" customFormat="1" ht="12.75">
      <c r="A432" s="408"/>
      <c r="B432" s="2060" t="s">
        <v>2147</v>
      </c>
      <c r="C432" s="2060"/>
      <c r="D432" s="2060"/>
      <c r="E432" s="2060"/>
      <c r="F432" s="2060"/>
      <c r="G432" s="2060"/>
      <c r="H432" s="2060"/>
      <c r="I432" s="2060"/>
      <c r="J432" s="2060"/>
      <c r="K432" s="2060"/>
      <c r="L432" s="2060"/>
      <c r="M432" s="1837"/>
      <c r="N432" s="406"/>
      <c r="O432" s="406"/>
      <c r="P432" s="159"/>
      <c r="Q432" s="159"/>
      <c r="R432" s="159"/>
      <c r="S432" s="1868"/>
      <c r="T432" s="407"/>
      <c r="U432" s="407"/>
      <c r="V432" s="407"/>
    </row>
    <row r="433" spans="1:22" s="74" customFormat="1" ht="12.75">
      <c r="A433" s="408"/>
      <c r="B433" s="2060"/>
      <c r="C433" s="2060"/>
      <c r="D433" s="2060"/>
      <c r="E433" s="2060"/>
      <c r="F433" s="2060"/>
      <c r="G433" s="2060"/>
      <c r="H433" s="2060"/>
      <c r="I433" s="2060"/>
      <c r="J433" s="2060"/>
      <c r="K433" s="2060"/>
      <c r="L433" s="2060"/>
      <c r="M433" s="1837"/>
      <c r="N433" s="406"/>
      <c r="O433" s="406"/>
      <c r="P433" s="159"/>
      <c r="Q433" s="159"/>
      <c r="R433" s="159"/>
      <c r="S433" s="1868"/>
      <c r="T433" s="407"/>
      <c r="U433" s="407"/>
      <c r="V433" s="407"/>
    </row>
    <row r="434" spans="1:22" s="74" customFormat="1" ht="12.75">
      <c r="A434" s="408"/>
      <c r="B434" s="2060"/>
      <c r="C434" s="2060"/>
      <c r="D434" s="2060"/>
      <c r="E434" s="2060"/>
      <c r="F434" s="2060"/>
      <c r="G434" s="2060"/>
      <c r="H434" s="2060"/>
      <c r="I434" s="2060"/>
      <c r="J434" s="2060"/>
      <c r="K434" s="2060"/>
      <c r="L434" s="2060"/>
      <c r="M434" s="1837"/>
      <c r="N434" s="406"/>
      <c r="O434" s="406"/>
      <c r="P434" s="159"/>
      <c r="Q434" s="159"/>
      <c r="R434" s="159"/>
      <c r="S434" s="1868"/>
      <c r="T434" s="407"/>
      <c r="U434" s="407"/>
      <c r="V434" s="407"/>
    </row>
    <row r="435" spans="1:22" s="74" customFormat="1" ht="12.75">
      <c r="A435" s="408"/>
      <c r="B435" s="2094" t="s">
        <v>2148</v>
      </c>
      <c r="C435" s="2060"/>
      <c r="D435" s="2060"/>
      <c r="E435" s="2060"/>
      <c r="F435" s="2060"/>
      <c r="G435" s="2060"/>
      <c r="H435" s="2060"/>
      <c r="I435" s="2060"/>
      <c r="J435" s="2060"/>
      <c r="K435" s="2060"/>
      <c r="L435" s="2060"/>
      <c r="M435" s="1837"/>
      <c r="N435" s="406"/>
      <c r="O435" s="406"/>
      <c r="P435" s="159"/>
      <c r="Q435" s="159"/>
      <c r="R435" s="159"/>
      <c r="S435" s="1868"/>
      <c r="T435" s="407"/>
      <c r="U435" s="407"/>
      <c r="V435" s="407"/>
    </row>
    <row r="436" spans="1:22" s="74" customFormat="1" ht="12.75">
      <c r="A436" s="408"/>
      <c r="B436" s="2060"/>
      <c r="C436" s="2060"/>
      <c r="D436" s="2060"/>
      <c r="E436" s="2060"/>
      <c r="F436" s="2060"/>
      <c r="G436" s="2060"/>
      <c r="H436" s="2060"/>
      <c r="I436" s="2060"/>
      <c r="J436" s="2060"/>
      <c r="K436" s="2060"/>
      <c r="L436" s="2060"/>
      <c r="M436" s="1837"/>
      <c r="N436" s="406"/>
      <c r="O436" s="406"/>
      <c r="P436" s="159"/>
      <c r="Q436" s="159"/>
      <c r="R436" s="159"/>
      <c r="S436" s="1868"/>
      <c r="T436" s="407"/>
      <c r="U436" s="407"/>
      <c r="V436" s="407"/>
    </row>
    <row r="437" spans="1:22" s="74" customFormat="1" ht="12.75">
      <c r="A437" s="408"/>
      <c r="B437" s="2060"/>
      <c r="C437" s="2060"/>
      <c r="D437" s="2060"/>
      <c r="E437" s="2060"/>
      <c r="F437" s="2060"/>
      <c r="G437" s="2060"/>
      <c r="H437" s="2060"/>
      <c r="I437" s="2060"/>
      <c r="J437" s="2060"/>
      <c r="K437" s="2060"/>
      <c r="L437" s="2060"/>
      <c r="M437" s="1837"/>
      <c r="N437" s="406"/>
      <c r="O437" s="406"/>
      <c r="P437" s="159"/>
      <c r="Q437" s="159"/>
      <c r="R437" s="159"/>
      <c r="S437" s="1868"/>
      <c r="T437" s="407"/>
      <c r="U437" s="407"/>
      <c r="V437" s="407"/>
    </row>
    <row r="438" spans="1:22" s="74" customFormat="1" ht="12.75">
      <c r="A438" s="408"/>
      <c r="B438" s="1869"/>
      <c r="C438" s="1869"/>
      <c r="D438" s="1869"/>
      <c r="E438" s="1869"/>
      <c r="F438" s="1869"/>
      <c r="G438" s="1869"/>
      <c r="H438" s="1869"/>
      <c r="I438" s="1869"/>
      <c r="J438" s="1869"/>
      <c r="K438" s="1869"/>
      <c r="L438" s="1869"/>
      <c r="M438" s="1837"/>
      <c r="N438" s="406"/>
      <c r="O438" s="406"/>
      <c r="P438" s="159"/>
      <c r="Q438" s="159"/>
      <c r="R438" s="159"/>
      <c r="S438" s="1868"/>
      <c r="T438" s="407"/>
      <c r="U438" s="407"/>
      <c r="V438" s="407"/>
    </row>
    <row r="439" spans="1:22" s="74" customFormat="1" ht="12.75">
      <c r="A439" s="408"/>
      <c r="B439" s="2095" t="s">
        <v>2149</v>
      </c>
      <c r="C439" s="2095"/>
      <c r="D439" s="2095"/>
      <c r="E439" s="2095"/>
      <c r="F439" s="2095"/>
      <c r="G439" s="2095"/>
      <c r="H439" s="2095"/>
      <c r="I439" s="2095"/>
      <c r="J439" s="2095"/>
      <c r="K439" s="2095"/>
      <c r="L439" s="2095"/>
      <c r="M439" s="1837"/>
      <c r="N439" s="406"/>
      <c r="O439" s="406"/>
      <c r="P439" s="159"/>
      <c r="Q439" s="159"/>
      <c r="R439" s="159"/>
      <c r="S439" s="1868"/>
      <c r="T439" s="407"/>
      <c r="U439" s="407"/>
      <c r="V439" s="407"/>
    </row>
    <row r="440" spans="1:22" s="74" customFormat="1" ht="12.75">
      <c r="A440" s="408"/>
      <c r="B440" s="1869"/>
      <c r="C440" s="1869"/>
      <c r="D440" s="1869"/>
      <c r="E440" s="1869"/>
      <c r="F440" s="1869"/>
      <c r="G440" s="1869"/>
      <c r="H440" s="1869"/>
      <c r="I440" s="1869"/>
      <c r="J440" s="1869"/>
      <c r="K440" s="1869"/>
      <c r="L440" s="1869"/>
      <c r="M440" s="1837"/>
      <c r="N440" s="406"/>
      <c r="O440" s="406"/>
      <c r="P440" s="159"/>
      <c r="Q440" s="159"/>
      <c r="R440" s="159"/>
      <c r="S440" s="1868"/>
      <c r="T440" s="407"/>
      <c r="U440" s="407"/>
      <c r="V440" s="407"/>
    </row>
    <row r="441" spans="1:22" s="74" customFormat="1" ht="12.75">
      <c r="A441" s="408"/>
      <c r="B441" s="2094" t="s">
        <v>2150</v>
      </c>
      <c r="C441" s="2060"/>
      <c r="D441" s="2060"/>
      <c r="E441" s="2060"/>
      <c r="F441" s="2060"/>
      <c r="G441" s="2060"/>
      <c r="H441" s="2060"/>
      <c r="I441" s="2060"/>
      <c r="J441" s="2060"/>
      <c r="K441" s="2060"/>
      <c r="L441" s="2060"/>
      <c r="M441" s="1837"/>
      <c r="N441" s="406"/>
      <c r="O441" s="406"/>
      <c r="P441" s="159"/>
      <c r="Q441" s="159"/>
      <c r="R441" s="159"/>
      <c r="S441" s="1868"/>
      <c r="T441" s="407"/>
      <c r="U441" s="407"/>
      <c r="V441" s="407"/>
    </row>
    <row r="442" spans="1:22" s="74" customFormat="1" ht="12.75">
      <c r="A442" s="408"/>
      <c r="B442" s="2060"/>
      <c r="C442" s="2060"/>
      <c r="D442" s="2060"/>
      <c r="E442" s="2060"/>
      <c r="F442" s="2060"/>
      <c r="G442" s="2060"/>
      <c r="H442" s="2060"/>
      <c r="I442" s="2060"/>
      <c r="J442" s="2060"/>
      <c r="K442" s="2060"/>
      <c r="L442" s="2060"/>
      <c r="M442" s="1837"/>
      <c r="N442" s="406"/>
      <c r="O442" s="406"/>
      <c r="P442" s="159"/>
      <c r="Q442" s="159"/>
      <c r="R442" s="159"/>
      <c r="S442" s="1868"/>
      <c r="T442" s="407"/>
      <c r="U442" s="407"/>
      <c r="V442" s="407"/>
    </row>
    <row r="443" spans="1:22" s="74" customFormat="1" ht="12.75">
      <c r="A443" s="408"/>
      <c r="B443" s="2060"/>
      <c r="C443" s="2060"/>
      <c r="D443" s="2060"/>
      <c r="E443" s="2060"/>
      <c r="F443" s="2060"/>
      <c r="G443" s="2060"/>
      <c r="H443" s="2060"/>
      <c r="I443" s="2060"/>
      <c r="J443" s="2060"/>
      <c r="K443" s="2060"/>
      <c r="L443" s="2060"/>
      <c r="M443" s="1837"/>
      <c r="N443" s="406"/>
      <c r="O443" s="406"/>
      <c r="P443" s="159"/>
      <c r="Q443" s="159"/>
      <c r="R443" s="159"/>
      <c r="S443" s="1868"/>
      <c r="T443" s="407"/>
      <c r="U443" s="407"/>
      <c r="V443" s="407"/>
    </row>
    <row r="444" spans="1:22" s="74" customFormat="1" ht="12.75">
      <c r="A444" s="408"/>
      <c r="B444" s="1869"/>
      <c r="C444" s="1869"/>
      <c r="D444" s="1869"/>
      <c r="E444" s="1869"/>
      <c r="F444" s="1869"/>
      <c r="G444" s="1869"/>
      <c r="H444" s="1869"/>
      <c r="I444" s="1869"/>
      <c r="J444" s="1869"/>
      <c r="K444" s="1869"/>
      <c r="L444" s="1869"/>
      <c r="M444" s="1837"/>
      <c r="N444" s="406"/>
      <c r="O444" s="406"/>
      <c r="P444" s="159"/>
      <c r="Q444" s="159"/>
      <c r="R444" s="159"/>
      <c r="S444" s="1868"/>
      <c r="T444" s="407"/>
      <c r="U444" s="407"/>
      <c r="V444" s="407"/>
    </row>
    <row r="445" spans="1:22" s="74" customFormat="1" ht="12.75">
      <c r="A445" s="408"/>
      <c r="B445" s="2060" t="s">
        <v>2151</v>
      </c>
      <c r="C445" s="2060"/>
      <c r="D445" s="2060"/>
      <c r="E445" s="2060"/>
      <c r="F445" s="2060"/>
      <c r="G445" s="2060"/>
      <c r="H445" s="2060"/>
      <c r="I445" s="2060"/>
      <c r="J445" s="2060"/>
      <c r="K445" s="2060"/>
      <c r="L445" s="2060"/>
      <c r="M445" s="1837"/>
      <c r="N445" s="406"/>
      <c r="O445" s="406"/>
      <c r="P445" s="159"/>
      <c r="Q445" s="159"/>
      <c r="R445" s="159"/>
      <c r="S445" s="1868"/>
      <c r="T445" s="407"/>
      <c r="U445" s="407"/>
      <c r="V445" s="407"/>
    </row>
    <row r="446" spans="1:22" s="74" customFormat="1" ht="12.75">
      <c r="A446" s="408"/>
      <c r="B446" s="1869"/>
      <c r="C446" s="1869"/>
      <c r="D446" s="1869"/>
      <c r="E446" s="1869"/>
      <c r="F446" s="1869"/>
      <c r="G446" s="1869"/>
      <c r="H446" s="1869"/>
      <c r="I446" s="1869"/>
      <c r="J446" s="1869"/>
      <c r="K446" s="1869"/>
      <c r="L446" s="1869"/>
      <c r="M446" s="1837"/>
      <c r="N446" s="406"/>
      <c r="O446" s="406"/>
      <c r="P446" s="159"/>
      <c r="Q446" s="159"/>
      <c r="R446" s="159"/>
      <c r="S446" s="1868"/>
      <c r="T446" s="407"/>
      <c r="U446" s="407"/>
      <c r="V446" s="407"/>
    </row>
    <row r="447" spans="1:22" s="74" customFormat="1" ht="12.75">
      <c r="A447" s="408"/>
      <c r="B447" s="2094" t="s">
        <v>2152</v>
      </c>
      <c r="C447" s="2060"/>
      <c r="D447" s="2060"/>
      <c r="E447" s="2060"/>
      <c r="F447" s="2060"/>
      <c r="G447" s="2060"/>
      <c r="H447" s="2060"/>
      <c r="I447" s="2060"/>
      <c r="J447" s="2060"/>
      <c r="K447" s="2060"/>
      <c r="L447" s="2060"/>
      <c r="M447" s="1837"/>
      <c r="N447" s="406"/>
      <c r="O447" s="406"/>
      <c r="P447" s="159"/>
      <c r="Q447" s="159"/>
      <c r="R447" s="159"/>
      <c r="S447" s="1868"/>
      <c r="T447" s="407"/>
      <c r="U447" s="407"/>
      <c r="V447" s="407"/>
    </row>
    <row r="448" spans="1:22" s="74" customFormat="1" ht="12.75">
      <c r="A448" s="408"/>
      <c r="B448" s="2060"/>
      <c r="C448" s="2060"/>
      <c r="D448" s="2060"/>
      <c r="E448" s="2060"/>
      <c r="F448" s="2060"/>
      <c r="G448" s="2060"/>
      <c r="H448" s="2060"/>
      <c r="I448" s="2060"/>
      <c r="J448" s="2060"/>
      <c r="K448" s="2060"/>
      <c r="L448" s="2060"/>
      <c r="M448" s="1837"/>
      <c r="N448" s="406"/>
      <c r="O448" s="406"/>
      <c r="P448" s="159"/>
      <c r="Q448" s="159"/>
      <c r="R448" s="159"/>
      <c r="S448" s="1868"/>
      <c r="T448" s="407"/>
      <c r="U448" s="407"/>
      <c r="V448" s="407"/>
    </row>
    <row r="449" spans="1:22" s="74" customFormat="1" ht="12.75">
      <c r="A449" s="408"/>
      <c r="B449" s="2060"/>
      <c r="C449" s="2060"/>
      <c r="D449" s="2060"/>
      <c r="E449" s="2060"/>
      <c r="F449" s="2060"/>
      <c r="G449" s="2060"/>
      <c r="H449" s="2060"/>
      <c r="I449" s="2060"/>
      <c r="J449" s="2060"/>
      <c r="K449" s="2060"/>
      <c r="L449" s="2060"/>
      <c r="M449" s="1837"/>
      <c r="N449" s="406"/>
      <c r="O449" s="406"/>
      <c r="P449" s="159"/>
      <c r="Q449" s="159"/>
      <c r="R449" s="159"/>
      <c r="S449" s="1868"/>
      <c r="T449" s="407"/>
      <c r="U449" s="407"/>
      <c r="V449" s="407"/>
    </row>
    <row r="450" spans="1:22" s="74" customFormat="1" ht="12.75">
      <c r="A450" s="408"/>
      <c r="B450" s="2094" t="s">
        <v>2153</v>
      </c>
      <c r="C450" s="2060"/>
      <c r="D450" s="2060"/>
      <c r="E450" s="2060"/>
      <c r="F450" s="2060"/>
      <c r="G450" s="2060"/>
      <c r="H450" s="2060"/>
      <c r="I450" s="2060"/>
      <c r="J450" s="2060"/>
      <c r="K450" s="2060"/>
      <c r="L450" s="2060"/>
      <c r="M450" s="1837"/>
      <c r="N450" s="406"/>
      <c r="O450" s="406"/>
      <c r="P450" s="159"/>
      <c r="Q450" s="159"/>
      <c r="R450" s="159"/>
      <c r="S450" s="1868"/>
      <c r="T450" s="407"/>
      <c r="U450" s="407"/>
      <c r="V450" s="407"/>
    </row>
    <row r="451" spans="1:22" s="425" customFormat="1" ht="21" customHeight="1">
      <c r="A451" s="426"/>
      <c r="B451" s="1289"/>
      <c r="C451" s="1289"/>
      <c r="D451" s="1288"/>
      <c r="E451" s="1288"/>
      <c r="F451" s="1290"/>
      <c r="G451" s="1290"/>
      <c r="H451" s="1824"/>
      <c r="I451" s="1290"/>
      <c r="J451" s="1824"/>
      <c r="K451" s="1290"/>
      <c r="L451" s="1824"/>
      <c r="M451" s="1855"/>
      <c r="N451" s="424"/>
      <c r="O451" s="424"/>
      <c r="P451" s="424"/>
      <c r="Q451" s="424"/>
      <c r="R451" s="424"/>
      <c r="S451" s="424"/>
    </row>
    <row r="452" spans="1:22" s="425" customFormat="1" ht="21" customHeight="1">
      <c r="A452" s="1825">
        <f>+A426+1</f>
        <v>15</v>
      </c>
      <c r="B452" s="157" t="s">
        <v>2116</v>
      </c>
      <c r="C452" s="1289"/>
      <c r="D452" s="1288"/>
      <c r="E452" s="1288"/>
      <c r="F452" s="1290"/>
      <c r="G452" s="1290"/>
      <c r="H452" s="1824"/>
      <c r="I452" s="1290"/>
      <c r="J452" s="1824"/>
      <c r="K452" s="1290"/>
      <c r="L452" s="1824"/>
      <c r="M452" s="1855"/>
      <c r="N452" s="424"/>
      <c r="O452" s="424"/>
      <c r="P452" s="424"/>
      <c r="Q452" s="424"/>
      <c r="R452" s="424"/>
      <c r="S452" s="424"/>
    </row>
    <row r="453" spans="1:22" s="425" customFormat="1" ht="21" customHeight="1">
      <c r="A453" s="426"/>
      <c r="B453" s="2083" t="s">
        <v>2154</v>
      </c>
      <c r="C453" s="2084"/>
      <c r="D453" s="2084"/>
      <c r="E453" s="2084"/>
      <c r="F453" s="2084"/>
      <c r="G453" s="2084"/>
      <c r="H453" s="2084"/>
      <c r="I453" s="2084"/>
      <c r="J453" s="2084"/>
      <c r="K453" s="2084"/>
      <c r="L453" s="2084"/>
      <c r="M453" s="1855"/>
      <c r="N453" s="424"/>
      <c r="O453" s="424"/>
      <c r="P453" s="424"/>
      <c r="Q453" s="424"/>
      <c r="R453" s="424"/>
      <c r="S453" s="424"/>
    </row>
    <row r="454" spans="1:22" s="425" customFormat="1" ht="21" customHeight="1">
      <c r="A454" s="426"/>
      <c r="B454" s="2084"/>
      <c r="C454" s="2084"/>
      <c r="D454" s="2084"/>
      <c r="E454" s="2084"/>
      <c r="F454" s="2084"/>
      <c r="G454" s="2084"/>
      <c r="H454" s="2084"/>
      <c r="I454" s="2084"/>
      <c r="J454" s="2084"/>
      <c r="K454" s="2084"/>
      <c r="L454" s="2084"/>
      <c r="M454" s="1855"/>
      <c r="N454" s="424"/>
      <c r="O454" s="424"/>
      <c r="P454" s="424"/>
      <c r="Q454" s="424"/>
      <c r="R454" s="424"/>
      <c r="S454" s="424"/>
    </row>
    <row r="455" spans="1:22" s="425" customFormat="1" ht="21" customHeight="1">
      <c r="A455" s="426"/>
      <c r="B455" s="2084"/>
      <c r="C455" s="2084"/>
      <c r="D455" s="2084"/>
      <c r="E455" s="2084"/>
      <c r="F455" s="2084"/>
      <c r="G455" s="2084"/>
      <c r="H455" s="2084"/>
      <c r="I455" s="2084"/>
      <c r="J455" s="2084"/>
      <c r="K455" s="2084"/>
      <c r="L455" s="2084"/>
      <c r="M455" s="1855"/>
      <c r="N455" s="424"/>
      <c r="O455" s="424"/>
      <c r="P455" s="424"/>
      <c r="Q455" s="424"/>
      <c r="R455" s="424"/>
      <c r="S455" s="424"/>
    </row>
    <row r="456" spans="1:22" s="425" customFormat="1" ht="21" customHeight="1">
      <c r="A456" s="426"/>
      <c r="B456" s="2084"/>
      <c r="C456" s="2084"/>
      <c r="D456" s="2084"/>
      <c r="E456" s="2084"/>
      <c r="F456" s="2084"/>
      <c r="G456" s="2084"/>
      <c r="H456" s="2084"/>
      <c r="I456" s="2084"/>
      <c r="J456" s="2084"/>
      <c r="K456" s="2084"/>
      <c r="L456" s="2084"/>
      <c r="M456" s="1855"/>
      <c r="N456" s="424"/>
      <c r="O456" s="424"/>
      <c r="P456" s="424"/>
      <c r="Q456" s="424"/>
      <c r="R456" s="424"/>
      <c r="S456" s="424"/>
    </row>
    <row r="457" spans="1:22" s="425" customFormat="1" ht="21" customHeight="1">
      <c r="A457" s="426"/>
      <c r="B457" s="2084"/>
      <c r="C457" s="2084"/>
      <c r="D457" s="2084"/>
      <c r="E457" s="2084"/>
      <c r="F457" s="2084"/>
      <c r="G457" s="2084"/>
      <c r="H457" s="2084"/>
      <c r="I457" s="2084"/>
      <c r="J457" s="2084"/>
      <c r="K457" s="2084"/>
      <c r="L457" s="2084"/>
      <c r="M457" s="1855"/>
      <c r="N457" s="424"/>
      <c r="O457" s="424"/>
      <c r="P457" s="424"/>
      <c r="Q457" s="424"/>
      <c r="R457" s="424"/>
      <c r="S457" s="424"/>
    </row>
    <row r="458" spans="1:22" s="425" customFormat="1" ht="21" customHeight="1">
      <c r="A458" s="426"/>
      <c r="B458" s="1289"/>
      <c r="C458" s="1289"/>
      <c r="D458" s="1288"/>
      <c r="E458" s="1288"/>
      <c r="F458" s="1290"/>
      <c r="G458" s="1290"/>
      <c r="H458" s="1824"/>
      <c r="I458" s="1290"/>
      <c r="J458" s="1824"/>
      <c r="K458" s="1290"/>
      <c r="L458" s="1824"/>
      <c r="M458" s="1855"/>
      <c r="N458" s="424"/>
      <c r="O458" s="424"/>
      <c r="P458" s="424"/>
      <c r="Q458" s="424"/>
      <c r="R458" s="424"/>
      <c r="S458" s="424"/>
    </row>
    <row r="459" spans="1:22" s="412" customFormat="1" ht="12.75">
      <c r="A459" s="970">
        <f>+A452+1</f>
        <v>16</v>
      </c>
      <c r="B459" s="991" t="s">
        <v>1284</v>
      </c>
      <c r="C459" s="969"/>
      <c r="D459" s="969"/>
      <c r="E459" s="969"/>
      <c r="F459" s="969"/>
      <c r="G459" s="969"/>
      <c r="H459" s="969"/>
      <c r="I459" s="969"/>
      <c r="J459" s="969"/>
      <c r="K459" s="969"/>
      <c r="L459" s="969"/>
      <c r="M459" s="1856"/>
      <c r="N459" s="651"/>
      <c r="O459" s="651"/>
      <c r="P459" s="434"/>
      <c r="Q459" s="434"/>
      <c r="R459" s="411"/>
      <c r="S459" s="411"/>
    </row>
    <row r="460" spans="1:22" s="412" customFormat="1" ht="12.75">
      <c r="A460" s="969"/>
      <c r="B460" s="969"/>
      <c r="C460" s="969"/>
      <c r="D460" s="969"/>
      <c r="E460" s="969"/>
      <c r="F460" s="969"/>
      <c r="G460" s="969"/>
      <c r="H460" s="969"/>
      <c r="I460" s="969"/>
      <c r="J460" s="969"/>
      <c r="K460" s="969"/>
      <c r="L460" s="969"/>
      <c r="M460" s="1856"/>
      <c r="N460" s="651"/>
      <c r="O460" s="651"/>
      <c r="P460" s="434"/>
      <c r="Q460" s="434"/>
      <c r="R460" s="411"/>
      <c r="S460" s="411"/>
    </row>
    <row r="461" spans="1:22" s="412" customFormat="1" ht="13.15" customHeight="1">
      <c r="A461" s="1690">
        <f>+A459+0.1</f>
        <v>16.100000000000001</v>
      </c>
      <c r="B461" s="2082" t="s">
        <v>1950</v>
      </c>
      <c r="C461" s="2082"/>
      <c r="D461" s="2082"/>
      <c r="E461" s="2082"/>
      <c r="F461" s="2082"/>
      <c r="G461" s="2082"/>
      <c r="H461" s="2082"/>
      <c r="I461" s="2082"/>
      <c r="J461" s="2082"/>
      <c r="K461" s="2082"/>
      <c r="L461" s="2082"/>
      <c r="M461" s="1856"/>
      <c r="N461" s="651"/>
      <c r="O461" s="651"/>
      <c r="P461" s="434"/>
      <c r="Q461" s="434"/>
      <c r="R461" s="411"/>
      <c r="S461" s="411"/>
    </row>
    <row r="462" spans="1:22" s="412" customFormat="1" ht="12.75">
      <c r="A462" s="969"/>
      <c r="B462" s="2082"/>
      <c r="C462" s="2082"/>
      <c r="D462" s="2082"/>
      <c r="E462" s="2082"/>
      <c r="F462" s="2082"/>
      <c r="G462" s="2082"/>
      <c r="H462" s="2082"/>
      <c r="I462" s="2082"/>
      <c r="J462" s="2082"/>
      <c r="K462" s="2082"/>
      <c r="L462" s="2082"/>
      <c r="M462" s="1856"/>
      <c r="N462" s="651"/>
      <c r="O462" s="651"/>
      <c r="P462" s="434"/>
      <c r="Q462" s="434"/>
      <c r="R462" s="411"/>
      <c r="S462" s="411"/>
    </row>
    <row r="463" spans="1:22" s="412" customFormat="1" ht="12.75">
      <c r="A463" s="1690">
        <f>+A459+0.2</f>
        <v>16.2</v>
      </c>
      <c r="B463" s="2082" t="s">
        <v>1718</v>
      </c>
      <c r="C463" s="2082"/>
      <c r="D463" s="2082"/>
      <c r="E463" s="2082"/>
      <c r="F463" s="2082"/>
      <c r="G463" s="2082"/>
      <c r="H463" s="2082"/>
      <c r="I463" s="2082"/>
      <c r="J463" s="2082"/>
      <c r="K463" s="2082"/>
      <c r="L463" s="2082"/>
      <c r="M463" s="1856"/>
      <c r="N463" s="651"/>
      <c r="O463" s="651"/>
      <c r="P463" s="434"/>
      <c r="Q463" s="434"/>
      <c r="R463" s="411"/>
      <c r="S463" s="411"/>
    </row>
    <row r="464" spans="1:22" s="412" customFormat="1" ht="12.75">
      <c r="A464" s="969"/>
      <c r="B464" s="2082"/>
      <c r="C464" s="2082"/>
      <c r="D464" s="2082"/>
      <c r="E464" s="2082"/>
      <c r="F464" s="2082"/>
      <c r="G464" s="2082"/>
      <c r="H464" s="2082"/>
      <c r="I464" s="2082"/>
      <c r="J464" s="2082"/>
      <c r="K464" s="2082"/>
      <c r="L464" s="2082"/>
      <c r="M464" s="1856"/>
      <c r="N464" s="651"/>
      <c r="O464" s="651"/>
      <c r="P464" s="434"/>
      <c r="Q464" s="434"/>
      <c r="R464" s="411"/>
      <c r="S464" s="411"/>
    </row>
    <row r="465" spans="1:19" s="412" customFormat="1" ht="12.75">
      <c r="A465" s="969"/>
      <c r="B465" s="2082"/>
      <c r="C465" s="2082"/>
      <c r="D465" s="2082"/>
      <c r="E465" s="2082"/>
      <c r="F465" s="2082"/>
      <c r="G465" s="2082"/>
      <c r="H465" s="2082"/>
      <c r="I465" s="2082"/>
      <c r="J465" s="2082"/>
      <c r="K465" s="2082"/>
      <c r="L465" s="2082"/>
      <c r="M465" s="1856"/>
      <c r="N465" s="651"/>
      <c r="O465" s="651"/>
      <c r="P465" s="434"/>
      <c r="Q465" s="434"/>
      <c r="R465" s="411"/>
      <c r="S465" s="411"/>
    </row>
    <row r="466" spans="1:19" s="412" customFormat="1" ht="12.75">
      <c r="A466" s="969"/>
      <c r="B466" s="969"/>
      <c r="C466" s="969"/>
      <c r="D466" s="969"/>
      <c r="E466" s="969"/>
      <c r="F466" s="969"/>
      <c r="G466" s="969"/>
      <c r="H466" s="969"/>
      <c r="I466" s="969"/>
      <c r="J466" s="969"/>
      <c r="K466" s="969"/>
      <c r="L466" s="969"/>
      <c r="M466" s="1856"/>
      <c r="N466" s="651"/>
      <c r="O466" s="651"/>
      <c r="P466" s="434"/>
      <c r="Q466" s="434"/>
      <c r="R466" s="411"/>
      <c r="S466" s="411"/>
    </row>
    <row r="467" spans="1:19" s="412" customFormat="1" ht="12.75">
      <c r="A467" s="970">
        <f>+A459+1</f>
        <v>17</v>
      </c>
      <c r="B467" s="884" t="s">
        <v>1290</v>
      </c>
      <c r="C467" s="884"/>
      <c r="D467" s="884"/>
      <c r="E467" s="884"/>
      <c r="F467" s="918"/>
      <c r="G467" s="918"/>
      <c r="H467" s="918"/>
      <c r="I467" s="918"/>
      <c r="J467" s="918"/>
      <c r="K467" s="918"/>
      <c r="L467" s="918"/>
      <c r="M467" s="1856"/>
      <c r="N467" s="651"/>
      <c r="O467" s="651"/>
      <c r="P467" s="434"/>
      <c r="Q467" s="434"/>
      <c r="R467" s="411"/>
      <c r="S467" s="411"/>
    </row>
    <row r="468" spans="1:19" s="412" customFormat="1" ht="12.75">
      <c r="A468" s="971"/>
      <c r="B468" s="918"/>
      <c r="C468" s="918"/>
      <c r="D468" s="918"/>
      <c r="E468" s="918"/>
      <c r="F468" s="918"/>
      <c r="G468" s="918"/>
      <c r="H468" s="918"/>
      <c r="I468" s="918"/>
      <c r="J468" s="918"/>
      <c r="K468" s="918"/>
      <c r="L468" s="918"/>
      <c r="M468" s="1856"/>
      <c r="N468" s="651"/>
      <c r="O468" s="651"/>
      <c r="P468" s="434"/>
      <c r="Q468" s="434"/>
      <c r="R468" s="411"/>
      <c r="S468" s="411"/>
    </row>
    <row r="469" spans="1:19" s="412" customFormat="1" ht="12.75">
      <c r="A469" s="971"/>
      <c r="B469" s="2082" t="s">
        <v>1291</v>
      </c>
      <c r="C469" s="2082"/>
      <c r="D469" s="2082"/>
      <c r="E469" s="2082"/>
      <c r="F469" s="2082"/>
      <c r="G469" s="2082"/>
      <c r="H469" s="2082"/>
      <c r="I469" s="2082"/>
      <c r="J469" s="2082"/>
      <c r="K469" s="2082"/>
      <c r="L469" s="2082"/>
      <c r="M469" s="1856"/>
      <c r="N469" s="651"/>
      <c r="O469" s="651"/>
      <c r="P469" s="434"/>
      <c r="Q469" s="434"/>
      <c r="R469" s="411"/>
      <c r="S469" s="411"/>
    </row>
    <row r="470" spans="1:19" s="412" customFormat="1" ht="12.75">
      <c r="A470" s="971"/>
      <c r="B470" s="2082"/>
      <c r="C470" s="2082"/>
      <c r="D470" s="2082"/>
      <c r="E470" s="2082"/>
      <c r="F470" s="2082"/>
      <c r="G470" s="2082"/>
      <c r="H470" s="2082"/>
      <c r="I470" s="2082"/>
      <c r="J470" s="2082"/>
      <c r="K470" s="2082"/>
      <c r="L470" s="2082"/>
      <c r="M470" s="1856"/>
      <c r="N470" s="651"/>
      <c r="O470" s="651"/>
      <c r="P470" s="434"/>
      <c r="Q470" s="434"/>
      <c r="R470" s="411"/>
      <c r="S470" s="411"/>
    </row>
    <row r="471" spans="1:19" s="412" customFormat="1" ht="12.75">
      <c r="A471" s="971"/>
      <c r="B471" s="1879"/>
      <c r="C471" s="1879"/>
      <c r="D471" s="1879"/>
      <c r="E471" s="1879"/>
      <c r="F471" s="1879"/>
      <c r="G471" s="1879"/>
      <c r="H471" s="1879"/>
      <c r="I471" s="1879"/>
      <c r="J471" s="1879"/>
      <c r="K471" s="1879"/>
      <c r="L471" s="1879"/>
      <c r="M471" s="1856"/>
      <c r="N471" s="651"/>
      <c r="O471" s="651"/>
      <c r="P471" s="434"/>
      <c r="Q471" s="434"/>
      <c r="R471" s="411"/>
      <c r="S471" s="411"/>
    </row>
    <row r="472" spans="1:19" s="412" customFormat="1" ht="12.75">
      <c r="A472" s="971"/>
      <c r="B472" s="1879"/>
      <c r="C472" s="1879"/>
      <c r="D472" s="1879"/>
      <c r="E472" s="1879"/>
      <c r="F472" s="1879"/>
      <c r="G472" s="1879"/>
      <c r="H472" s="1879"/>
      <c r="I472" s="1879"/>
      <c r="J472" s="1879"/>
      <c r="K472" s="1879"/>
      <c r="L472" s="1879"/>
      <c r="M472" s="1856"/>
      <c r="N472" s="651"/>
      <c r="O472" s="651"/>
      <c r="P472" s="434"/>
      <c r="Q472" s="434"/>
      <c r="R472" s="411"/>
      <c r="S472" s="411"/>
    </row>
    <row r="473" spans="1:19" s="412" customFormat="1" ht="12.75">
      <c r="A473" s="971"/>
      <c r="B473" s="1879"/>
      <c r="C473" s="1879"/>
      <c r="D473" s="1879"/>
      <c r="E473" s="1879"/>
      <c r="F473" s="1879"/>
      <c r="G473" s="1879"/>
      <c r="H473" s="1879"/>
      <c r="I473" s="1879"/>
      <c r="J473" s="1879"/>
      <c r="K473" s="1879"/>
      <c r="L473" s="1879"/>
      <c r="M473" s="1856"/>
      <c r="N473" s="651"/>
      <c r="O473" s="651"/>
      <c r="P473" s="434"/>
      <c r="Q473" s="434"/>
      <c r="R473" s="411"/>
      <c r="S473" s="411"/>
    </row>
    <row r="474" spans="1:19" s="412" customFormat="1" ht="12.75">
      <c r="A474" s="971"/>
      <c r="B474" s="1879"/>
      <c r="C474" s="1879"/>
      <c r="D474" s="1879"/>
      <c r="E474" s="1879"/>
      <c r="F474" s="1879"/>
      <c r="G474" s="1879"/>
      <c r="H474" s="1879"/>
      <c r="I474" s="1879"/>
      <c r="J474" s="1879"/>
      <c r="K474" s="1879"/>
      <c r="L474" s="1879"/>
      <c r="M474" s="1856"/>
      <c r="N474" s="651"/>
      <c r="O474" s="651"/>
      <c r="P474" s="434"/>
      <c r="Q474" s="434"/>
      <c r="R474" s="411"/>
      <c r="S474" s="411"/>
    </row>
    <row r="475" spans="1:19" s="412" customFormat="1" ht="12.75">
      <c r="A475" s="971"/>
      <c r="B475" s="1879"/>
      <c r="C475" s="1879"/>
      <c r="D475" s="1879"/>
      <c r="E475" s="1879"/>
      <c r="F475" s="1879"/>
      <c r="G475" s="1879"/>
      <c r="H475" s="1879"/>
      <c r="I475" s="1879"/>
      <c r="J475" s="1879"/>
      <c r="K475" s="1879"/>
      <c r="L475" s="1879"/>
      <c r="M475" s="1856"/>
      <c r="N475" s="651"/>
      <c r="O475" s="651"/>
      <c r="P475" s="434"/>
      <c r="Q475" s="434"/>
      <c r="R475" s="411"/>
      <c r="S475" s="411"/>
    </row>
    <row r="476" spans="1:19" s="412" customFormat="1" ht="12.75">
      <c r="A476" s="971"/>
      <c r="B476" s="1879"/>
      <c r="C476" s="1879"/>
      <c r="D476" s="1879"/>
      <c r="E476" s="1879"/>
      <c r="F476" s="1879"/>
      <c r="G476" s="1879"/>
      <c r="H476" s="1879"/>
      <c r="I476" s="1879"/>
      <c r="J476" s="1879"/>
      <c r="K476" s="1879"/>
      <c r="L476" s="1879"/>
      <c r="M476" s="1856"/>
      <c r="N476" s="651"/>
      <c r="O476" s="651"/>
      <c r="P476" s="434"/>
      <c r="Q476" s="434"/>
      <c r="R476" s="411"/>
      <c r="S476" s="411"/>
    </row>
    <row r="477" spans="1:19" s="412" customFormat="1" ht="12.75">
      <c r="A477" s="971"/>
      <c r="B477" s="1879"/>
      <c r="C477" s="1879"/>
      <c r="D477" s="1879"/>
      <c r="E477" s="1879"/>
      <c r="F477" s="1879"/>
      <c r="G477" s="1879"/>
      <c r="H477" s="1879"/>
      <c r="I477" s="1879"/>
      <c r="J477" s="1879"/>
      <c r="K477" s="1879"/>
      <c r="L477" s="1879"/>
      <c r="M477" s="1856"/>
      <c r="N477" s="651"/>
      <c r="O477" s="651"/>
      <c r="P477" s="434"/>
      <c r="Q477" s="434"/>
      <c r="R477" s="411"/>
      <c r="S477" s="411"/>
    </row>
    <row r="478" spans="1:19" s="412" customFormat="1" ht="12.75">
      <c r="A478" s="971"/>
      <c r="B478" s="1879"/>
      <c r="C478" s="1879"/>
      <c r="D478" s="1879"/>
      <c r="E478" s="1879"/>
      <c r="F478" s="1879"/>
      <c r="G478" s="1879"/>
      <c r="H478" s="1879"/>
      <c r="I478" s="1879"/>
      <c r="J478" s="1879"/>
      <c r="K478" s="1879"/>
      <c r="L478" s="1879"/>
      <c r="M478" s="1856"/>
      <c r="N478" s="651"/>
      <c r="O478" s="651"/>
      <c r="P478" s="434"/>
      <c r="Q478" s="434"/>
      <c r="R478" s="411"/>
      <c r="S478" s="411"/>
    </row>
    <row r="479" spans="1:19" s="412" customFormat="1" ht="12.75">
      <c r="A479" s="971"/>
      <c r="B479" s="1879"/>
      <c r="C479" s="1879"/>
      <c r="D479" s="1879"/>
      <c r="E479" s="1879"/>
      <c r="F479" s="1879"/>
      <c r="G479" s="1879"/>
      <c r="H479" s="1879"/>
      <c r="I479" s="1879"/>
      <c r="J479" s="1879"/>
      <c r="K479" s="1879"/>
      <c r="L479" s="1879"/>
      <c r="M479" s="1856"/>
      <c r="N479" s="651"/>
      <c r="O479" s="651"/>
      <c r="P479" s="434"/>
      <c r="Q479" s="434"/>
      <c r="R479" s="411"/>
      <c r="S479" s="411"/>
    </row>
    <row r="480" spans="1:19" s="412" customFormat="1" ht="12.75">
      <c r="A480" s="971"/>
      <c r="B480" s="1879"/>
      <c r="C480" s="1879"/>
      <c r="D480" s="1879"/>
      <c r="E480" s="1879"/>
      <c r="F480" s="1879"/>
      <c r="G480" s="1879"/>
      <c r="H480" s="1879"/>
      <c r="I480" s="1879"/>
      <c r="J480" s="1879"/>
      <c r="K480" s="1879"/>
      <c r="L480" s="1879"/>
      <c r="M480" s="1856"/>
      <c r="N480" s="651"/>
      <c r="O480" s="651"/>
      <c r="P480" s="434"/>
      <c r="Q480" s="434"/>
      <c r="R480" s="411"/>
      <c r="S480" s="411"/>
    </row>
    <row r="481" spans="1:19" s="412" customFormat="1" ht="12.75">
      <c r="A481" s="971"/>
      <c r="B481" s="1879"/>
      <c r="C481" s="1879"/>
      <c r="D481" s="1879"/>
      <c r="E481" s="1879"/>
      <c r="F481" s="1879"/>
      <c r="G481" s="1879"/>
      <c r="H481" s="1879"/>
      <c r="I481" s="1879"/>
      <c r="J481" s="1879"/>
      <c r="K481" s="1879"/>
      <c r="L481" s="1879"/>
      <c r="M481" s="1856"/>
      <c r="N481" s="651"/>
      <c r="O481" s="651"/>
      <c r="P481" s="434"/>
      <c r="Q481" s="434"/>
      <c r="R481" s="411"/>
      <c r="S481" s="411"/>
    </row>
    <row r="482" spans="1:19" s="412" customFormat="1" ht="12.75">
      <c r="A482" s="971"/>
      <c r="B482" s="1879"/>
      <c r="C482" s="1879"/>
      <c r="D482" s="1879"/>
      <c r="E482" s="1879"/>
      <c r="F482" s="1879"/>
      <c r="G482" s="1879"/>
      <c r="H482" s="1879"/>
      <c r="I482" s="1879"/>
      <c r="J482" s="1879"/>
      <c r="K482" s="1879"/>
      <c r="L482" s="1879"/>
      <c r="M482" s="1856"/>
      <c r="N482" s="651"/>
      <c r="O482" s="651"/>
      <c r="P482" s="434"/>
      <c r="Q482" s="434"/>
      <c r="R482" s="411"/>
      <c r="S482" s="411"/>
    </row>
    <row r="483" spans="1:19" s="412" customFormat="1" ht="12.75">
      <c r="A483" s="971"/>
      <c r="B483" s="1879"/>
      <c r="C483" s="1879"/>
      <c r="D483" s="1879"/>
      <c r="E483" s="1879"/>
      <c r="F483" s="1879"/>
      <c r="G483" s="1879"/>
      <c r="H483" s="1879"/>
      <c r="I483" s="1879"/>
      <c r="J483" s="1879"/>
      <c r="K483" s="1879"/>
      <c r="L483" s="1879"/>
      <c r="M483" s="1856"/>
      <c r="N483" s="651"/>
      <c r="O483" s="651"/>
      <c r="P483" s="434"/>
      <c r="Q483" s="434"/>
      <c r="R483" s="411"/>
      <c r="S483" s="411"/>
    </row>
    <row r="484" spans="1:19" s="412" customFormat="1" ht="12.75">
      <c r="A484" s="971"/>
      <c r="B484" s="1879"/>
      <c r="C484" s="1879"/>
      <c r="D484" s="1879"/>
      <c r="E484" s="1879"/>
      <c r="F484" s="1879"/>
      <c r="G484" s="1879"/>
      <c r="H484" s="1879"/>
      <c r="I484" s="1879"/>
      <c r="J484" s="1879"/>
      <c r="K484" s="1879"/>
      <c r="L484" s="1879"/>
      <c r="M484" s="1856"/>
      <c r="N484" s="651"/>
      <c r="O484" s="651"/>
      <c r="P484" s="434"/>
      <c r="Q484" s="434"/>
      <c r="R484" s="411"/>
      <c r="S484" s="411"/>
    </row>
    <row r="485" spans="1:19" s="412" customFormat="1" ht="12.75">
      <c r="A485" s="969"/>
      <c r="B485" s="969"/>
      <c r="C485" s="969"/>
      <c r="D485" s="969"/>
      <c r="E485" s="969"/>
      <c r="F485" s="969"/>
      <c r="G485" s="969"/>
      <c r="H485" s="969"/>
      <c r="I485" s="969"/>
      <c r="J485" s="969"/>
      <c r="K485" s="969"/>
      <c r="L485" s="969"/>
      <c r="M485" s="1856"/>
      <c r="N485" s="435"/>
      <c r="O485" s="435"/>
      <c r="P485" s="434"/>
      <c r="Q485" s="434"/>
      <c r="R485" s="411"/>
      <c r="S485" s="411"/>
    </row>
    <row r="486" spans="1:19" s="412" customFormat="1" ht="12.75" hidden="1">
      <c r="A486" s="415"/>
      <c r="B486" s="1291"/>
      <c r="C486" s="1292"/>
      <c r="D486" s="1292"/>
      <c r="E486" s="1292"/>
      <c r="F486" s="1292"/>
      <c r="G486" s="1292"/>
      <c r="H486" s="1292"/>
      <c r="I486" s="1292"/>
      <c r="J486" s="1292"/>
      <c r="K486" s="1292"/>
      <c r="L486" s="1292"/>
      <c r="M486" s="1857"/>
      <c r="N486" s="435" t="e">
        <f>'19 - 19.1.2'!H54*1%/1000</f>
        <v>#REF!</v>
      </c>
      <c r="O486" s="435">
        <f>'19 - 19.1.2'!J54*1%/1000</f>
        <v>0</v>
      </c>
      <c r="P486" s="430"/>
      <c r="Q486" s="430"/>
      <c r="R486" s="411"/>
      <c r="S486" s="411"/>
    </row>
    <row r="487" spans="1:19" s="412" customFormat="1" ht="12.75" hidden="1">
      <c r="A487" s="415"/>
      <c r="B487" s="1287" t="s">
        <v>1193</v>
      </c>
      <c r="C487" s="414" t="s">
        <v>1194</v>
      </c>
      <c r="D487" s="414"/>
      <c r="E487" s="414"/>
      <c r="F487" s="1293"/>
      <c r="G487" s="1293"/>
      <c r="H487" s="1293"/>
      <c r="I487" s="1293"/>
      <c r="J487" s="430"/>
      <c r="K487" s="430"/>
      <c r="L487" s="430"/>
      <c r="M487" s="1857"/>
      <c r="N487" s="430"/>
      <c r="O487" s="411"/>
      <c r="P487" s="411"/>
      <c r="Q487" s="411"/>
      <c r="R487" s="411"/>
      <c r="S487" s="411"/>
    </row>
    <row r="488" spans="1:19" s="412" customFormat="1" ht="12.75" hidden="1">
      <c r="A488" s="415"/>
      <c r="B488" s="1293"/>
      <c r="C488" s="1293"/>
      <c r="D488" s="1293"/>
      <c r="E488" s="1293"/>
      <c r="F488" s="1293"/>
      <c r="G488" s="1293"/>
      <c r="H488" s="1293"/>
      <c r="I488" s="1293"/>
      <c r="J488" s="430"/>
      <c r="K488" s="435"/>
      <c r="L488" s="435"/>
      <c r="M488" s="1857"/>
      <c r="N488" s="430"/>
      <c r="O488" s="411"/>
      <c r="P488" s="411"/>
      <c r="Q488" s="411"/>
      <c r="R488" s="411"/>
      <c r="S488" s="411"/>
    </row>
    <row r="489" spans="1:19" s="412" customFormat="1" ht="12.75" hidden="1">
      <c r="A489" s="415"/>
      <c r="B489" s="1293"/>
      <c r="C489" s="2079" t="s">
        <v>1195</v>
      </c>
      <c r="D489" s="2079"/>
      <c r="E489" s="2079"/>
      <c r="F489" s="2079"/>
      <c r="G489" s="2079"/>
      <c r="H489" s="2079"/>
      <c r="I489" s="2079"/>
      <c r="J489" s="2079"/>
      <c r="K489" s="2079"/>
      <c r="L489" s="2079"/>
      <c r="M489" s="1858"/>
      <c r="N489" s="436"/>
      <c r="O489" s="436"/>
      <c r="P489" s="436"/>
      <c r="Q489" s="436"/>
      <c r="R489" s="411"/>
      <c r="S489" s="411"/>
    </row>
    <row r="490" spans="1:19" s="412" customFormat="1" ht="12.75" hidden="1">
      <c r="A490" s="415"/>
      <c r="B490" s="1293"/>
      <c r="C490" s="2079"/>
      <c r="D490" s="2079"/>
      <c r="E490" s="2079"/>
      <c r="F490" s="2079"/>
      <c r="G490" s="2079"/>
      <c r="H490" s="2079"/>
      <c r="I490" s="2079"/>
      <c r="J490" s="2079"/>
      <c r="K490" s="2079"/>
      <c r="L490" s="2079"/>
      <c r="M490" s="1858"/>
      <c r="N490" s="436"/>
      <c r="O490" s="436"/>
      <c r="P490" s="436"/>
      <c r="Q490" s="436"/>
      <c r="R490" s="411"/>
      <c r="S490" s="411"/>
    </row>
    <row r="491" spans="1:19" s="412" customFormat="1" ht="12.75" hidden="1">
      <c r="A491" s="415"/>
      <c r="B491" s="1293"/>
      <c r="C491" s="2079"/>
      <c r="D491" s="2079"/>
      <c r="E491" s="2079"/>
      <c r="F491" s="2079"/>
      <c r="G491" s="2079"/>
      <c r="H491" s="2079"/>
      <c r="I491" s="2079"/>
      <c r="J491" s="2079"/>
      <c r="K491" s="2079"/>
      <c r="L491" s="2079"/>
      <c r="M491" s="1858"/>
      <c r="N491" s="436"/>
      <c r="O491" s="436"/>
      <c r="P491" s="436"/>
      <c r="Q491" s="436"/>
      <c r="R491" s="411"/>
      <c r="S491" s="411"/>
    </row>
    <row r="492" spans="1:19" s="412" customFormat="1" ht="12.75" hidden="1">
      <c r="A492" s="415"/>
      <c r="B492" s="1293"/>
      <c r="C492" s="2079"/>
      <c r="D492" s="2079"/>
      <c r="E492" s="2079"/>
      <c r="F492" s="2079"/>
      <c r="G492" s="2079"/>
      <c r="H492" s="2079"/>
      <c r="I492" s="2079"/>
      <c r="J492" s="2079"/>
      <c r="K492" s="2079"/>
      <c r="L492" s="2079"/>
      <c r="M492" s="1858"/>
      <c r="N492" s="436"/>
      <c r="O492" s="436"/>
      <c r="P492" s="436"/>
      <c r="Q492" s="436"/>
      <c r="R492" s="411"/>
      <c r="S492" s="411"/>
    </row>
    <row r="493" spans="1:19" s="412" customFormat="1" ht="12.75" hidden="1">
      <c r="A493" s="415"/>
      <c r="B493" s="1293"/>
      <c r="C493" s="2079"/>
      <c r="D493" s="2079"/>
      <c r="E493" s="2079"/>
      <c r="F493" s="2079"/>
      <c r="G493" s="2079"/>
      <c r="H493" s="2079"/>
      <c r="I493" s="2079"/>
      <c r="J493" s="2079"/>
      <c r="K493" s="2079"/>
      <c r="L493" s="2079"/>
      <c r="M493" s="1858"/>
      <c r="N493" s="436"/>
      <c r="O493" s="436"/>
      <c r="P493" s="436"/>
      <c r="Q493" s="436"/>
      <c r="R493" s="411"/>
      <c r="S493" s="411"/>
    </row>
    <row r="494" spans="1:19" s="412" customFormat="1" ht="12.75" hidden="1">
      <c r="A494" s="415"/>
      <c r="B494" s="1293"/>
      <c r="C494" s="2079"/>
      <c r="D494" s="2079"/>
      <c r="E494" s="2079"/>
      <c r="F494" s="2079"/>
      <c r="G494" s="2079"/>
      <c r="H494" s="2079"/>
      <c r="I494" s="2079"/>
      <c r="J494" s="2079"/>
      <c r="K494" s="2079"/>
      <c r="L494" s="2079"/>
      <c r="M494" s="1858"/>
      <c r="N494" s="436"/>
      <c r="O494" s="436"/>
      <c r="P494" s="436"/>
      <c r="Q494" s="436"/>
      <c r="R494" s="411"/>
      <c r="S494" s="411"/>
    </row>
    <row r="495" spans="1:19" s="412" customFormat="1" ht="12.75" hidden="1">
      <c r="A495" s="415"/>
      <c r="B495" s="1293"/>
      <c r="C495" s="2079"/>
      <c r="D495" s="2079"/>
      <c r="E495" s="2079"/>
      <c r="F495" s="2079"/>
      <c r="G495" s="2079"/>
      <c r="H495" s="2079"/>
      <c r="I495" s="2079"/>
      <c r="J495" s="2079"/>
      <c r="K495" s="2079"/>
      <c r="L495" s="2079"/>
      <c r="M495" s="1858"/>
      <c r="N495" s="436"/>
      <c r="O495" s="436"/>
      <c r="P495" s="436"/>
      <c r="Q495" s="436"/>
      <c r="R495" s="411"/>
      <c r="S495" s="411"/>
    </row>
    <row r="496" spans="1:19" s="412" customFormat="1" ht="12.75" hidden="1">
      <c r="A496" s="415"/>
      <c r="B496" s="1293"/>
      <c r="C496" s="2079"/>
      <c r="D496" s="2079"/>
      <c r="E496" s="2079"/>
      <c r="F496" s="2079"/>
      <c r="G496" s="2079"/>
      <c r="H496" s="2079"/>
      <c r="I496" s="2079"/>
      <c r="J496" s="2079"/>
      <c r="K496" s="2079"/>
      <c r="L496" s="2079"/>
      <c r="M496" s="1858"/>
      <c r="N496" s="436"/>
      <c r="O496" s="436"/>
      <c r="P496" s="436"/>
      <c r="Q496" s="436"/>
      <c r="R496" s="411"/>
      <c r="S496" s="411"/>
    </row>
    <row r="497" spans="1:19" s="412" customFormat="1" ht="12.75" hidden="1">
      <c r="A497" s="415"/>
      <c r="B497" s="1293"/>
      <c r="C497" s="2079"/>
      <c r="D497" s="2079"/>
      <c r="E497" s="2079"/>
      <c r="F497" s="2079"/>
      <c r="G497" s="2079"/>
      <c r="H497" s="2079"/>
      <c r="I497" s="2079"/>
      <c r="J497" s="2079"/>
      <c r="K497" s="2079"/>
      <c r="L497" s="2079"/>
      <c r="M497" s="1858"/>
      <c r="N497" s="436"/>
      <c r="O497" s="436"/>
      <c r="P497" s="436"/>
      <c r="Q497" s="436"/>
      <c r="R497" s="411"/>
      <c r="S497" s="411"/>
    </row>
    <row r="498" spans="1:19" s="412" customFormat="1" ht="9.9499999999999993" hidden="1" customHeight="1">
      <c r="A498" s="415"/>
      <c r="B498" s="1293"/>
      <c r="C498" s="1293"/>
      <c r="D498" s="1293"/>
      <c r="E498" s="1293"/>
      <c r="F498" s="1293"/>
      <c r="G498" s="1293"/>
      <c r="H498" s="1293"/>
      <c r="I498" s="1293"/>
      <c r="J498" s="430"/>
      <c r="K498" s="430"/>
      <c r="L498" s="430"/>
      <c r="M498" s="1857"/>
      <c r="N498" s="430"/>
      <c r="O498" s="411"/>
      <c r="P498" s="411"/>
      <c r="Q498" s="411"/>
      <c r="R498" s="411"/>
      <c r="S498" s="411"/>
    </row>
    <row r="499" spans="1:19" s="412" customFormat="1" ht="12" hidden="1" customHeight="1">
      <c r="A499" s="415"/>
      <c r="B499" s="437"/>
      <c r="C499" s="2079" t="s">
        <v>1196</v>
      </c>
      <c r="D499" s="2079"/>
      <c r="E499" s="2079"/>
      <c r="F499" s="2079"/>
      <c r="G499" s="2079"/>
      <c r="H499" s="2079"/>
      <c r="I499" s="2079"/>
      <c r="J499" s="2079"/>
      <c r="K499" s="2079"/>
      <c r="L499" s="2079"/>
      <c r="M499" s="1856"/>
      <c r="N499" s="434"/>
      <c r="O499" s="411"/>
      <c r="P499" s="411"/>
      <c r="Q499" s="411"/>
      <c r="R499" s="411"/>
      <c r="S499" s="411"/>
    </row>
    <row r="500" spans="1:19" s="412" customFormat="1" ht="12.75" hidden="1">
      <c r="A500" s="415"/>
      <c r="B500" s="437"/>
      <c r="C500" s="2079"/>
      <c r="D500" s="2079"/>
      <c r="E500" s="2079"/>
      <c r="F500" s="2079"/>
      <c r="G500" s="2079"/>
      <c r="H500" s="2079"/>
      <c r="I500" s="2079"/>
      <c r="J500" s="2079"/>
      <c r="K500" s="2079"/>
      <c r="L500" s="2079"/>
      <c r="M500" s="1856"/>
      <c r="N500" s="434"/>
      <c r="O500" s="411"/>
      <c r="P500" s="411"/>
      <c r="Q500" s="411"/>
      <c r="R500" s="411"/>
      <c r="S500" s="411"/>
    </row>
    <row r="501" spans="1:19" s="412" customFormat="1" ht="12.75" hidden="1">
      <c r="A501" s="415"/>
      <c r="B501" s="437"/>
      <c r="C501" s="2079"/>
      <c r="D501" s="2079"/>
      <c r="E501" s="2079"/>
      <c r="F501" s="2079"/>
      <c r="G501" s="2079"/>
      <c r="H501" s="2079"/>
      <c r="I501" s="2079"/>
      <c r="J501" s="2079"/>
      <c r="K501" s="2079"/>
      <c r="L501" s="2079"/>
      <c r="M501" s="1856"/>
      <c r="N501" s="434"/>
      <c r="O501" s="411"/>
      <c r="P501" s="411"/>
      <c r="Q501" s="411"/>
      <c r="R501" s="411"/>
      <c r="S501" s="411"/>
    </row>
    <row r="502" spans="1:19" s="412" customFormat="1" ht="12.75" hidden="1">
      <c r="A502" s="415"/>
      <c r="B502" s="437"/>
      <c r="C502" s="2079"/>
      <c r="D502" s="2079"/>
      <c r="E502" s="2079"/>
      <c r="F502" s="2079"/>
      <c r="G502" s="2079"/>
      <c r="H502" s="2079"/>
      <c r="I502" s="2079"/>
      <c r="J502" s="2079"/>
      <c r="K502" s="2079"/>
      <c r="L502" s="2079"/>
      <c r="M502" s="1856"/>
      <c r="N502" s="434"/>
      <c r="O502" s="411"/>
      <c r="P502" s="411"/>
      <c r="Q502" s="411"/>
      <c r="R502" s="411"/>
      <c r="S502" s="411"/>
    </row>
    <row r="503" spans="1:19" ht="12.75">
      <c r="A503" s="10"/>
      <c r="B503" s="10"/>
      <c r="C503" s="10"/>
      <c r="D503" s="10"/>
      <c r="E503" s="10"/>
      <c r="F503" s="10"/>
      <c r="G503" s="10"/>
      <c r="H503" s="10"/>
      <c r="I503" s="10"/>
      <c r="J503" s="10"/>
      <c r="K503" s="10"/>
      <c r="L503" s="10"/>
      <c r="M503" s="617"/>
      <c r="N503" s="10"/>
      <c r="O503" s="10"/>
      <c r="P503" s="10"/>
      <c r="Q503" s="10"/>
      <c r="R503" s="10"/>
      <c r="S503" s="10"/>
    </row>
    <row r="504" spans="1:19" ht="12.75">
      <c r="A504" s="10"/>
      <c r="B504" s="10"/>
      <c r="C504" s="10"/>
      <c r="D504" s="10"/>
      <c r="E504" s="10"/>
      <c r="F504" s="10"/>
      <c r="G504" s="10"/>
      <c r="H504" s="10"/>
      <c r="I504" s="10"/>
      <c r="J504" s="10"/>
      <c r="K504" s="10"/>
      <c r="L504" s="10"/>
      <c r="M504" s="617"/>
      <c r="N504" s="10"/>
      <c r="O504" s="10"/>
      <c r="P504" s="10"/>
      <c r="Q504" s="10"/>
      <c r="R504" s="10"/>
      <c r="S504" s="10"/>
    </row>
    <row r="505" spans="1:19" ht="12.75">
      <c r="A505" s="10"/>
      <c r="B505" s="10"/>
      <c r="C505" s="10"/>
      <c r="D505" s="10"/>
      <c r="E505" s="10"/>
      <c r="F505" s="10"/>
      <c r="G505" s="10"/>
      <c r="H505" s="10"/>
      <c r="I505" s="10"/>
      <c r="J505" s="10"/>
      <c r="K505" s="10"/>
      <c r="L505" s="10"/>
      <c r="M505" s="617"/>
      <c r="N505" s="10"/>
      <c r="O505" s="10"/>
      <c r="P505" s="10"/>
      <c r="Q505" s="10"/>
      <c r="R505" s="10"/>
      <c r="S505" s="10"/>
    </row>
    <row r="506" spans="1:19" ht="12.75">
      <c r="A506" s="10"/>
      <c r="B506" s="10"/>
      <c r="C506" s="10"/>
      <c r="D506" s="10"/>
      <c r="E506" s="10"/>
      <c r="F506" s="10"/>
      <c r="G506" s="10"/>
      <c r="H506" s="10"/>
      <c r="I506" s="10"/>
      <c r="J506" s="10"/>
      <c r="K506" s="10"/>
      <c r="L506" s="10"/>
      <c r="M506" s="617"/>
      <c r="N506" s="10"/>
      <c r="O506" s="10"/>
      <c r="P506" s="10"/>
      <c r="Q506" s="10"/>
      <c r="R506" s="10"/>
      <c r="S506" s="10"/>
    </row>
    <row r="507" spans="1:19" ht="12.75">
      <c r="A507" s="10"/>
      <c r="B507" s="10"/>
      <c r="C507" s="10"/>
      <c r="D507" s="10"/>
      <c r="E507" s="10"/>
      <c r="F507" s="10"/>
      <c r="G507" s="10"/>
      <c r="H507" s="10"/>
      <c r="I507" s="10"/>
      <c r="J507" s="10"/>
      <c r="K507" s="10"/>
      <c r="L507" s="10"/>
      <c r="M507" s="617"/>
      <c r="N507" s="10"/>
      <c r="O507" s="10"/>
      <c r="P507" s="10"/>
      <c r="Q507" s="10"/>
      <c r="R507" s="10"/>
      <c r="S507" s="10"/>
    </row>
    <row r="508" spans="1:19" ht="12.75">
      <c r="A508" s="10"/>
      <c r="B508" s="10"/>
      <c r="C508" s="10"/>
      <c r="D508" s="10"/>
      <c r="E508" s="10"/>
      <c r="F508" s="10"/>
      <c r="G508" s="10"/>
      <c r="H508" s="10"/>
      <c r="I508" s="10"/>
      <c r="J508" s="10"/>
      <c r="K508" s="10"/>
      <c r="L508" s="10"/>
      <c r="M508" s="617"/>
      <c r="N508" s="10"/>
      <c r="O508" s="10"/>
      <c r="P508" s="10"/>
      <c r="Q508" s="10"/>
      <c r="R508" s="10"/>
      <c r="S508" s="10"/>
    </row>
    <row r="509" spans="1:19" ht="12.75">
      <c r="A509" s="10"/>
      <c r="B509" s="10"/>
      <c r="C509" s="10"/>
      <c r="D509" s="10"/>
      <c r="E509" s="10"/>
      <c r="F509" s="10"/>
      <c r="G509" s="10"/>
      <c r="H509" s="10"/>
      <c r="I509" s="10"/>
      <c r="J509" s="10"/>
      <c r="K509" s="10"/>
      <c r="L509" s="10"/>
      <c r="M509" s="617"/>
      <c r="N509" s="10"/>
      <c r="O509" s="10"/>
      <c r="P509" s="10"/>
      <c r="Q509" s="10"/>
      <c r="R509" s="10"/>
      <c r="S509" s="10"/>
    </row>
    <row r="510" spans="1:19" ht="12.75">
      <c r="A510" s="10"/>
      <c r="B510" s="10"/>
      <c r="C510" s="10"/>
      <c r="D510" s="10"/>
      <c r="E510" s="10"/>
      <c r="F510" s="10"/>
      <c r="G510" s="10"/>
      <c r="H510" s="10"/>
      <c r="I510" s="10"/>
      <c r="J510" s="10"/>
      <c r="K510" s="10"/>
      <c r="L510" s="10"/>
      <c r="M510" s="617"/>
      <c r="N510" s="10"/>
      <c r="O510" s="10"/>
      <c r="P510" s="10"/>
      <c r="Q510" s="10"/>
      <c r="R510" s="10"/>
      <c r="S510" s="10"/>
    </row>
    <row r="511" spans="1:19" ht="12.75">
      <c r="A511" s="10"/>
      <c r="B511" s="10"/>
      <c r="C511" s="10"/>
      <c r="D511" s="10"/>
      <c r="E511" s="10"/>
      <c r="F511" s="10"/>
      <c r="G511" s="10"/>
      <c r="H511" s="10"/>
      <c r="I511" s="10"/>
      <c r="J511" s="10"/>
      <c r="K511" s="10"/>
      <c r="L511" s="10"/>
      <c r="M511" s="617"/>
      <c r="N511" s="10"/>
      <c r="O511" s="10"/>
      <c r="P511" s="10"/>
      <c r="Q511" s="10"/>
      <c r="R511" s="10"/>
      <c r="S511" s="10"/>
    </row>
    <row r="512" spans="1:19" ht="12.75">
      <c r="A512" s="10"/>
      <c r="B512" s="10"/>
      <c r="C512" s="10"/>
      <c r="D512" s="10"/>
      <c r="E512" s="10"/>
      <c r="F512" s="10"/>
      <c r="G512" s="10"/>
      <c r="H512" s="10"/>
      <c r="I512" s="10"/>
      <c r="J512" s="10"/>
      <c r="K512" s="10"/>
      <c r="L512" s="10"/>
      <c r="M512" s="617"/>
      <c r="N512" s="10"/>
      <c r="O512" s="10"/>
      <c r="P512" s="10"/>
      <c r="Q512" s="10"/>
      <c r="R512" s="10"/>
      <c r="S512" s="10"/>
    </row>
    <row r="513" spans="1:19" ht="12.75">
      <c r="A513" s="10"/>
      <c r="B513" s="10"/>
      <c r="C513" s="10"/>
      <c r="D513" s="10"/>
      <c r="E513" s="10"/>
      <c r="F513" s="10"/>
      <c r="G513" s="10"/>
      <c r="H513" s="10"/>
      <c r="I513" s="10"/>
      <c r="J513" s="10"/>
      <c r="K513" s="10"/>
      <c r="L513" s="10"/>
      <c r="M513" s="617"/>
      <c r="N513" s="10"/>
      <c r="O513" s="10"/>
      <c r="P513" s="10"/>
      <c r="Q513" s="10"/>
      <c r="R513" s="10"/>
      <c r="S513" s="10"/>
    </row>
    <row r="514" spans="1:19" ht="12.75">
      <c r="A514" s="10"/>
      <c r="B514" s="10"/>
      <c r="C514" s="10"/>
      <c r="D514" s="10"/>
      <c r="E514" s="10"/>
      <c r="F514" s="10"/>
      <c r="G514" s="10"/>
      <c r="H514" s="10"/>
      <c r="I514" s="10"/>
      <c r="J514" s="10"/>
      <c r="K514" s="10"/>
      <c r="L514" s="10"/>
      <c r="M514" s="617"/>
      <c r="N514" s="10"/>
      <c r="O514" s="10"/>
      <c r="P514" s="10"/>
      <c r="Q514" s="10"/>
      <c r="R514" s="10"/>
      <c r="S514" s="10"/>
    </row>
    <row r="515" spans="1:19" ht="12.75">
      <c r="A515" s="10"/>
      <c r="B515" s="10"/>
      <c r="C515" s="10"/>
      <c r="D515" s="10"/>
      <c r="E515" s="10"/>
      <c r="F515" s="10"/>
      <c r="G515" s="10"/>
      <c r="H515" s="10"/>
      <c r="I515" s="10"/>
      <c r="J515" s="10"/>
      <c r="K515" s="10"/>
      <c r="L515" s="10"/>
      <c r="M515" s="617"/>
      <c r="N515" s="10"/>
      <c r="O515" s="10"/>
      <c r="P515" s="10"/>
      <c r="Q515" s="10"/>
      <c r="R515" s="10"/>
      <c r="S515" s="10"/>
    </row>
    <row r="516" spans="1:19" ht="12.75">
      <c r="A516" s="10"/>
      <c r="B516" s="10"/>
      <c r="C516" s="10"/>
      <c r="D516" s="10"/>
      <c r="E516" s="10"/>
      <c r="F516" s="10"/>
      <c r="G516" s="10"/>
      <c r="H516" s="10"/>
      <c r="I516" s="10"/>
      <c r="J516" s="10"/>
      <c r="K516" s="10"/>
      <c r="L516" s="10"/>
      <c r="M516" s="617"/>
      <c r="N516" s="10"/>
      <c r="O516" s="10"/>
      <c r="P516" s="10"/>
      <c r="Q516" s="10"/>
      <c r="R516" s="10"/>
      <c r="S516" s="10"/>
    </row>
    <row r="517" spans="1:19" ht="12.75">
      <c r="A517" s="10"/>
      <c r="B517" s="10"/>
      <c r="C517" s="10"/>
      <c r="D517" s="10"/>
      <c r="E517" s="10"/>
      <c r="F517" s="10"/>
      <c r="G517" s="10"/>
      <c r="H517" s="10"/>
      <c r="I517" s="10"/>
      <c r="J517" s="10"/>
      <c r="K517" s="10"/>
      <c r="L517" s="10"/>
      <c r="M517" s="617"/>
      <c r="N517" s="10"/>
      <c r="O517" s="10"/>
      <c r="P517" s="10"/>
      <c r="Q517" s="10"/>
      <c r="R517" s="10"/>
      <c r="S517" s="10"/>
    </row>
    <row r="518" spans="1:19" ht="12.75">
      <c r="A518" s="10"/>
      <c r="B518" s="10"/>
      <c r="C518" s="10"/>
      <c r="D518" s="10"/>
      <c r="E518" s="10"/>
      <c r="F518" s="10"/>
      <c r="G518" s="10"/>
      <c r="H518" s="10"/>
      <c r="I518" s="10"/>
      <c r="J518" s="10"/>
      <c r="K518" s="10"/>
      <c r="L518" s="10"/>
      <c r="M518" s="617"/>
      <c r="N518" s="10"/>
      <c r="O518" s="10"/>
      <c r="P518" s="10"/>
      <c r="Q518" s="10"/>
      <c r="R518" s="10"/>
      <c r="S518" s="10"/>
    </row>
    <row r="519" spans="1:19" ht="12.75">
      <c r="A519" s="10"/>
      <c r="B519" s="10"/>
      <c r="C519" s="10"/>
      <c r="D519" s="10"/>
      <c r="E519" s="10"/>
      <c r="F519" s="10"/>
      <c r="G519" s="10"/>
      <c r="H519" s="10"/>
      <c r="I519" s="10"/>
      <c r="J519" s="10"/>
      <c r="K519" s="10"/>
      <c r="L519" s="10"/>
      <c r="M519" s="617"/>
      <c r="N519" s="10"/>
      <c r="O519" s="10"/>
      <c r="P519" s="10"/>
      <c r="Q519" s="10"/>
      <c r="R519" s="10"/>
      <c r="S519" s="10"/>
    </row>
    <row r="520" spans="1:19" ht="12.75">
      <c r="A520" s="10"/>
      <c r="B520" s="10"/>
      <c r="C520" s="10"/>
      <c r="D520" s="10"/>
      <c r="E520" s="10"/>
      <c r="F520" s="10"/>
      <c r="G520" s="10"/>
      <c r="H520" s="10"/>
      <c r="I520" s="10"/>
      <c r="J520" s="10"/>
      <c r="K520" s="10"/>
      <c r="L520" s="10"/>
      <c r="M520" s="617"/>
      <c r="N520" s="10"/>
      <c r="O520" s="10"/>
      <c r="P520" s="10"/>
      <c r="Q520" s="10"/>
      <c r="R520" s="10"/>
      <c r="S520" s="10"/>
    </row>
    <row r="521" spans="1:19" ht="12.75">
      <c r="A521" s="10"/>
      <c r="B521" s="10"/>
      <c r="C521" s="10"/>
      <c r="D521" s="10"/>
      <c r="E521" s="10"/>
      <c r="F521" s="10"/>
      <c r="G521" s="10"/>
      <c r="H521" s="10"/>
      <c r="I521" s="10"/>
      <c r="J521" s="10"/>
      <c r="K521" s="10"/>
      <c r="L521" s="10"/>
      <c r="M521" s="617"/>
      <c r="N521" s="10"/>
      <c r="O521" s="10"/>
      <c r="P521" s="10"/>
      <c r="Q521" s="10"/>
      <c r="R521" s="10"/>
      <c r="S521" s="10"/>
    </row>
    <row r="522" spans="1:19" ht="12.75">
      <c r="A522" s="10"/>
      <c r="B522" s="10"/>
      <c r="C522" s="10"/>
      <c r="D522" s="10"/>
      <c r="E522" s="10"/>
      <c r="F522" s="10"/>
      <c r="G522" s="10"/>
      <c r="H522" s="10"/>
      <c r="I522" s="10"/>
      <c r="J522" s="10"/>
      <c r="K522" s="10"/>
      <c r="L522" s="10"/>
      <c r="M522" s="617"/>
      <c r="N522" s="10"/>
      <c r="O522" s="10"/>
      <c r="P522" s="10"/>
      <c r="Q522" s="10"/>
      <c r="R522" s="10"/>
      <c r="S522" s="10"/>
    </row>
    <row r="523" spans="1:19" ht="12.75">
      <c r="A523" s="10"/>
      <c r="B523" s="10"/>
      <c r="C523" s="10"/>
      <c r="D523" s="10"/>
      <c r="E523" s="10"/>
      <c r="F523" s="10"/>
      <c r="G523" s="10"/>
      <c r="H523" s="10"/>
      <c r="I523" s="10"/>
      <c r="J523" s="10"/>
      <c r="K523" s="10"/>
      <c r="L523" s="10"/>
      <c r="M523" s="617"/>
      <c r="N523" s="10"/>
      <c r="O523" s="10"/>
      <c r="P523" s="10"/>
      <c r="Q523" s="10"/>
      <c r="R523" s="10"/>
      <c r="S523" s="10"/>
    </row>
    <row r="524" spans="1:19" ht="12.75">
      <c r="A524" s="10"/>
      <c r="B524" s="10"/>
      <c r="C524" s="10"/>
      <c r="D524" s="10"/>
      <c r="E524" s="10"/>
      <c r="F524" s="10"/>
      <c r="G524" s="10"/>
      <c r="H524" s="10"/>
      <c r="I524" s="10"/>
      <c r="J524" s="10"/>
      <c r="K524" s="10"/>
      <c r="L524" s="10"/>
      <c r="M524" s="617"/>
      <c r="N524" s="10"/>
      <c r="O524" s="10"/>
      <c r="P524" s="10"/>
      <c r="Q524" s="10"/>
      <c r="R524" s="10"/>
      <c r="S524" s="10"/>
    </row>
    <row r="525" spans="1:19" ht="12.75">
      <c r="A525" s="10"/>
      <c r="B525" s="10"/>
      <c r="C525" s="10"/>
      <c r="D525" s="10"/>
      <c r="E525" s="10"/>
      <c r="F525" s="10"/>
      <c r="G525" s="10"/>
      <c r="H525" s="10"/>
      <c r="I525" s="10"/>
      <c r="J525" s="10"/>
      <c r="K525" s="10"/>
      <c r="L525" s="10"/>
      <c r="M525" s="617"/>
      <c r="N525" s="10"/>
      <c r="O525" s="10"/>
      <c r="P525" s="10"/>
      <c r="Q525" s="10"/>
      <c r="R525" s="10"/>
      <c r="S525" s="10"/>
    </row>
    <row r="526" spans="1:19" ht="12.75">
      <c r="A526" s="10"/>
      <c r="B526" s="10"/>
      <c r="C526" s="10"/>
      <c r="D526" s="10"/>
      <c r="E526" s="10"/>
      <c r="F526" s="10"/>
      <c r="G526" s="10"/>
      <c r="H526" s="10"/>
      <c r="I526" s="10"/>
      <c r="J526" s="10"/>
      <c r="K526" s="10"/>
      <c r="L526" s="10"/>
      <c r="M526" s="617"/>
      <c r="N526" s="10"/>
      <c r="O526" s="10"/>
      <c r="P526" s="10"/>
      <c r="Q526" s="10"/>
      <c r="R526" s="10"/>
      <c r="S526" s="10"/>
    </row>
    <row r="527" spans="1:19" ht="12.75">
      <c r="A527" s="10"/>
      <c r="B527" s="10"/>
      <c r="C527" s="10"/>
      <c r="D527" s="10"/>
      <c r="E527" s="10"/>
      <c r="F527" s="10"/>
      <c r="G527" s="10"/>
      <c r="H527" s="10"/>
      <c r="I527" s="10"/>
      <c r="J527" s="10"/>
      <c r="K527" s="10"/>
      <c r="L527" s="10"/>
      <c r="M527" s="617"/>
      <c r="N527" s="10"/>
      <c r="O527" s="10"/>
      <c r="P527" s="10"/>
      <c r="Q527" s="10"/>
      <c r="R527" s="10"/>
      <c r="S527" s="10"/>
    </row>
    <row r="528" spans="1:19" ht="12.75">
      <c r="A528" s="10"/>
      <c r="B528" s="10"/>
      <c r="C528" s="10"/>
      <c r="D528" s="10"/>
      <c r="E528" s="10"/>
      <c r="F528" s="10"/>
      <c r="G528" s="10"/>
      <c r="H528" s="10"/>
      <c r="I528" s="10"/>
      <c r="J528" s="10"/>
      <c r="K528" s="10"/>
      <c r="L528" s="10"/>
      <c r="M528" s="617"/>
      <c r="N528" s="10"/>
      <c r="O528" s="10"/>
      <c r="P528" s="10"/>
      <c r="Q528" s="10"/>
      <c r="R528" s="10"/>
      <c r="S528" s="10"/>
    </row>
    <row r="529" spans="1:19" ht="12.75">
      <c r="A529" s="10"/>
      <c r="B529" s="10"/>
      <c r="C529" s="10"/>
      <c r="D529" s="10"/>
      <c r="E529" s="10"/>
      <c r="F529" s="10"/>
      <c r="G529" s="10"/>
      <c r="H529" s="10"/>
      <c r="I529" s="10"/>
      <c r="J529" s="10"/>
      <c r="K529" s="10"/>
      <c r="L529" s="10"/>
      <c r="M529" s="617"/>
      <c r="N529" s="10"/>
      <c r="O529" s="10"/>
      <c r="P529" s="10"/>
      <c r="Q529" s="10"/>
      <c r="R529" s="10"/>
      <c r="S529" s="10"/>
    </row>
    <row r="530" spans="1:19" ht="12.75">
      <c r="A530" s="10"/>
      <c r="B530" s="10"/>
      <c r="C530" s="10"/>
      <c r="D530" s="10"/>
      <c r="E530" s="10"/>
      <c r="F530" s="10"/>
      <c r="G530" s="10"/>
      <c r="H530" s="10"/>
      <c r="I530" s="10"/>
      <c r="J530" s="10"/>
      <c r="K530" s="10"/>
      <c r="L530" s="10"/>
      <c r="M530" s="617"/>
      <c r="N530" s="10"/>
      <c r="O530" s="10"/>
      <c r="P530" s="10"/>
      <c r="Q530" s="10"/>
      <c r="R530" s="10"/>
      <c r="S530" s="10"/>
    </row>
    <row r="531" spans="1:19" ht="12.75">
      <c r="A531" s="10"/>
      <c r="B531" s="10"/>
      <c r="C531" s="10"/>
      <c r="D531" s="10"/>
      <c r="E531" s="10"/>
      <c r="F531" s="10"/>
      <c r="G531" s="10"/>
      <c r="H531" s="10"/>
      <c r="I531" s="10"/>
      <c r="J531" s="10"/>
      <c r="K531" s="10"/>
      <c r="L531" s="10"/>
      <c r="M531" s="617"/>
      <c r="N531" s="10"/>
      <c r="O531" s="10"/>
      <c r="P531" s="10"/>
      <c r="Q531" s="10"/>
      <c r="R531" s="10"/>
      <c r="S531" s="10"/>
    </row>
    <row r="532" spans="1:19" ht="12.75">
      <c r="A532" s="10"/>
      <c r="B532" s="10"/>
      <c r="C532" s="10"/>
      <c r="D532" s="10"/>
      <c r="E532" s="10"/>
      <c r="F532" s="10"/>
      <c r="G532" s="10"/>
      <c r="H532" s="10"/>
      <c r="I532" s="10"/>
      <c r="J532" s="10"/>
      <c r="K532" s="10"/>
      <c r="L532" s="10"/>
      <c r="M532" s="617"/>
      <c r="N532" s="10"/>
      <c r="O532" s="10"/>
      <c r="P532" s="10"/>
      <c r="Q532" s="10"/>
      <c r="R532" s="10"/>
      <c r="S532" s="10"/>
    </row>
    <row r="533" spans="1:19" ht="12.75">
      <c r="A533" s="10"/>
      <c r="B533" s="10"/>
      <c r="C533" s="10"/>
      <c r="D533" s="10"/>
      <c r="E533" s="10"/>
      <c r="F533" s="10"/>
      <c r="G533" s="10"/>
      <c r="H533" s="10"/>
      <c r="I533" s="10"/>
      <c r="J533" s="10"/>
      <c r="K533" s="10"/>
      <c r="L533" s="10"/>
      <c r="M533" s="617"/>
      <c r="N533" s="10"/>
      <c r="O533" s="10"/>
      <c r="P533" s="10"/>
      <c r="Q533" s="10"/>
      <c r="R533" s="10"/>
      <c r="S533" s="10"/>
    </row>
    <row r="534" spans="1:19" ht="12.75">
      <c r="A534" s="10"/>
      <c r="B534" s="10"/>
      <c r="C534" s="10"/>
      <c r="D534" s="10"/>
      <c r="E534" s="10"/>
      <c r="F534" s="10"/>
      <c r="G534" s="10"/>
      <c r="H534" s="10"/>
      <c r="I534" s="10"/>
      <c r="J534" s="10"/>
      <c r="K534" s="10"/>
      <c r="L534" s="10"/>
      <c r="M534" s="617"/>
      <c r="N534" s="10"/>
      <c r="O534" s="10"/>
      <c r="P534" s="10"/>
      <c r="Q534" s="10"/>
      <c r="R534" s="10"/>
      <c r="S534" s="10"/>
    </row>
    <row r="535" spans="1:19" ht="12.75">
      <c r="A535" s="10"/>
      <c r="B535" s="10"/>
      <c r="C535" s="10"/>
      <c r="D535" s="10"/>
      <c r="E535" s="10"/>
      <c r="F535" s="10"/>
      <c r="G535" s="10"/>
      <c r="H535" s="10"/>
      <c r="I535" s="10"/>
      <c r="J535" s="10"/>
      <c r="K535" s="10"/>
      <c r="L535" s="10"/>
      <c r="M535" s="617"/>
      <c r="N535" s="10"/>
      <c r="O535" s="10"/>
      <c r="P535" s="10"/>
      <c r="Q535" s="10"/>
      <c r="R535" s="10"/>
      <c r="S535" s="10"/>
    </row>
    <row r="536" spans="1:19" ht="12.75">
      <c r="A536" s="10"/>
      <c r="B536" s="10"/>
      <c r="C536" s="10"/>
      <c r="D536" s="10"/>
      <c r="E536" s="10"/>
      <c r="F536" s="10"/>
      <c r="G536" s="10"/>
      <c r="H536" s="10"/>
      <c r="I536" s="10"/>
      <c r="J536" s="10"/>
      <c r="K536" s="10"/>
      <c r="L536" s="10"/>
      <c r="M536" s="617"/>
      <c r="N536" s="10"/>
      <c r="O536" s="10"/>
      <c r="P536" s="10"/>
      <c r="Q536" s="10"/>
      <c r="R536" s="10"/>
      <c r="S536" s="10"/>
    </row>
    <row r="537" spans="1:19" ht="12.75">
      <c r="A537" s="10"/>
      <c r="B537" s="10"/>
      <c r="C537" s="10"/>
      <c r="D537" s="10"/>
      <c r="E537" s="10"/>
      <c r="F537" s="10"/>
      <c r="G537" s="10"/>
      <c r="H537" s="10"/>
      <c r="I537" s="10"/>
      <c r="J537" s="10"/>
      <c r="K537" s="10"/>
      <c r="L537" s="10"/>
      <c r="M537" s="617"/>
      <c r="N537" s="10"/>
      <c r="O537" s="10"/>
      <c r="P537" s="10"/>
      <c r="Q537" s="10"/>
      <c r="R537" s="10"/>
      <c r="S537" s="10"/>
    </row>
    <row r="538" spans="1:19" ht="12.75">
      <c r="A538" s="10"/>
      <c r="B538" s="10"/>
      <c r="C538" s="10"/>
      <c r="D538" s="10"/>
      <c r="E538" s="10"/>
      <c r="F538" s="10"/>
      <c r="G538" s="10"/>
      <c r="H538" s="10"/>
      <c r="I538" s="10"/>
      <c r="J538" s="10"/>
      <c r="K538" s="10"/>
      <c r="L538" s="10"/>
      <c r="M538" s="617"/>
      <c r="N538" s="10"/>
      <c r="O538" s="10"/>
      <c r="P538" s="10"/>
      <c r="Q538" s="10"/>
      <c r="R538" s="10"/>
      <c r="S538" s="10"/>
    </row>
    <row r="539" spans="1:19" ht="12.75">
      <c r="A539" s="10"/>
      <c r="B539" s="10"/>
      <c r="C539" s="10"/>
      <c r="D539" s="10"/>
      <c r="E539" s="10"/>
      <c r="F539" s="10"/>
      <c r="G539" s="10"/>
      <c r="H539" s="10"/>
      <c r="I539" s="10"/>
      <c r="J539" s="10"/>
      <c r="K539" s="10"/>
      <c r="L539" s="10"/>
      <c r="M539" s="617"/>
      <c r="N539" s="10"/>
      <c r="O539" s="10"/>
      <c r="P539" s="10"/>
      <c r="Q539" s="10"/>
      <c r="R539" s="10"/>
      <c r="S539" s="10"/>
    </row>
    <row r="540" spans="1:19" ht="12.75">
      <c r="A540" s="10"/>
      <c r="B540" s="10"/>
      <c r="C540" s="10"/>
      <c r="D540" s="10"/>
      <c r="E540" s="10"/>
      <c r="F540" s="10"/>
      <c r="G540" s="10"/>
      <c r="H540" s="10"/>
      <c r="I540" s="10"/>
      <c r="J540" s="10"/>
      <c r="K540" s="10"/>
      <c r="L540" s="10"/>
      <c r="M540" s="617"/>
      <c r="N540" s="10"/>
      <c r="O540" s="10"/>
      <c r="P540" s="10"/>
      <c r="Q540" s="10"/>
      <c r="R540" s="10"/>
      <c r="S540" s="10"/>
    </row>
    <row r="541" spans="1:19" ht="12.75">
      <c r="A541" s="10"/>
      <c r="B541" s="10"/>
      <c r="C541" s="10"/>
      <c r="D541" s="10"/>
      <c r="E541" s="10"/>
      <c r="F541" s="10"/>
      <c r="G541" s="10"/>
      <c r="H541" s="10"/>
      <c r="I541" s="10"/>
      <c r="J541" s="10"/>
      <c r="K541" s="10"/>
      <c r="L541" s="10"/>
      <c r="M541" s="617"/>
      <c r="N541" s="10"/>
      <c r="O541" s="10"/>
      <c r="P541" s="10"/>
      <c r="Q541" s="10"/>
      <c r="R541" s="10"/>
      <c r="S541" s="10"/>
    </row>
    <row r="542" spans="1:19" ht="12.75">
      <c r="A542" s="10"/>
      <c r="B542" s="10"/>
      <c r="C542" s="10"/>
      <c r="D542" s="10"/>
      <c r="E542" s="10"/>
      <c r="F542" s="10"/>
      <c r="G542" s="10"/>
      <c r="H542" s="10"/>
      <c r="I542" s="10"/>
      <c r="J542" s="10"/>
      <c r="K542" s="10"/>
      <c r="L542" s="10"/>
      <c r="M542" s="617"/>
      <c r="N542" s="10"/>
      <c r="O542" s="10"/>
      <c r="P542" s="10"/>
      <c r="Q542" s="10"/>
      <c r="R542" s="10"/>
      <c r="S542" s="10"/>
    </row>
    <row r="543" spans="1:19" ht="12.75">
      <c r="A543" s="10"/>
      <c r="B543" s="10"/>
      <c r="C543" s="10"/>
      <c r="D543" s="10"/>
      <c r="E543" s="10"/>
      <c r="F543" s="10"/>
      <c r="G543" s="10"/>
      <c r="H543" s="10"/>
      <c r="I543" s="10"/>
      <c r="J543" s="10"/>
      <c r="K543" s="10"/>
      <c r="L543" s="10"/>
      <c r="M543" s="617"/>
      <c r="N543" s="10"/>
      <c r="O543" s="10"/>
      <c r="P543" s="10"/>
      <c r="Q543" s="10"/>
      <c r="R543" s="10"/>
      <c r="S543" s="10"/>
    </row>
    <row r="544" spans="1:19" ht="12.75">
      <c r="A544" s="10"/>
      <c r="B544" s="10"/>
      <c r="C544" s="10"/>
      <c r="D544" s="10"/>
      <c r="E544" s="10"/>
      <c r="F544" s="10"/>
      <c r="G544" s="10"/>
      <c r="H544" s="10"/>
      <c r="I544" s="10"/>
      <c r="J544" s="10"/>
      <c r="K544" s="10"/>
      <c r="L544" s="10"/>
      <c r="M544" s="617"/>
      <c r="N544" s="10"/>
      <c r="O544" s="10"/>
      <c r="P544" s="10"/>
      <c r="Q544" s="10"/>
      <c r="R544" s="10"/>
      <c r="S544" s="10"/>
    </row>
    <row r="545" spans="1:19" ht="12.75">
      <c r="A545" s="10"/>
      <c r="B545" s="10"/>
      <c r="C545" s="10"/>
      <c r="D545" s="10"/>
      <c r="E545" s="10"/>
      <c r="F545" s="10"/>
      <c r="G545" s="10"/>
      <c r="H545" s="10"/>
      <c r="I545" s="10"/>
      <c r="J545" s="10"/>
      <c r="K545" s="10"/>
      <c r="L545" s="10"/>
      <c r="M545" s="617"/>
      <c r="N545" s="10"/>
      <c r="O545" s="10"/>
      <c r="P545" s="10"/>
      <c r="Q545" s="10"/>
      <c r="R545" s="10"/>
      <c r="S545" s="10"/>
    </row>
    <row r="546" spans="1:19" ht="12.75">
      <c r="A546" s="10"/>
      <c r="B546" s="10"/>
      <c r="C546" s="10"/>
      <c r="D546" s="10"/>
      <c r="E546" s="10"/>
      <c r="F546" s="10"/>
      <c r="G546" s="10"/>
      <c r="H546" s="10"/>
      <c r="I546" s="10"/>
      <c r="J546" s="10"/>
      <c r="K546" s="10"/>
      <c r="L546" s="10"/>
      <c r="M546" s="617"/>
      <c r="N546" s="10"/>
      <c r="O546" s="10"/>
      <c r="P546" s="10"/>
      <c r="Q546" s="10"/>
      <c r="R546" s="10"/>
      <c r="S546" s="10"/>
    </row>
    <row r="547" spans="1:19" ht="12.75">
      <c r="A547" s="10"/>
      <c r="B547" s="10"/>
      <c r="C547" s="10"/>
      <c r="D547" s="10"/>
      <c r="E547" s="10"/>
      <c r="F547" s="10"/>
      <c r="G547" s="10"/>
      <c r="H547" s="10"/>
      <c r="I547" s="10"/>
      <c r="J547" s="10"/>
      <c r="K547" s="10"/>
      <c r="L547" s="10"/>
      <c r="M547" s="617"/>
      <c r="N547" s="10"/>
      <c r="O547" s="10"/>
      <c r="P547" s="10"/>
      <c r="Q547" s="10"/>
      <c r="R547" s="10"/>
      <c r="S547" s="10"/>
    </row>
    <row r="548" spans="1:19" ht="12.75">
      <c r="A548" s="10"/>
      <c r="B548" s="10"/>
      <c r="C548" s="10"/>
      <c r="D548" s="10"/>
      <c r="E548" s="10"/>
      <c r="F548" s="10"/>
      <c r="G548" s="10"/>
      <c r="H548" s="10"/>
      <c r="I548" s="10"/>
      <c r="J548" s="10"/>
      <c r="K548" s="10"/>
      <c r="L548" s="10"/>
      <c r="M548" s="617"/>
      <c r="N548" s="10"/>
      <c r="O548" s="10"/>
      <c r="P548" s="10"/>
      <c r="Q548" s="10"/>
      <c r="R548" s="10"/>
      <c r="S548" s="10"/>
    </row>
    <row r="549" spans="1:19" ht="12.75">
      <c r="A549" s="10"/>
      <c r="B549" s="10"/>
      <c r="C549" s="10"/>
      <c r="D549" s="10"/>
      <c r="E549" s="10"/>
      <c r="F549" s="10"/>
      <c r="G549" s="10"/>
      <c r="H549" s="10"/>
      <c r="I549" s="10"/>
      <c r="J549" s="10"/>
      <c r="K549" s="10"/>
      <c r="L549" s="10"/>
      <c r="M549" s="617"/>
      <c r="N549" s="10"/>
      <c r="O549" s="10"/>
      <c r="P549" s="10"/>
      <c r="Q549" s="10"/>
      <c r="R549" s="10"/>
      <c r="S549" s="10"/>
    </row>
    <row r="550" spans="1:19" ht="12.75">
      <c r="A550" s="10"/>
      <c r="B550" s="10"/>
      <c r="C550" s="10"/>
      <c r="D550" s="10"/>
      <c r="E550" s="10"/>
      <c r="F550" s="10"/>
      <c r="G550" s="10"/>
      <c r="H550" s="10"/>
      <c r="I550" s="10"/>
      <c r="J550" s="10"/>
      <c r="K550" s="10"/>
      <c r="L550" s="10"/>
      <c r="M550" s="617"/>
      <c r="N550" s="10"/>
      <c r="O550" s="10"/>
      <c r="P550" s="10"/>
      <c r="Q550" s="10"/>
      <c r="R550" s="10"/>
      <c r="S550" s="10"/>
    </row>
    <row r="551" spans="1:19" ht="12.75">
      <c r="A551" s="10"/>
      <c r="B551" s="10"/>
      <c r="C551" s="10"/>
      <c r="D551" s="10"/>
      <c r="E551" s="10"/>
      <c r="F551" s="10"/>
      <c r="G551" s="10"/>
      <c r="H551" s="10"/>
      <c r="I551" s="10"/>
      <c r="J551" s="10"/>
      <c r="K551" s="10"/>
      <c r="L551" s="10"/>
      <c r="M551" s="617"/>
      <c r="N551" s="10"/>
      <c r="O551" s="10"/>
      <c r="P551" s="10"/>
      <c r="Q551" s="10"/>
      <c r="R551" s="10"/>
      <c r="S551" s="10"/>
    </row>
    <row r="552" spans="1:19" ht="12.75">
      <c r="A552" s="10"/>
      <c r="B552" s="10"/>
      <c r="C552" s="10"/>
      <c r="D552" s="10"/>
      <c r="E552" s="10"/>
      <c r="F552" s="10"/>
      <c r="G552" s="10"/>
      <c r="H552" s="10"/>
      <c r="I552" s="10"/>
      <c r="J552" s="10"/>
      <c r="K552" s="10"/>
      <c r="L552" s="10"/>
      <c r="M552" s="617"/>
      <c r="N552" s="10"/>
      <c r="O552" s="10"/>
      <c r="P552" s="10"/>
      <c r="Q552" s="10"/>
      <c r="R552" s="10"/>
      <c r="S552" s="10"/>
    </row>
    <row r="553" spans="1:19" ht="12.75">
      <c r="A553" s="10"/>
      <c r="B553" s="10"/>
      <c r="C553" s="10"/>
      <c r="D553" s="10"/>
      <c r="E553" s="10"/>
      <c r="F553" s="10"/>
      <c r="G553" s="10"/>
      <c r="H553" s="10"/>
      <c r="I553" s="10"/>
      <c r="J553" s="10"/>
      <c r="K553" s="10"/>
      <c r="L553" s="10"/>
      <c r="M553" s="617"/>
      <c r="N553" s="10"/>
      <c r="O553" s="10"/>
      <c r="P553" s="10"/>
      <c r="Q553" s="10"/>
      <c r="R553" s="10"/>
      <c r="S553" s="10"/>
    </row>
    <row r="554" spans="1:19" ht="12.75">
      <c r="A554" s="10"/>
      <c r="B554" s="10"/>
      <c r="C554" s="10"/>
      <c r="D554" s="10"/>
      <c r="E554" s="10"/>
      <c r="F554" s="10"/>
      <c r="G554" s="10"/>
      <c r="H554" s="10"/>
      <c r="I554" s="10"/>
      <c r="J554" s="10"/>
      <c r="K554" s="10"/>
      <c r="L554" s="10"/>
      <c r="M554" s="617"/>
      <c r="N554" s="10"/>
      <c r="O554" s="10"/>
      <c r="P554" s="10"/>
      <c r="Q554" s="10"/>
      <c r="R554" s="10"/>
      <c r="S554" s="10"/>
    </row>
    <row r="555" spans="1:19" ht="12.75">
      <c r="A555" s="10"/>
      <c r="B555" s="10"/>
      <c r="C555" s="10"/>
      <c r="D555" s="10"/>
      <c r="E555" s="10"/>
      <c r="F555" s="10"/>
      <c r="G555" s="10"/>
      <c r="H555" s="10"/>
      <c r="I555" s="10"/>
      <c r="J555" s="10"/>
      <c r="K555" s="10"/>
      <c r="L555" s="10"/>
      <c r="M555" s="617"/>
      <c r="N555" s="10"/>
      <c r="O555" s="10"/>
      <c r="P555" s="10"/>
      <c r="Q555" s="10"/>
      <c r="R555" s="10"/>
      <c r="S555" s="10"/>
    </row>
    <row r="556" spans="1:19" ht="12.75">
      <c r="A556" s="10"/>
      <c r="B556" s="10"/>
      <c r="C556" s="10"/>
      <c r="D556" s="10"/>
      <c r="E556" s="10"/>
      <c r="F556" s="10"/>
      <c r="G556" s="10"/>
      <c r="H556" s="10"/>
      <c r="I556" s="10"/>
      <c r="J556" s="10"/>
      <c r="K556" s="10"/>
      <c r="L556" s="10"/>
      <c r="M556" s="617"/>
      <c r="N556" s="10"/>
      <c r="O556" s="10"/>
      <c r="P556" s="10"/>
      <c r="Q556" s="10"/>
      <c r="R556" s="10"/>
      <c r="S556" s="10"/>
    </row>
    <row r="557" spans="1:19" ht="12.75">
      <c r="A557" s="10"/>
      <c r="B557" s="10"/>
      <c r="C557" s="10"/>
      <c r="D557" s="10"/>
      <c r="E557" s="10"/>
      <c r="F557" s="10"/>
      <c r="G557" s="10"/>
      <c r="H557" s="10"/>
      <c r="I557" s="10"/>
      <c r="J557" s="10"/>
      <c r="K557" s="10"/>
      <c r="L557" s="10"/>
      <c r="M557" s="617"/>
      <c r="N557" s="10"/>
      <c r="O557" s="10"/>
      <c r="P557" s="10"/>
      <c r="Q557" s="10"/>
      <c r="R557" s="10"/>
      <c r="S557" s="10"/>
    </row>
    <row r="558" spans="1:19" ht="12.75">
      <c r="A558" s="10"/>
      <c r="B558" s="10"/>
      <c r="C558" s="10"/>
      <c r="D558" s="10"/>
      <c r="E558" s="10"/>
      <c r="F558" s="10"/>
      <c r="G558" s="10"/>
      <c r="H558" s="10"/>
      <c r="I558" s="10"/>
      <c r="J558" s="10"/>
      <c r="K558" s="10"/>
      <c r="L558" s="10"/>
      <c r="M558" s="617"/>
      <c r="N558" s="10"/>
      <c r="O558" s="10"/>
      <c r="P558" s="10"/>
      <c r="Q558" s="10"/>
      <c r="R558" s="10"/>
      <c r="S558" s="10"/>
    </row>
    <row r="559" spans="1:19" ht="12.75">
      <c r="A559" s="10"/>
      <c r="B559" s="10"/>
      <c r="C559" s="10"/>
      <c r="D559" s="10"/>
      <c r="E559" s="10"/>
      <c r="F559" s="10"/>
      <c r="G559" s="10"/>
      <c r="H559" s="10"/>
      <c r="I559" s="10"/>
      <c r="J559" s="10"/>
      <c r="K559" s="10"/>
      <c r="L559" s="10"/>
      <c r="M559" s="617"/>
      <c r="N559" s="10"/>
      <c r="O559" s="10"/>
      <c r="P559" s="10"/>
      <c r="Q559" s="10"/>
      <c r="R559" s="10"/>
      <c r="S559" s="10"/>
    </row>
    <row r="560" spans="1:19" ht="12.75">
      <c r="A560" s="10"/>
      <c r="B560" s="10"/>
      <c r="C560" s="10"/>
      <c r="D560" s="10"/>
      <c r="E560" s="10"/>
      <c r="F560" s="10"/>
      <c r="G560" s="10"/>
      <c r="H560" s="10"/>
      <c r="I560" s="10"/>
      <c r="J560" s="10"/>
      <c r="K560" s="10"/>
      <c r="L560" s="10"/>
      <c r="M560" s="617"/>
      <c r="N560" s="10"/>
      <c r="O560" s="10"/>
      <c r="P560" s="10"/>
      <c r="Q560" s="10"/>
      <c r="R560" s="10"/>
      <c r="S560" s="10"/>
    </row>
    <row r="561" spans="1:19" ht="12.75">
      <c r="A561" s="10"/>
      <c r="B561" s="10"/>
      <c r="C561" s="10"/>
      <c r="D561" s="10"/>
      <c r="E561" s="10"/>
      <c r="F561" s="10"/>
      <c r="G561" s="10"/>
      <c r="H561" s="10"/>
      <c r="I561" s="10"/>
      <c r="J561" s="10"/>
      <c r="K561" s="10"/>
      <c r="L561" s="10"/>
      <c r="M561" s="617"/>
      <c r="N561" s="10"/>
      <c r="O561" s="10"/>
      <c r="P561" s="10"/>
      <c r="Q561" s="10"/>
      <c r="R561" s="10"/>
      <c r="S561" s="10"/>
    </row>
    <row r="562" spans="1:19" ht="12.75">
      <c r="A562" s="10"/>
      <c r="B562" s="10"/>
      <c r="C562" s="10"/>
      <c r="D562" s="10"/>
      <c r="E562" s="10"/>
      <c r="F562" s="10"/>
      <c r="G562" s="10"/>
      <c r="H562" s="10"/>
      <c r="I562" s="10"/>
      <c r="J562" s="10"/>
      <c r="K562" s="10"/>
      <c r="L562" s="10"/>
      <c r="M562" s="617"/>
      <c r="N562" s="10"/>
      <c r="O562" s="10"/>
      <c r="P562" s="10"/>
      <c r="Q562" s="10"/>
      <c r="R562" s="10"/>
      <c r="S562" s="10"/>
    </row>
    <row r="563" spans="1:19" ht="12.75">
      <c r="A563" s="10"/>
      <c r="B563" s="10"/>
      <c r="C563" s="10"/>
      <c r="D563" s="10"/>
      <c r="E563" s="10"/>
      <c r="F563" s="10"/>
      <c r="G563" s="10"/>
      <c r="H563" s="10"/>
      <c r="I563" s="10"/>
      <c r="J563" s="10"/>
      <c r="K563" s="10"/>
      <c r="L563" s="10"/>
      <c r="M563" s="617"/>
      <c r="N563" s="10"/>
      <c r="O563" s="10"/>
      <c r="P563" s="10"/>
      <c r="Q563" s="10"/>
      <c r="R563" s="10"/>
      <c r="S563" s="10"/>
    </row>
    <row r="564" spans="1:19" ht="12.75">
      <c r="A564" s="10"/>
      <c r="B564" s="10"/>
      <c r="C564" s="10"/>
      <c r="D564" s="10"/>
      <c r="E564" s="10"/>
      <c r="F564" s="10"/>
      <c r="G564" s="10"/>
      <c r="H564" s="10"/>
      <c r="I564" s="10"/>
      <c r="J564" s="10"/>
      <c r="K564" s="10"/>
      <c r="L564" s="10"/>
      <c r="M564" s="617"/>
      <c r="N564" s="10"/>
      <c r="O564" s="10"/>
      <c r="P564" s="10"/>
      <c r="Q564" s="10"/>
      <c r="R564" s="10"/>
      <c r="S564" s="10"/>
    </row>
    <row r="565" spans="1:19" ht="12.75">
      <c r="A565" s="10"/>
      <c r="B565" s="10"/>
      <c r="C565" s="10"/>
      <c r="D565" s="10"/>
      <c r="E565" s="10"/>
      <c r="F565" s="10"/>
      <c r="G565" s="10"/>
      <c r="H565" s="10"/>
      <c r="I565" s="10"/>
      <c r="J565" s="10"/>
      <c r="K565" s="10"/>
      <c r="L565" s="10"/>
      <c r="M565" s="617"/>
      <c r="N565" s="10"/>
      <c r="O565" s="10"/>
      <c r="P565" s="10"/>
      <c r="Q565" s="10"/>
      <c r="R565" s="10"/>
      <c r="S565" s="10"/>
    </row>
    <row r="566" spans="1:19" ht="12.75">
      <c r="A566" s="10"/>
      <c r="B566" s="10"/>
      <c r="C566" s="10"/>
      <c r="D566" s="10"/>
      <c r="E566" s="10"/>
      <c r="F566" s="10"/>
      <c r="G566" s="10"/>
      <c r="H566" s="10"/>
      <c r="I566" s="10"/>
      <c r="J566" s="10"/>
      <c r="K566" s="10"/>
      <c r="L566" s="10"/>
      <c r="M566" s="617"/>
      <c r="N566" s="10"/>
      <c r="O566" s="10"/>
      <c r="P566" s="10"/>
      <c r="Q566" s="10"/>
      <c r="R566" s="10"/>
      <c r="S566" s="10"/>
    </row>
    <row r="567" spans="1:19" ht="12.75">
      <c r="A567" s="10"/>
      <c r="B567" s="10"/>
      <c r="C567" s="10"/>
      <c r="D567" s="10"/>
      <c r="E567" s="10"/>
      <c r="F567" s="10"/>
      <c r="G567" s="10"/>
      <c r="H567" s="10"/>
      <c r="I567" s="10"/>
      <c r="J567" s="10"/>
      <c r="K567" s="10"/>
      <c r="L567" s="10"/>
      <c r="M567" s="617"/>
      <c r="N567" s="10"/>
      <c r="O567" s="10"/>
      <c r="P567" s="10"/>
      <c r="Q567" s="10"/>
      <c r="R567" s="10"/>
      <c r="S567" s="10"/>
    </row>
    <row r="568" spans="1:19" ht="12.75">
      <c r="A568" s="10"/>
      <c r="B568" s="10"/>
      <c r="C568" s="10"/>
      <c r="D568" s="10"/>
      <c r="E568" s="10"/>
      <c r="F568" s="10"/>
      <c r="G568" s="10"/>
      <c r="H568" s="10"/>
      <c r="I568" s="10"/>
      <c r="J568" s="10"/>
      <c r="K568" s="10"/>
      <c r="L568" s="10"/>
      <c r="M568" s="617"/>
      <c r="N568" s="10"/>
      <c r="O568" s="10"/>
      <c r="P568" s="10"/>
      <c r="Q568" s="10"/>
      <c r="R568" s="10"/>
      <c r="S568" s="10"/>
    </row>
    <row r="569" spans="1:19" ht="12.75">
      <c r="A569" s="10"/>
      <c r="B569" s="10"/>
      <c r="C569" s="10"/>
      <c r="D569" s="10"/>
      <c r="E569" s="10"/>
      <c r="F569" s="10"/>
      <c r="G569" s="10"/>
      <c r="H569" s="10"/>
      <c r="I569" s="10"/>
      <c r="J569" s="10"/>
      <c r="K569" s="10"/>
      <c r="L569" s="10"/>
      <c r="M569" s="617"/>
      <c r="N569" s="10"/>
      <c r="O569" s="10"/>
      <c r="P569" s="10"/>
      <c r="Q569" s="10"/>
      <c r="R569" s="10"/>
      <c r="S569" s="10"/>
    </row>
    <row r="570" spans="1:19" ht="12.75">
      <c r="A570" s="10"/>
      <c r="B570" s="10"/>
      <c r="C570" s="10"/>
      <c r="D570" s="10"/>
      <c r="E570" s="10"/>
      <c r="F570" s="10"/>
      <c r="G570" s="10"/>
      <c r="H570" s="10"/>
      <c r="I570" s="10"/>
      <c r="J570" s="10"/>
      <c r="K570" s="10"/>
      <c r="L570" s="10"/>
      <c r="M570" s="617"/>
      <c r="N570" s="10"/>
      <c r="O570" s="10"/>
      <c r="P570" s="10"/>
      <c r="Q570" s="10"/>
      <c r="R570" s="10"/>
      <c r="S570" s="10"/>
    </row>
    <row r="571" spans="1:19" ht="12.75">
      <c r="A571" s="10"/>
      <c r="B571" s="10"/>
      <c r="C571" s="10"/>
      <c r="D571" s="10"/>
      <c r="E571" s="10"/>
      <c r="F571" s="10"/>
      <c r="G571" s="10"/>
      <c r="H571" s="10"/>
      <c r="I571" s="10"/>
      <c r="J571" s="10"/>
      <c r="K571" s="10"/>
      <c r="L571" s="10"/>
      <c r="M571" s="617"/>
      <c r="N571" s="10"/>
      <c r="O571" s="10"/>
      <c r="P571" s="10"/>
      <c r="Q571" s="10"/>
      <c r="R571" s="10"/>
      <c r="S571" s="10"/>
    </row>
    <row r="572" spans="1:19" ht="12.75">
      <c r="A572" s="10"/>
      <c r="B572" s="10"/>
      <c r="C572" s="10"/>
      <c r="D572" s="10"/>
      <c r="E572" s="10"/>
      <c r="F572" s="10"/>
      <c r="G572" s="10"/>
      <c r="H572" s="10"/>
      <c r="I572" s="10"/>
      <c r="J572" s="10"/>
      <c r="K572" s="10"/>
      <c r="L572" s="10"/>
      <c r="M572" s="617"/>
      <c r="N572" s="10"/>
      <c r="O572" s="10"/>
      <c r="P572" s="10"/>
      <c r="Q572" s="10"/>
      <c r="R572" s="10"/>
      <c r="S572" s="10"/>
    </row>
    <row r="573" spans="1:19" ht="12.75">
      <c r="A573" s="10"/>
      <c r="B573" s="10"/>
      <c r="C573" s="10"/>
      <c r="D573" s="10"/>
      <c r="E573" s="10"/>
      <c r="F573" s="10"/>
      <c r="G573" s="10"/>
      <c r="H573" s="10"/>
      <c r="I573" s="10"/>
      <c r="J573" s="10"/>
      <c r="K573" s="10"/>
      <c r="L573" s="10"/>
      <c r="M573" s="617"/>
      <c r="N573" s="10"/>
      <c r="O573" s="10"/>
      <c r="P573" s="10"/>
      <c r="Q573" s="10"/>
      <c r="R573" s="10"/>
      <c r="S573" s="10"/>
    </row>
    <row r="574" spans="1:19" ht="12.75">
      <c r="A574" s="10"/>
      <c r="B574" s="10"/>
      <c r="C574" s="10"/>
      <c r="D574" s="10"/>
      <c r="E574" s="10"/>
      <c r="F574" s="10"/>
      <c r="G574" s="10"/>
      <c r="H574" s="10"/>
      <c r="I574" s="10"/>
      <c r="J574" s="10"/>
      <c r="K574" s="10"/>
      <c r="L574" s="10"/>
      <c r="M574" s="617"/>
      <c r="N574" s="10"/>
      <c r="O574" s="10"/>
      <c r="P574" s="10"/>
      <c r="Q574" s="10"/>
      <c r="R574" s="10"/>
      <c r="S574" s="10"/>
    </row>
    <row r="575" spans="1:19" ht="12.75">
      <c r="A575" s="10"/>
      <c r="B575" s="10"/>
      <c r="C575" s="10"/>
      <c r="D575" s="10"/>
      <c r="E575" s="10"/>
      <c r="F575" s="10"/>
      <c r="G575" s="10"/>
      <c r="H575" s="10"/>
      <c r="I575" s="10"/>
      <c r="J575" s="10"/>
      <c r="K575" s="10"/>
      <c r="L575" s="10"/>
      <c r="M575" s="617"/>
      <c r="N575" s="10"/>
      <c r="O575" s="10"/>
      <c r="P575" s="10"/>
      <c r="Q575" s="10"/>
      <c r="R575" s="10"/>
      <c r="S575" s="10"/>
    </row>
    <row r="576" spans="1:19" ht="12.75">
      <c r="A576" s="10"/>
      <c r="B576" s="10"/>
      <c r="C576" s="10"/>
      <c r="D576" s="10"/>
      <c r="E576" s="10"/>
      <c r="F576" s="10"/>
      <c r="G576" s="10"/>
      <c r="H576" s="10"/>
      <c r="I576" s="10"/>
      <c r="J576" s="10"/>
      <c r="K576" s="10"/>
      <c r="L576" s="10"/>
      <c r="M576" s="617"/>
      <c r="N576" s="10"/>
      <c r="O576" s="10"/>
      <c r="P576" s="10"/>
      <c r="Q576" s="10"/>
      <c r="R576" s="10"/>
      <c r="S576" s="10"/>
    </row>
    <row r="577" spans="1:19" ht="12.75">
      <c r="A577" s="10"/>
      <c r="B577" s="10"/>
      <c r="C577" s="10"/>
      <c r="D577" s="10"/>
      <c r="E577" s="10"/>
      <c r="F577" s="10"/>
      <c r="G577" s="10"/>
      <c r="H577" s="10"/>
      <c r="I577" s="10"/>
      <c r="J577" s="10"/>
      <c r="K577" s="10"/>
      <c r="L577" s="10"/>
      <c r="M577" s="617"/>
      <c r="N577" s="10"/>
      <c r="O577" s="10"/>
      <c r="P577" s="10"/>
      <c r="Q577" s="10"/>
      <c r="R577" s="10"/>
      <c r="S577" s="10"/>
    </row>
    <row r="578" spans="1:19" ht="12.75">
      <c r="A578" s="10"/>
      <c r="B578" s="10"/>
      <c r="C578" s="10"/>
      <c r="D578" s="10"/>
      <c r="E578" s="10"/>
      <c r="F578" s="10"/>
      <c r="G578" s="10"/>
      <c r="H578" s="10"/>
      <c r="I578" s="10"/>
      <c r="J578" s="10"/>
      <c r="K578" s="10"/>
      <c r="L578" s="10"/>
      <c r="M578" s="617"/>
      <c r="N578" s="10"/>
      <c r="O578" s="10"/>
      <c r="P578" s="10"/>
      <c r="Q578" s="10"/>
      <c r="R578" s="10"/>
      <c r="S578" s="10"/>
    </row>
    <row r="579" spans="1:19" ht="12.75">
      <c r="A579" s="10"/>
      <c r="B579" s="10"/>
      <c r="C579" s="10"/>
      <c r="D579" s="10"/>
      <c r="E579" s="10"/>
      <c r="F579" s="10"/>
      <c r="G579" s="10"/>
      <c r="H579" s="10"/>
      <c r="I579" s="10"/>
      <c r="J579" s="10"/>
      <c r="K579" s="10"/>
      <c r="L579" s="10"/>
      <c r="M579" s="617"/>
      <c r="N579" s="10"/>
      <c r="O579" s="10"/>
      <c r="P579" s="10"/>
      <c r="Q579" s="10"/>
      <c r="R579" s="10"/>
      <c r="S579" s="10"/>
    </row>
    <row r="580" spans="1:19" ht="12.75">
      <c r="A580" s="10"/>
      <c r="B580" s="10"/>
      <c r="C580" s="10"/>
      <c r="D580" s="10"/>
      <c r="E580" s="10"/>
      <c r="F580" s="10"/>
      <c r="G580" s="10"/>
      <c r="H580" s="10"/>
      <c r="I580" s="10"/>
      <c r="J580" s="10"/>
      <c r="K580" s="10"/>
      <c r="L580" s="10"/>
      <c r="M580" s="617"/>
      <c r="N580" s="10"/>
      <c r="O580" s="10"/>
      <c r="P580" s="10"/>
      <c r="Q580" s="10"/>
      <c r="R580" s="10"/>
      <c r="S580" s="10"/>
    </row>
    <row r="581" spans="1:19" ht="12.75">
      <c r="A581" s="10"/>
      <c r="B581" s="10"/>
      <c r="C581" s="10"/>
      <c r="D581" s="10"/>
      <c r="E581" s="10"/>
      <c r="F581" s="10"/>
      <c r="G581" s="10"/>
      <c r="H581" s="10"/>
      <c r="I581" s="10"/>
      <c r="J581" s="10"/>
      <c r="K581" s="10"/>
      <c r="L581" s="10"/>
      <c r="M581" s="617"/>
      <c r="N581" s="10"/>
      <c r="O581" s="10"/>
      <c r="P581" s="10"/>
      <c r="Q581" s="10"/>
      <c r="R581" s="10"/>
      <c r="S581" s="10"/>
    </row>
    <row r="582" spans="1:19" ht="12.75">
      <c r="A582" s="10"/>
      <c r="B582" s="10"/>
      <c r="C582" s="10"/>
      <c r="D582" s="10"/>
      <c r="E582" s="10"/>
      <c r="F582" s="10"/>
      <c r="G582" s="10"/>
      <c r="H582" s="10"/>
      <c r="I582" s="10"/>
      <c r="J582" s="10"/>
      <c r="K582" s="10"/>
      <c r="L582" s="10"/>
      <c r="M582" s="617"/>
      <c r="N582" s="10"/>
      <c r="O582" s="10"/>
      <c r="P582" s="10"/>
      <c r="Q582" s="10"/>
      <c r="R582" s="10"/>
      <c r="S582" s="10"/>
    </row>
    <row r="583" spans="1:19" ht="12.75">
      <c r="A583" s="10"/>
      <c r="B583" s="10"/>
      <c r="C583" s="10"/>
      <c r="D583" s="10"/>
      <c r="E583" s="10"/>
      <c r="F583" s="10"/>
      <c r="G583" s="10"/>
      <c r="H583" s="10"/>
      <c r="I583" s="10"/>
      <c r="J583" s="10"/>
      <c r="K583" s="10"/>
      <c r="L583" s="10"/>
      <c r="M583" s="617"/>
      <c r="N583" s="10"/>
      <c r="O583" s="10"/>
      <c r="P583" s="10"/>
      <c r="Q583" s="10"/>
      <c r="R583" s="10"/>
      <c r="S583" s="10"/>
    </row>
    <row r="584" spans="1:19" ht="12.75">
      <c r="A584" s="10"/>
      <c r="B584" s="10"/>
      <c r="C584" s="10"/>
      <c r="D584" s="10"/>
      <c r="E584" s="10"/>
      <c r="F584" s="10"/>
      <c r="G584" s="10"/>
      <c r="H584" s="10"/>
      <c r="I584" s="10"/>
      <c r="J584" s="10"/>
      <c r="K584" s="10"/>
      <c r="L584" s="10"/>
      <c r="M584" s="617"/>
      <c r="N584" s="10"/>
      <c r="O584" s="10"/>
      <c r="P584" s="10"/>
      <c r="Q584" s="10"/>
      <c r="R584" s="10"/>
      <c r="S584" s="10"/>
    </row>
    <row r="585" spans="1:19" ht="12.75">
      <c r="A585" s="10"/>
      <c r="B585" s="10"/>
      <c r="C585" s="10"/>
      <c r="D585" s="10"/>
      <c r="E585" s="10"/>
      <c r="F585" s="10"/>
      <c r="G585" s="10"/>
      <c r="H585" s="10"/>
      <c r="I585" s="10"/>
      <c r="J585" s="10"/>
      <c r="K585" s="10"/>
      <c r="L585" s="10"/>
      <c r="M585" s="617"/>
      <c r="N585" s="10"/>
      <c r="O585" s="10"/>
      <c r="P585" s="10"/>
      <c r="Q585" s="10"/>
      <c r="R585" s="10"/>
      <c r="S585" s="10"/>
    </row>
    <row r="586" spans="1:19" ht="12.75">
      <c r="A586" s="10"/>
      <c r="B586" s="10"/>
      <c r="C586" s="10"/>
      <c r="D586" s="10"/>
      <c r="E586" s="10"/>
      <c r="F586" s="10"/>
      <c r="G586" s="10"/>
      <c r="H586" s="10"/>
      <c r="I586" s="10"/>
      <c r="J586" s="10"/>
      <c r="K586" s="10"/>
      <c r="L586" s="10"/>
      <c r="M586" s="617"/>
      <c r="N586" s="10"/>
      <c r="O586" s="10"/>
      <c r="P586" s="10"/>
      <c r="Q586" s="10"/>
      <c r="R586" s="10"/>
      <c r="S586" s="10"/>
    </row>
    <row r="587" spans="1:19" ht="12.75">
      <c r="A587" s="10"/>
      <c r="B587" s="10"/>
      <c r="C587" s="10"/>
      <c r="D587" s="10"/>
      <c r="E587" s="10"/>
      <c r="F587" s="10"/>
      <c r="G587" s="10"/>
      <c r="H587" s="10"/>
      <c r="I587" s="10"/>
      <c r="J587" s="10"/>
      <c r="K587" s="10"/>
      <c r="L587" s="10"/>
      <c r="M587" s="617"/>
      <c r="N587" s="10"/>
      <c r="O587" s="10"/>
      <c r="P587" s="10"/>
      <c r="Q587" s="10"/>
      <c r="R587" s="10"/>
      <c r="S587" s="10"/>
    </row>
    <row r="588" spans="1:19" ht="12.75">
      <c r="A588" s="10"/>
      <c r="B588" s="10"/>
      <c r="C588" s="10"/>
      <c r="D588" s="10"/>
      <c r="E588" s="10"/>
      <c r="F588" s="10"/>
      <c r="G588" s="10"/>
      <c r="H588" s="10"/>
      <c r="I588" s="10"/>
      <c r="J588" s="10"/>
      <c r="K588" s="10"/>
      <c r="L588" s="10"/>
      <c r="M588" s="617"/>
      <c r="N588" s="10"/>
      <c r="O588" s="10"/>
      <c r="P588" s="10"/>
      <c r="Q588" s="10"/>
      <c r="R588" s="10"/>
      <c r="S588" s="10"/>
    </row>
    <row r="589" spans="1:19" ht="12.75">
      <c r="A589" s="10"/>
      <c r="B589" s="10"/>
      <c r="C589" s="10"/>
      <c r="D589" s="10"/>
      <c r="E589" s="10"/>
      <c r="F589" s="10"/>
      <c r="G589" s="10"/>
      <c r="H589" s="10"/>
      <c r="I589" s="10"/>
      <c r="J589" s="10"/>
      <c r="K589" s="10"/>
      <c r="L589" s="10"/>
      <c r="M589" s="617"/>
      <c r="N589" s="10"/>
      <c r="O589" s="10"/>
      <c r="P589" s="10"/>
      <c r="Q589" s="10"/>
      <c r="R589" s="10"/>
      <c r="S589" s="10"/>
    </row>
    <row r="590" spans="1:19" ht="12.75">
      <c r="A590" s="10"/>
      <c r="B590" s="10"/>
      <c r="C590" s="10"/>
      <c r="D590" s="10"/>
      <c r="E590" s="10"/>
      <c r="F590" s="10"/>
      <c r="G590" s="10"/>
      <c r="H590" s="10"/>
      <c r="I590" s="10"/>
      <c r="J590" s="10"/>
      <c r="K590" s="10"/>
      <c r="L590" s="10"/>
      <c r="M590" s="617"/>
      <c r="N590" s="10"/>
      <c r="O590" s="10"/>
      <c r="P590" s="10"/>
      <c r="Q590" s="10"/>
      <c r="R590" s="10"/>
      <c r="S590" s="10"/>
    </row>
    <row r="591" spans="1:19" ht="12.75">
      <c r="A591" s="10"/>
      <c r="B591" s="10"/>
      <c r="C591" s="10"/>
      <c r="D591" s="10"/>
      <c r="E591" s="10"/>
      <c r="F591" s="10"/>
      <c r="G591" s="10"/>
      <c r="H591" s="10"/>
      <c r="I591" s="10"/>
      <c r="J591" s="10"/>
      <c r="K591" s="10"/>
      <c r="L591" s="10"/>
      <c r="M591" s="617"/>
      <c r="N591" s="10"/>
      <c r="O591" s="10"/>
      <c r="P591" s="10"/>
      <c r="Q591" s="10"/>
      <c r="R591" s="10"/>
      <c r="S591" s="10"/>
    </row>
    <row r="592" spans="1:19" ht="12.75">
      <c r="A592" s="10"/>
      <c r="B592" s="10"/>
      <c r="C592" s="10"/>
      <c r="D592" s="10"/>
      <c r="E592" s="10"/>
      <c r="F592" s="10"/>
      <c r="G592" s="10"/>
      <c r="H592" s="10"/>
      <c r="I592" s="10"/>
      <c r="J592" s="10"/>
      <c r="K592" s="10"/>
      <c r="L592" s="10"/>
      <c r="M592" s="617"/>
      <c r="N592" s="10"/>
      <c r="O592" s="10"/>
      <c r="P592" s="10"/>
      <c r="Q592" s="10"/>
      <c r="R592" s="10"/>
      <c r="S592" s="10"/>
    </row>
    <row r="593" spans="1:19" ht="12.75">
      <c r="A593" s="10"/>
      <c r="B593" s="10"/>
      <c r="C593" s="10"/>
      <c r="D593" s="10"/>
      <c r="E593" s="10"/>
      <c r="F593" s="10"/>
      <c r="G593" s="10"/>
      <c r="H593" s="10"/>
      <c r="I593" s="10"/>
      <c r="J593" s="10"/>
      <c r="K593" s="10"/>
      <c r="L593" s="10"/>
      <c r="M593" s="617"/>
      <c r="N593" s="10"/>
      <c r="O593" s="10"/>
      <c r="P593" s="10"/>
      <c r="Q593" s="10"/>
      <c r="R593" s="10"/>
      <c r="S593" s="10"/>
    </row>
    <row r="594" spans="1:19" ht="12.75">
      <c r="A594" s="10"/>
      <c r="B594" s="10"/>
      <c r="C594" s="10"/>
      <c r="D594" s="10"/>
      <c r="E594" s="10"/>
      <c r="F594" s="10"/>
      <c r="G594" s="10"/>
      <c r="H594" s="10"/>
      <c r="I594" s="10"/>
      <c r="J594" s="10"/>
      <c r="K594" s="10"/>
      <c r="L594" s="10"/>
      <c r="M594" s="617"/>
      <c r="N594" s="10"/>
      <c r="O594" s="10"/>
      <c r="P594" s="10"/>
      <c r="Q594" s="10"/>
      <c r="R594" s="10"/>
      <c r="S594" s="10"/>
    </row>
    <row r="595" spans="1:19" ht="12.75">
      <c r="A595" s="10"/>
      <c r="B595" s="10"/>
      <c r="C595" s="10"/>
      <c r="D595" s="10"/>
      <c r="E595" s="10"/>
      <c r="F595" s="10"/>
      <c r="G595" s="10"/>
      <c r="H595" s="10"/>
      <c r="I595" s="10"/>
      <c r="J595" s="10"/>
      <c r="K595" s="10"/>
      <c r="L595" s="10"/>
      <c r="M595" s="617"/>
      <c r="N595" s="10"/>
      <c r="O595" s="10"/>
      <c r="P595" s="10"/>
      <c r="Q595" s="10"/>
      <c r="R595" s="10"/>
      <c r="S595" s="10"/>
    </row>
  </sheetData>
  <mergeCells count="74">
    <mergeCell ref="B447:L449"/>
    <mergeCell ref="B450:L450"/>
    <mergeCell ref="B432:L434"/>
    <mergeCell ref="B435:L437"/>
    <mergeCell ref="B439:L439"/>
    <mergeCell ref="B441:L443"/>
    <mergeCell ref="B445:L445"/>
    <mergeCell ref="U219:U220"/>
    <mergeCell ref="B283:L288"/>
    <mergeCell ref="V219:V220"/>
    <mergeCell ref="B278:L279"/>
    <mergeCell ref="B292:L293"/>
    <mergeCell ref="B221:L224"/>
    <mergeCell ref="B226:L226"/>
    <mergeCell ref="B297:L302"/>
    <mergeCell ref="B303:L304"/>
    <mergeCell ref="W219:W220"/>
    <mergeCell ref="J154:L154"/>
    <mergeCell ref="J262:L262"/>
    <mergeCell ref="J168:L168"/>
    <mergeCell ref="B219:L220"/>
    <mergeCell ref="B161:L164"/>
    <mergeCell ref="B251:L254"/>
    <mergeCell ref="B230:L233"/>
    <mergeCell ref="B243:L244"/>
    <mergeCell ref="B258:L258"/>
    <mergeCell ref="B234:L236"/>
    <mergeCell ref="B238:L241"/>
    <mergeCell ref="B246:L250"/>
    <mergeCell ref="B190:L194"/>
    <mergeCell ref="B196:L203"/>
    <mergeCell ref="B208:L213"/>
    <mergeCell ref="B215:L216"/>
    <mergeCell ref="C499:L502"/>
    <mergeCell ref="M314:S314"/>
    <mergeCell ref="M317:S318"/>
    <mergeCell ref="J319:L319"/>
    <mergeCell ref="B422:L424"/>
    <mergeCell ref="C489:L497"/>
    <mergeCell ref="B469:L470"/>
    <mergeCell ref="B463:L465"/>
    <mergeCell ref="B461:L462"/>
    <mergeCell ref="B453:L457"/>
    <mergeCell ref="J384:L384"/>
    <mergeCell ref="B305:L306"/>
    <mergeCell ref="B308:L309"/>
    <mergeCell ref="B311:L312"/>
    <mergeCell ref="B428:L430"/>
    <mergeCell ref="B25:L28"/>
    <mergeCell ref="B30:C33"/>
    <mergeCell ref="K30:L33"/>
    <mergeCell ref="B42:L46"/>
    <mergeCell ref="J50:L50"/>
    <mergeCell ref="J81:L81"/>
    <mergeCell ref="B91:L93"/>
    <mergeCell ref="J124:L124"/>
    <mergeCell ref="B132:L133"/>
    <mergeCell ref="B149:L149"/>
    <mergeCell ref="B185:L188"/>
    <mergeCell ref="J79:L79"/>
    <mergeCell ref="B108:L111"/>
    <mergeCell ref="B145:L147"/>
    <mergeCell ref="J4:L4"/>
    <mergeCell ref="D30:D33"/>
    <mergeCell ref="E30:E33"/>
    <mergeCell ref="F30:F33"/>
    <mergeCell ref="G30:G33"/>
    <mergeCell ref="H30:H33"/>
    <mergeCell ref="I30:J33"/>
    <mergeCell ref="B97:L99"/>
    <mergeCell ref="B101:L103"/>
    <mergeCell ref="B105:L106"/>
    <mergeCell ref="B113:L117"/>
    <mergeCell ref="B119:L120"/>
  </mergeCells>
  <pageMargins left="0.63" right="0.45" top="0.47" bottom="0.2" header="0.34" footer="0.24"/>
  <pageSetup scale="87" firstPageNumber="12" orientation="portrait" useFirstPageNumber="1" r:id="rId1"/>
  <rowBreaks count="4" manualBreakCount="4">
    <brk id="75" max="11" man="1"/>
    <brk id="217" max="11" man="1"/>
    <brk id="313" max="11" man="1"/>
    <brk id="465"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Q45"/>
  <sheetViews>
    <sheetView showGridLines="0" view="pageBreakPreview" zoomScaleNormal="100" zoomScaleSheetLayoutView="100" workbookViewId="0">
      <selection activeCell="B13" sqref="B13:M13"/>
    </sheetView>
  </sheetViews>
  <sheetFormatPr defaultColWidth="8.85546875" defaultRowHeight="14.25"/>
  <cols>
    <col min="1" max="1" width="5.42578125" style="1024" customWidth="1"/>
    <col min="2" max="2" width="39.140625" style="1024" customWidth="1"/>
    <col min="3" max="4" width="14.140625" style="1024" customWidth="1"/>
    <col min="5" max="5" width="10.42578125" style="1024" hidden="1" customWidth="1"/>
    <col min="6" max="7" width="14.140625" style="1024" customWidth="1"/>
    <col min="8" max="8" width="1.7109375" style="1024" customWidth="1"/>
    <col min="9" max="10" width="14.140625" style="1024" customWidth="1"/>
    <col min="11" max="11" width="9.5703125" style="1024" hidden="1" customWidth="1"/>
    <col min="12" max="13" width="14.140625" style="1024" customWidth="1"/>
    <col min="14" max="14" width="4.42578125" style="1020" customWidth="1"/>
    <col min="15" max="15" width="13.28515625" style="1020" bestFit="1" customWidth="1"/>
    <col min="16" max="16" width="12.42578125" style="1020" bestFit="1" customWidth="1"/>
    <col min="17" max="16384" width="8.85546875" style="1020"/>
  </cols>
  <sheetData>
    <row r="1" spans="1:13" ht="12.95" customHeight="1">
      <c r="A1" s="994"/>
      <c r="B1" s="995"/>
      <c r="C1" s="995"/>
      <c r="D1" s="995"/>
      <c r="E1" s="995"/>
      <c r="F1" s="995"/>
      <c r="G1" s="995"/>
      <c r="H1" s="995"/>
      <c r="I1" s="995"/>
      <c r="J1" s="995"/>
      <c r="K1" s="995"/>
      <c r="L1" s="995"/>
      <c r="M1" s="995"/>
    </row>
    <row r="2" spans="1:13" ht="12.95" customHeight="1">
      <c r="A2" s="385" t="s">
        <v>1534</v>
      </c>
      <c r="B2" s="398" t="s">
        <v>1160</v>
      </c>
      <c r="C2" s="158"/>
      <c r="D2" s="158"/>
      <c r="E2" s="158"/>
      <c r="F2" s="158"/>
      <c r="G2" s="158"/>
      <c r="H2" s="158"/>
      <c r="I2" s="158"/>
      <c r="J2" s="158"/>
      <c r="K2" s="158"/>
      <c r="L2" s="158"/>
      <c r="M2" s="995"/>
    </row>
    <row r="3" spans="1:13" ht="12.95" customHeight="1">
      <c r="A3" s="162"/>
      <c r="B3" s="157"/>
      <c r="C3" s="158"/>
      <c r="D3" s="158"/>
      <c r="E3" s="158"/>
      <c r="F3" s="158"/>
      <c r="G3" s="158"/>
      <c r="H3" s="158"/>
      <c r="I3" s="158"/>
      <c r="J3" s="158"/>
      <c r="K3" s="158"/>
      <c r="L3" s="158"/>
      <c r="M3" s="995"/>
    </row>
    <row r="4" spans="1:13" ht="12.95" customHeight="1">
      <c r="A4" s="162"/>
      <c r="B4" s="2109" t="s">
        <v>1161</v>
      </c>
      <c r="C4" s="2109"/>
      <c r="D4" s="2109"/>
      <c r="E4" s="2109"/>
      <c r="F4" s="2109"/>
      <c r="G4" s="2109"/>
      <c r="H4" s="2109"/>
      <c r="I4" s="2109"/>
      <c r="J4" s="2109"/>
      <c r="K4" s="2109"/>
      <c r="L4" s="2109"/>
      <c r="M4" s="2091"/>
    </row>
    <row r="5" spans="1:13" ht="12.95" customHeight="1">
      <c r="A5" s="162"/>
      <c r="B5" s="2109"/>
      <c r="C5" s="2109"/>
      <c r="D5" s="2109"/>
      <c r="E5" s="2109"/>
      <c r="F5" s="2109"/>
      <c r="G5" s="2109"/>
      <c r="H5" s="2109"/>
      <c r="I5" s="2109"/>
      <c r="J5" s="2109"/>
      <c r="K5" s="2109"/>
      <c r="L5" s="2109"/>
      <c r="M5" s="2091"/>
    </row>
    <row r="6" spans="1:13" ht="12.95" customHeight="1">
      <c r="A6" s="162"/>
      <c r="B6" s="2109"/>
      <c r="C6" s="2109"/>
      <c r="D6" s="2109"/>
      <c r="E6" s="2109"/>
      <c r="F6" s="2109"/>
      <c r="G6" s="2109"/>
      <c r="H6" s="2109"/>
      <c r="I6" s="2109"/>
      <c r="J6" s="2109"/>
      <c r="K6" s="2109"/>
      <c r="L6" s="2109"/>
      <c r="M6" s="2091"/>
    </row>
    <row r="7" spans="1:13" ht="12.95" customHeight="1">
      <c r="A7" s="162"/>
      <c r="B7" s="2109"/>
      <c r="C7" s="2109"/>
      <c r="D7" s="2109"/>
      <c r="E7" s="2109"/>
      <c r="F7" s="2109"/>
      <c r="G7" s="2109"/>
      <c r="H7" s="2109"/>
      <c r="I7" s="2109"/>
      <c r="J7" s="2109"/>
      <c r="K7" s="2109"/>
      <c r="L7" s="2109"/>
      <c r="M7" s="2091"/>
    </row>
    <row r="8" spans="1:13" ht="10.5" customHeight="1">
      <c r="A8" s="162"/>
      <c r="B8" s="399"/>
      <c r="C8" s="71"/>
      <c r="D8" s="71"/>
      <c r="E8" s="71"/>
      <c r="F8" s="71"/>
      <c r="G8" s="71"/>
      <c r="H8" s="71"/>
      <c r="I8" s="71"/>
      <c r="J8" s="158"/>
      <c r="K8" s="158"/>
      <c r="L8" s="158"/>
      <c r="M8" s="995"/>
    </row>
    <row r="9" spans="1:13" ht="12.95" customHeight="1">
      <c r="A9" s="162"/>
      <c r="B9" s="2110" t="s">
        <v>1162</v>
      </c>
      <c r="C9" s="2110"/>
      <c r="D9" s="2110"/>
      <c r="E9" s="2110"/>
      <c r="F9" s="2110"/>
      <c r="G9" s="2110"/>
      <c r="H9" s="2110"/>
      <c r="I9" s="2110"/>
      <c r="J9" s="2110"/>
      <c r="K9" s="2110"/>
      <c r="L9" s="2110"/>
      <c r="M9" s="2091"/>
    </row>
    <row r="10" spans="1:13" ht="10.5" customHeight="1">
      <c r="A10" s="994"/>
      <c r="B10" s="995"/>
      <c r="C10" s="995"/>
      <c r="D10" s="995"/>
      <c r="E10" s="995"/>
      <c r="F10" s="995"/>
      <c r="G10" s="995"/>
      <c r="H10" s="995"/>
      <c r="I10" s="995"/>
      <c r="J10" s="995"/>
      <c r="K10" s="995"/>
      <c r="L10" s="995"/>
      <c r="M10" s="995"/>
    </row>
    <row r="11" spans="1:13" ht="12.95" customHeight="1">
      <c r="A11" s="994"/>
      <c r="B11" s="2109" t="s">
        <v>1163</v>
      </c>
      <c r="C11" s="2109"/>
      <c r="D11" s="2109"/>
      <c r="E11" s="2109"/>
      <c r="F11" s="2109"/>
      <c r="G11" s="2109"/>
      <c r="H11" s="2109"/>
      <c r="I11" s="2109"/>
      <c r="J11" s="2109"/>
      <c r="K11" s="2109"/>
      <c r="L11" s="2109"/>
      <c r="M11" s="2091"/>
    </row>
    <row r="12" spans="1:13" ht="10.5" customHeight="1">
      <c r="A12" s="994"/>
      <c r="B12" s="400"/>
      <c r="C12" s="400"/>
      <c r="D12" s="400"/>
      <c r="E12" s="400"/>
      <c r="F12" s="400"/>
      <c r="G12" s="400"/>
      <c r="H12" s="400"/>
      <c r="I12" s="400"/>
      <c r="J12" s="158"/>
      <c r="K12" s="158"/>
      <c r="L12" s="158"/>
      <c r="M12" s="995"/>
    </row>
    <row r="13" spans="1:13" ht="12.95" customHeight="1">
      <c r="A13" s="994"/>
      <c r="B13" s="2109" t="s">
        <v>1164</v>
      </c>
      <c r="C13" s="2109"/>
      <c r="D13" s="2109"/>
      <c r="E13" s="2109"/>
      <c r="F13" s="2109"/>
      <c r="G13" s="2109"/>
      <c r="H13" s="2109"/>
      <c r="I13" s="2109"/>
      <c r="J13" s="2109"/>
      <c r="K13" s="2109"/>
      <c r="L13" s="2109"/>
      <c r="M13" s="2091"/>
    </row>
    <row r="14" spans="1:13" ht="16.5" customHeight="1">
      <c r="A14" s="994"/>
      <c r="B14" s="995"/>
      <c r="C14" s="995"/>
      <c r="D14" s="995"/>
      <c r="E14" s="995"/>
      <c r="F14" s="995"/>
      <c r="G14" s="995"/>
      <c r="H14" s="995"/>
      <c r="I14" s="995"/>
      <c r="J14" s="995"/>
      <c r="K14" s="995"/>
      <c r="L14" s="995"/>
      <c r="M14" s="995"/>
    </row>
    <row r="15" spans="1:13" ht="15" customHeight="1">
      <c r="A15" s="1021">
        <f>'17.1'!A2+0.1</f>
        <v>17.100000000000001</v>
      </c>
      <c r="B15" s="1022" t="s">
        <v>1726</v>
      </c>
      <c r="C15" s="1023"/>
      <c r="D15" s="1023"/>
      <c r="E15" s="1023"/>
      <c r="F15" s="1023"/>
      <c r="G15" s="1023"/>
      <c r="H15" s="1023"/>
      <c r="I15" s="1023"/>
      <c r="J15" s="1023"/>
      <c r="K15" s="1023"/>
      <c r="L15" s="1023"/>
      <c r="M15" s="1023"/>
    </row>
    <row r="16" spans="1:13">
      <c r="C16" s="2111" t="s">
        <v>1539</v>
      </c>
      <c r="D16" s="2111"/>
      <c r="E16" s="2111"/>
      <c r="F16" s="2111"/>
      <c r="G16" s="2111"/>
      <c r="H16" s="2111"/>
      <c r="I16" s="2111"/>
      <c r="J16" s="2111"/>
      <c r="K16" s="2111"/>
      <c r="L16" s="2111"/>
      <c r="M16" s="2111"/>
    </row>
    <row r="17" spans="2:17" ht="14.25" customHeight="1">
      <c r="C17" s="2106" t="s">
        <v>1538</v>
      </c>
      <c r="D17" s="2105" t="s">
        <v>1493</v>
      </c>
      <c r="E17" s="2105" t="s">
        <v>1494</v>
      </c>
      <c r="F17" s="2105" t="s">
        <v>1495</v>
      </c>
      <c r="G17" s="2105" t="s">
        <v>1537</v>
      </c>
      <c r="H17" s="1132"/>
      <c r="I17" s="2105" t="str">
        <f>C17</f>
        <v>As at 
July 01, 2019</v>
      </c>
      <c r="J17" s="2105" t="s">
        <v>1493</v>
      </c>
      <c r="K17" s="2105" t="s">
        <v>1494</v>
      </c>
      <c r="L17" s="2105" t="s">
        <v>1495</v>
      </c>
      <c r="M17" s="2105" t="str">
        <f>G17</f>
        <v>As at June 30, 2020</v>
      </c>
      <c r="O17" s="1020">
        <f>SOAL!F43</f>
        <v>55.403700000000001</v>
      </c>
    </row>
    <row r="18" spans="2:17" ht="14.25" customHeight="1">
      <c r="C18" s="2107"/>
      <c r="D18" s="2105"/>
      <c r="E18" s="2105"/>
      <c r="F18" s="2105"/>
      <c r="G18" s="2105"/>
      <c r="H18" s="1132"/>
      <c r="I18" s="2105"/>
      <c r="J18" s="2105"/>
      <c r="K18" s="2105"/>
      <c r="L18" s="2105"/>
      <c r="M18" s="2105"/>
    </row>
    <row r="19" spans="2:17" ht="14.25" customHeight="1">
      <c r="C19" s="2108"/>
      <c r="D19" s="2105"/>
      <c r="E19" s="2105"/>
      <c r="F19" s="2105"/>
      <c r="G19" s="2105"/>
      <c r="H19" s="1132"/>
      <c r="I19" s="2105"/>
      <c r="J19" s="2105"/>
      <c r="K19" s="2105"/>
      <c r="L19" s="2105"/>
      <c r="M19" s="2105"/>
    </row>
    <row r="20" spans="2:17" ht="14.25" customHeight="1">
      <c r="C20" s="2104" t="s">
        <v>1497</v>
      </c>
      <c r="D20" s="2104"/>
      <c r="E20" s="2104"/>
      <c r="F20" s="2104"/>
      <c r="G20" s="2104"/>
      <c r="H20" s="2102" t="s">
        <v>1498</v>
      </c>
      <c r="I20" s="2102"/>
      <c r="J20" s="2102"/>
      <c r="K20" s="2102"/>
      <c r="L20" s="2102"/>
      <c r="M20" s="2102"/>
    </row>
    <row r="21" spans="2:17">
      <c r="C21" s="1133"/>
      <c r="D21" s="1134"/>
      <c r="E21" s="1134"/>
      <c r="F21" s="1134"/>
      <c r="G21" s="1134"/>
      <c r="H21" s="1134"/>
      <c r="I21" s="1134"/>
      <c r="J21" s="1134"/>
      <c r="K21" s="1134"/>
      <c r="L21" s="1134"/>
      <c r="M21" s="1134"/>
    </row>
    <row r="22" spans="2:17" ht="32.25" customHeight="1">
      <c r="B22" s="1025" t="s">
        <v>1443</v>
      </c>
      <c r="C22" s="1128">
        <f>G38</f>
        <v>85750</v>
      </c>
      <c r="D22" s="1129">
        <v>11281.994000000001</v>
      </c>
      <c r="E22" s="1129"/>
      <c r="F22" s="1129">
        <v>0</v>
      </c>
      <c r="G22" s="1129">
        <f>+C22+D22-F22</f>
        <v>97031.994000000006</v>
      </c>
      <c r="H22" s="1130"/>
      <c r="I22" s="1138">
        <f>M38</f>
        <v>4615.3565499999995</v>
      </c>
      <c r="J22" s="1129">
        <f>612375.37/1000</f>
        <v>612.37536999999998</v>
      </c>
      <c r="K22" s="1129"/>
      <c r="L22" s="1129">
        <v>0</v>
      </c>
      <c r="M22" s="1129">
        <f>+(G22*$O$17)/1000</f>
        <v>5375.9314859778005</v>
      </c>
    </row>
    <row r="23" spans="2:17" ht="12" customHeight="1">
      <c r="B23" s="1026"/>
      <c r="C23" s="1131"/>
      <c r="D23" s="1131"/>
      <c r="E23" s="1131"/>
      <c r="F23" s="1131"/>
      <c r="G23" s="1131"/>
      <c r="H23" s="1131"/>
      <c r="I23" s="1131"/>
      <c r="J23" s="1131"/>
      <c r="K23" s="1131"/>
      <c r="L23" s="1131"/>
      <c r="M23" s="1131"/>
    </row>
    <row r="24" spans="2:17" ht="25.5">
      <c r="B24" s="1026" t="s">
        <v>1656</v>
      </c>
      <c r="C24" s="1128">
        <v>0</v>
      </c>
      <c r="D24" s="1129">
        <v>3271833.6949999998</v>
      </c>
      <c r="E24" s="1129"/>
      <c r="F24" s="1129">
        <v>3271833.6949999998</v>
      </c>
      <c r="G24" s="1129">
        <f>+C24+D24-F24</f>
        <v>0</v>
      </c>
      <c r="H24" s="1131"/>
      <c r="I24" s="1138">
        <v>0</v>
      </c>
      <c r="J24" s="1129">
        <v>199475.848</v>
      </c>
      <c r="K24" s="1129"/>
      <c r="L24" s="1138">
        <v>200746.30103</v>
      </c>
      <c r="M24" s="1129">
        <f>+(G24*$O$17)/1000</f>
        <v>0</v>
      </c>
      <c r="O24" s="1020">
        <v>3271833.6949999998</v>
      </c>
      <c r="Q24" s="1020">
        <v>3271833.6949999998</v>
      </c>
    </row>
    <row r="25" spans="2:17" ht="12" customHeight="1">
      <c r="B25" s="1026"/>
      <c r="C25" s="1131"/>
      <c r="D25" s="1131"/>
      <c r="E25" s="1131"/>
      <c r="F25" s="1131"/>
      <c r="G25" s="1131"/>
      <c r="H25" s="1131"/>
      <c r="I25" s="1131"/>
      <c r="J25" s="1131"/>
      <c r="K25" s="1131"/>
      <c r="L25" s="1131"/>
      <c r="M25" s="1131"/>
      <c r="O25" s="1020">
        <v>3271834</v>
      </c>
      <c r="Q25" s="1020">
        <v>3271834</v>
      </c>
    </row>
    <row r="26" spans="2:17" ht="14.25" customHeight="1">
      <c r="B26" s="1026" t="s">
        <v>1095</v>
      </c>
      <c r="C26" s="1129">
        <v>0</v>
      </c>
      <c r="D26" s="1135">
        <v>1587251.014</v>
      </c>
      <c r="E26" s="1131"/>
      <c r="F26" s="1135">
        <v>1587251.014</v>
      </c>
      <c r="G26" s="1129">
        <f>C26+D26+E26-F26</f>
        <v>0</v>
      </c>
      <c r="H26" s="1131"/>
      <c r="I26" s="1129">
        <v>0</v>
      </c>
      <c r="J26" s="1135">
        <v>96789.455760000012</v>
      </c>
      <c r="K26" s="1129">
        <v>0</v>
      </c>
      <c r="L26" s="1135">
        <v>97100.556959999987</v>
      </c>
      <c r="M26" s="1129">
        <f>+(G26*$O$17)/1000</f>
        <v>0</v>
      </c>
      <c r="O26" s="1020">
        <v>1587251.014</v>
      </c>
      <c r="Q26" s="1020">
        <v>1587251.014</v>
      </c>
    </row>
    <row r="27" spans="2:17" ht="12" customHeight="1">
      <c r="B27" s="1026"/>
      <c r="C27" s="1135"/>
      <c r="D27" s="1135"/>
      <c r="E27" s="1135"/>
      <c r="F27" s="1135"/>
      <c r="G27" s="1135"/>
      <c r="H27" s="1136"/>
      <c r="I27" s="1137"/>
      <c r="J27" s="1137"/>
      <c r="K27" s="1137"/>
      <c r="L27" s="1137"/>
      <c r="M27" s="1135"/>
      <c r="O27" s="1020">
        <v>1587251</v>
      </c>
      <c r="Q27" s="1020">
        <v>1587251</v>
      </c>
    </row>
    <row r="28" spans="2:17" ht="28.5" customHeight="1">
      <c r="B28" s="1027" t="s">
        <v>1177</v>
      </c>
      <c r="C28" s="1135">
        <f>G42</f>
        <v>0</v>
      </c>
      <c r="D28" s="1135">
        <v>211688.967</v>
      </c>
      <c r="E28" s="1135"/>
      <c r="F28" s="1135">
        <v>211688.967</v>
      </c>
      <c r="G28" s="1129">
        <f>C28+D28+E28-F28</f>
        <v>0</v>
      </c>
      <c r="H28" s="1136"/>
      <c r="I28" s="1137">
        <v>0</v>
      </c>
      <c r="J28" s="1137">
        <f>11852318.11/1000</f>
        <v>11852.31811</v>
      </c>
      <c r="K28" s="1137">
        <v>0</v>
      </c>
      <c r="L28" s="1137">
        <f>11869328.91/1000</f>
        <v>11869.32891</v>
      </c>
      <c r="M28" s="1129">
        <f>+(G28*$O$17)/1000</f>
        <v>0</v>
      </c>
      <c r="O28" s="1020">
        <v>211688.967</v>
      </c>
      <c r="Q28" s="1020">
        <v>211688.967</v>
      </c>
    </row>
    <row r="29" spans="2:17" ht="12" customHeight="1">
      <c r="B29" s="1026"/>
      <c r="C29" s="1131"/>
      <c r="D29" s="1131"/>
      <c r="E29" s="1131"/>
      <c r="F29" s="1131"/>
      <c r="G29" s="1131"/>
      <c r="H29" s="1131"/>
      <c r="I29" s="1131"/>
      <c r="J29" s="1131"/>
      <c r="K29" s="1131"/>
      <c r="L29" s="1131"/>
      <c r="M29" s="1131"/>
      <c r="O29" s="1020">
        <v>211689</v>
      </c>
      <c r="Q29" s="1020">
        <v>211689</v>
      </c>
    </row>
    <row r="30" spans="2:17" ht="14.25" customHeight="1">
      <c r="B30" s="1026" t="s">
        <v>1710</v>
      </c>
      <c r="C30" s="1213">
        <f>G44</f>
        <v>27245</v>
      </c>
      <c r="D30" s="1213">
        <v>0</v>
      </c>
      <c r="E30" s="1213"/>
      <c r="F30" s="1213">
        <v>0</v>
      </c>
      <c r="G30" s="1134">
        <f>C30+D30+E30-F30</f>
        <v>27245</v>
      </c>
      <c r="H30" s="1214"/>
      <c r="I30" s="1215">
        <f>M44</f>
        <v>1466.418533</v>
      </c>
      <c r="J30" s="1215">
        <v>0</v>
      </c>
      <c r="K30" s="1215">
        <v>0</v>
      </c>
      <c r="L30" s="1215">
        <v>0</v>
      </c>
      <c r="M30" s="1216">
        <f>+(G30*$O$17)/1000-1</f>
        <v>1508.4738064999999</v>
      </c>
      <c r="O30" s="1028"/>
    </row>
    <row r="31" spans="2:17">
      <c r="B31" s="1025"/>
      <c r="C31" s="1029"/>
      <c r="D31" s="1029"/>
      <c r="E31" s="1029"/>
      <c r="F31" s="1029"/>
      <c r="G31" s="1029"/>
      <c r="H31" s="1030"/>
      <c r="I31" s="1031"/>
      <c r="J31" s="1031"/>
      <c r="K31" s="1031"/>
      <c r="L31" s="1031"/>
      <c r="M31" s="1032"/>
    </row>
    <row r="32" spans="2:17">
      <c r="B32" s="1025"/>
      <c r="C32" s="2103" t="s">
        <v>1496</v>
      </c>
      <c r="D32" s="2103"/>
      <c r="E32" s="2103"/>
      <c r="F32" s="2103"/>
      <c r="G32" s="2103"/>
      <c r="H32" s="2103"/>
      <c r="I32" s="2103"/>
      <c r="J32" s="2103"/>
      <c r="K32" s="2103"/>
      <c r="L32" s="2103"/>
      <c r="M32" s="2103"/>
    </row>
    <row r="33" spans="2:15">
      <c r="B33" s="1025"/>
      <c r="C33" s="2097" t="s">
        <v>1492</v>
      </c>
      <c r="D33" s="2096" t="s">
        <v>1493</v>
      </c>
      <c r="E33" s="2096" t="s">
        <v>1494</v>
      </c>
      <c r="F33" s="2096" t="s">
        <v>1495</v>
      </c>
      <c r="G33" s="2096" t="s">
        <v>1027</v>
      </c>
      <c r="H33" s="1132"/>
      <c r="I33" s="2097" t="s">
        <v>1492</v>
      </c>
      <c r="J33" s="2096" t="s">
        <v>1493</v>
      </c>
      <c r="K33" s="2096" t="s">
        <v>1494</v>
      </c>
      <c r="L33" s="2096" t="s">
        <v>1495</v>
      </c>
      <c r="M33" s="2097" t="s">
        <v>1027</v>
      </c>
      <c r="O33" s="1020">
        <v>53.823399999999999</v>
      </c>
    </row>
    <row r="34" spans="2:15">
      <c r="B34" s="1025"/>
      <c r="C34" s="2098"/>
      <c r="D34" s="2096"/>
      <c r="E34" s="2096"/>
      <c r="F34" s="2096"/>
      <c r="G34" s="2096"/>
      <c r="H34" s="1132"/>
      <c r="I34" s="2098"/>
      <c r="J34" s="2096"/>
      <c r="K34" s="2096"/>
      <c r="L34" s="2096"/>
      <c r="M34" s="2098"/>
    </row>
    <row r="35" spans="2:15">
      <c r="B35" s="1025"/>
      <c r="C35" s="2099"/>
      <c r="D35" s="2096"/>
      <c r="E35" s="2096"/>
      <c r="F35" s="2096"/>
      <c r="G35" s="2096"/>
      <c r="H35" s="1132"/>
      <c r="I35" s="2099"/>
      <c r="J35" s="2096"/>
      <c r="K35" s="2096"/>
      <c r="L35" s="2096"/>
      <c r="M35" s="2099"/>
    </row>
    <row r="36" spans="2:15">
      <c r="B36" s="1025"/>
      <c r="C36" s="2100" t="s">
        <v>1497</v>
      </c>
      <c r="D36" s="2100"/>
      <c r="E36" s="2100"/>
      <c r="F36" s="2100"/>
      <c r="G36" s="2100"/>
      <c r="H36" s="2101" t="s">
        <v>1498</v>
      </c>
      <c r="I36" s="2101"/>
      <c r="J36" s="2101"/>
      <c r="K36" s="2101"/>
      <c r="L36" s="2101"/>
      <c r="M36" s="2101"/>
    </row>
    <row r="37" spans="2:15">
      <c r="B37" s="1025"/>
      <c r="C37" s="1139"/>
      <c r="D37" s="1139"/>
      <c r="E37" s="1139"/>
      <c r="F37" s="1139"/>
      <c r="G37" s="1139"/>
      <c r="H37" s="1140"/>
      <c r="I37" s="1140"/>
      <c r="J37" s="1140"/>
      <c r="K37" s="1140"/>
      <c r="L37" s="1140"/>
      <c r="M37" s="1140"/>
    </row>
    <row r="38" spans="2:15" ht="25.5">
      <c r="B38" s="1025" t="s">
        <v>1443</v>
      </c>
      <c r="C38" s="1206"/>
      <c r="D38" s="1141">
        <v>165117</v>
      </c>
      <c r="E38" s="1141"/>
      <c r="F38" s="1141">
        <v>79367</v>
      </c>
      <c r="G38" s="1142">
        <f>+C38+D38-F38</f>
        <v>85750</v>
      </c>
      <c r="H38" s="1207"/>
      <c r="I38" s="1143">
        <v>0</v>
      </c>
      <c r="J38" s="1143">
        <v>8882.2630000000008</v>
      </c>
      <c r="K38" s="1143"/>
      <c r="L38" s="1143">
        <v>4611.5169999999998</v>
      </c>
      <c r="M38" s="1144">
        <f>+(G38*$O$33)/1000</f>
        <v>4615.3565499999995</v>
      </c>
      <c r="O38" s="1028"/>
    </row>
    <row r="39" spans="2:15" ht="10.5" customHeight="1">
      <c r="D39" s="1145"/>
      <c r="E39" s="1145"/>
      <c r="F39" s="1145"/>
      <c r="G39" s="1145"/>
      <c r="I39" s="1145"/>
      <c r="J39" s="1145"/>
      <c r="K39" s="1145"/>
      <c r="L39" s="1145"/>
      <c r="M39" s="1131"/>
    </row>
    <row r="40" spans="2:15">
      <c r="B40" s="1024" t="s">
        <v>1095</v>
      </c>
      <c r="D40" s="1145">
        <v>6283645</v>
      </c>
      <c r="E40" s="1145"/>
      <c r="F40" s="1145">
        <v>6283645</v>
      </c>
      <c r="G40" s="1146">
        <f>C40+D40+E40-F40</f>
        <v>0</v>
      </c>
      <c r="I40" s="1145">
        <v>0</v>
      </c>
      <c r="J40" s="1145">
        <v>342400</v>
      </c>
      <c r="K40" s="1145"/>
      <c r="L40" s="1145">
        <v>344723.37612000003</v>
      </c>
      <c r="M40" s="1144">
        <f>+(G40*$O$33)/1000</f>
        <v>0</v>
      </c>
    </row>
    <row r="41" spans="2:15" ht="10.5" customHeight="1"/>
    <row r="42" spans="2:15" ht="25.5">
      <c r="B42" s="1027" t="s">
        <v>1177</v>
      </c>
      <c r="C42" s="1147">
        <v>4294</v>
      </c>
      <c r="D42" s="1147">
        <v>56858</v>
      </c>
      <c r="E42" s="1147">
        <v>0</v>
      </c>
      <c r="F42" s="1147">
        <v>61152</v>
      </c>
      <c r="G42" s="1147">
        <f>C42+D42+E42-F42</f>
        <v>0</v>
      </c>
      <c r="H42" s="968"/>
      <c r="I42" s="1148">
        <v>242</v>
      </c>
      <c r="J42" s="1148">
        <v>3219.1280000000002</v>
      </c>
      <c r="K42" s="1148">
        <v>0</v>
      </c>
      <c r="L42" s="1148">
        <v>3505.652</v>
      </c>
      <c r="M42" s="1144">
        <f>+(G42*$O$33)/1000</f>
        <v>0</v>
      </c>
      <c r="O42" s="1028"/>
    </row>
    <row r="43" spans="2:15" ht="10.5" customHeight="1">
      <c r="B43" s="1027"/>
      <c r="C43" s="1147"/>
      <c r="D43" s="1147"/>
      <c r="E43" s="1147"/>
      <c r="F43" s="1147"/>
      <c r="G43" s="1147"/>
      <c r="H43" s="968"/>
      <c r="I43" s="1148"/>
      <c r="J43" s="1148"/>
      <c r="K43" s="1148"/>
      <c r="L43" s="1148"/>
      <c r="M43" s="1147"/>
    </row>
    <row r="44" spans="2:15" ht="26.25" customHeight="1">
      <c r="B44" s="1026" t="s">
        <v>1499</v>
      </c>
      <c r="C44" s="1147">
        <v>307168</v>
      </c>
      <c r="D44" s="1147">
        <v>7808722</v>
      </c>
      <c r="E44" s="1147">
        <v>0</v>
      </c>
      <c r="F44" s="1147">
        <v>8088645</v>
      </c>
      <c r="G44" s="1147">
        <f>C44+D44+E44-F44</f>
        <v>27245</v>
      </c>
      <c r="H44" s="968"/>
      <c r="I44" s="1148">
        <v>17303</v>
      </c>
      <c r="J44" s="1148">
        <v>438896.05833999999</v>
      </c>
      <c r="K44" s="1148">
        <v>0</v>
      </c>
      <c r="L44" s="1148">
        <v>456349.36736999999</v>
      </c>
      <c r="M44" s="1144">
        <f>+(G44*$O$33)/1000</f>
        <v>1466.418533</v>
      </c>
      <c r="O44" s="1033"/>
    </row>
    <row r="45" spans="2:15">
      <c r="B45" s="1027"/>
      <c r="C45" s="1030"/>
      <c r="D45" s="1030"/>
      <c r="E45" s="1030"/>
      <c r="F45" s="1030"/>
      <c r="G45" s="1030"/>
      <c r="H45" s="1030"/>
      <c r="I45" s="1030"/>
      <c r="J45" s="1030"/>
      <c r="K45" s="1030"/>
      <c r="L45" s="1030"/>
      <c r="M45" s="1030"/>
    </row>
  </sheetData>
  <mergeCells count="30">
    <mergeCell ref="B4:M7"/>
    <mergeCell ref="B9:M9"/>
    <mergeCell ref="B11:M11"/>
    <mergeCell ref="B13:M13"/>
    <mergeCell ref="C16:M16"/>
    <mergeCell ref="C17:C19"/>
    <mergeCell ref="D17:D19"/>
    <mergeCell ref="E17:E19"/>
    <mergeCell ref="F17:F19"/>
    <mergeCell ref="G17:G19"/>
    <mergeCell ref="I17:I19"/>
    <mergeCell ref="J17:J19"/>
    <mergeCell ref="K17:K19"/>
    <mergeCell ref="L17:L19"/>
    <mergeCell ref="M17:M19"/>
    <mergeCell ref="L33:L35"/>
    <mergeCell ref="M33:M35"/>
    <mergeCell ref="C36:G36"/>
    <mergeCell ref="H36:M36"/>
    <mergeCell ref="H20:M20"/>
    <mergeCell ref="E33:E35"/>
    <mergeCell ref="F33:F35"/>
    <mergeCell ref="G33:G35"/>
    <mergeCell ref="I33:I35"/>
    <mergeCell ref="J33:J35"/>
    <mergeCell ref="K33:K35"/>
    <mergeCell ref="C32:M32"/>
    <mergeCell ref="C33:C35"/>
    <mergeCell ref="D33:D35"/>
    <mergeCell ref="C20:G20"/>
  </mergeCells>
  <pageMargins left="0.47" right="0.37" top="0.56999999999999995" bottom="0.38" header="0.39" footer="0.23"/>
  <pageSetup scale="81" orientation="landscape" horizontalDpi="4294967295"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101"/>
  <sheetViews>
    <sheetView showGridLines="0" view="pageBreakPreview" zoomScale="85" zoomScaleNormal="100" zoomScaleSheetLayoutView="85" workbookViewId="0">
      <selection activeCell="B13" sqref="B13:M13"/>
    </sheetView>
  </sheetViews>
  <sheetFormatPr defaultColWidth="9.140625" defaultRowHeight="12"/>
  <cols>
    <col min="1" max="1" width="5.42578125" style="412" customWidth="1"/>
    <col min="2" max="2" width="6.85546875" style="412" customWidth="1"/>
    <col min="3" max="3" width="36.5703125" style="412" customWidth="1"/>
    <col min="4" max="4" width="8.5703125" style="412" customWidth="1"/>
    <col min="5" max="5" width="13.5703125" style="412" customWidth="1"/>
    <col min="6" max="6" width="15.7109375" style="412" customWidth="1"/>
    <col min="7" max="7" width="1" style="412" customWidth="1"/>
    <col min="8" max="8" width="15.7109375" style="412" customWidth="1"/>
    <col min="9" max="9" width="1" style="412" customWidth="1"/>
    <col min="10" max="10" width="14.28515625" style="412" customWidth="1"/>
    <col min="11" max="11" width="1" style="412" customWidth="1"/>
    <col min="12" max="12" width="15.7109375" style="412" customWidth="1"/>
    <col min="13" max="13" width="1" style="412" customWidth="1"/>
    <col min="14" max="14" width="15.7109375" style="412" customWidth="1"/>
    <col min="15" max="15" width="1.5703125" style="412" customWidth="1"/>
    <col min="16" max="16" width="15.7109375" style="412" customWidth="1"/>
    <col min="17" max="17" width="10" style="412" bestFit="1" customWidth="1"/>
    <col min="18" max="18" width="27.28515625" style="412" bestFit="1" customWidth="1"/>
    <col min="19" max="19" width="12" style="412" bestFit="1" customWidth="1"/>
    <col min="20" max="20" width="10.140625" style="412" bestFit="1" customWidth="1"/>
    <col min="21" max="21" width="9.5703125" style="412" bestFit="1" customWidth="1"/>
    <col min="22" max="16384" width="9.140625" style="412"/>
  </cols>
  <sheetData>
    <row r="1" spans="1:16" ht="12.75">
      <c r="A1" s="411"/>
      <c r="B1" s="411"/>
      <c r="C1" s="411"/>
      <c r="D1" s="411"/>
      <c r="E1" s="411"/>
      <c r="F1" s="411"/>
      <c r="G1" s="411"/>
      <c r="H1" s="411"/>
      <c r="I1" s="411"/>
      <c r="J1" s="411"/>
      <c r="K1" s="411"/>
      <c r="L1" s="411"/>
      <c r="M1" s="411"/>
      <c r="N1" s="411"/>
      <c r="O1" s="411"/>
      <c r="P1" s="411"/>
    </row>
    <row r="2" spans="1:16" s="462" customFormat="1" ht="12.75">
      <c r="A2" s="676"/>
      <c r="B2" s="677"/>
      <c r="C2" s="678"/>
      <c r="D2" s="678"/>
      <c r="E2" s="678"/>
      <c r="F2" s="675"/>
      <c r="G2" s="675"/>
      <c r="H2" s="679"/>
      <c r="I2" s="679"/>
      <c r="J2" s="679"/>
      <c r="K2" s="679"/>
      <c r="L2" s="679"/>
      <c r="M2" s="679"/>
      <c r="N2" s="679"/>
      <c r="O2" s="679"/>
      <c r="P2" s="680"/>
    </row>
    <row r="3" spans="1:16" s="463" customFormat="1" ht="12.75">
      <c r="A3" s="993" t="s">
        <v>1491</v>
      </c>
      <c r="B3" s="893" t="s">
        <v>1448</v>
      </c>
      <c r="C3" s="454"/>
      <c r="D3" s="454"/>
      <c r="E3" s="454"/>
      <c r="F3" s="454"/>
      <c r="G3" s="454"/>
      <c r="H3" s="454"/>
      <c r="I3" s="454"/>
      <c r="J3" s="454"/>
      <c r="K3" s="454"/>
      <c r="L3" s="681"/>
      <c r="M3" s="681"/>
      <c r="N3" s="681"/>
      <c r="O3" s="681"/>
      <c r="P3" s="682"/>
    </row>
    <row r="4" spans="1:16" s="463" customFormat="1" ht="12.75">
      <c r="A4" s="683"/>
      <c r="B4" s="414"/>
      <c r="C4" s="454"/>
      <c r="D4" s="454"/>
      <c r="E4" s="454"/>
      <c r="F4" s="454"/>
      <c r="G4" s="454"/>
      <c r="H4" s="454"/>
      <c r="I4" s="454"/>
      <c r="J4" s="454"/>
      <c r="K4" s="454"/>
      <c r="L4" s="681"/>
      <c r="M4" s="681"/>
      <c r="N4" s="681"/>
      <c r="O4" s="681"/>
      <c r="P4" s="682"/>
    </row>
    <row r="5" spans="1:16" s="463" customFormat="1" ht="12.75">
      <c r="A5" s="683"/>
      <c r="B5" s="2117" t="s">
        <v>1519</v>
      </c>
      <c r="C5" s="2117"/>
      <c r="D5" s="2117"/>
      <c r="E5" s="2117"/>
      <c r="F5" s="2117"/>
      <c r="G5" s="2117"/>
      <c r="H5" s="2117"/>
      <c r="I5" s="2117"/>
      <c r="J5" s="2117"/>
      <c r="K5" s="2117"/>
      <c r="L5" s="2117"/>
      <c r="M5" s="2117"/>
      <c r="N5" s="2117"/>
      <c r="O5" s="2117"/>
      <c r="P5" s="2117"/>
    </row>
    <row r="6" spans="1:16" s="463" customFormat="1" ht="12.75">
      <c r="A6" s="683"/>
      <c r="B6" s="2117"/>
      <c r="C6" s="2117"/>
      <c r="D6" s="2117"/>
      <c r="E6" s="2117"/>
      <c r="F6" s="2117"/>
      <c r="G6" s="2117"/>
      <c r="H6" s="2117"/>
      <c r="I6" s="2117"/>
      <c r="J6" s="2117"/>
      <c r="K6" s="2117"/>
      <c r="L6" s="2117"/>
      <c r="M6" s="2117"/>
      <c r="N6" s="2117"/>
      <c r="O6" s="2117"/>
      <c r="P6" s="2117"/>
    </row>
    <row r="7" spans="1:16" s="463" customFormat="1" ht="12.75">
      <c r="A7" s="683"/>
      <c r="B7" s="2117"/>
      <c r="C7" s="2117"/>
      <c r="D7" s="2117"/>
      <c r="E7" s="2117"/>
      <c r="F7" s="2117"/>
      <c r="G7" s="2117"/>
      <c r="H7" s="2117"/>
      <c r="I7" s="2117"/>
      <c r="J7" s="2117"/>
      <c r="K7" s="2117"/>
      <c r="L7" s="2117"/>
      <c r="M7" s="2117"/>
      <c r="N7" s="2117"/>
      <c r="O7" s="2117"/>
      <c r="P7" s="2117"/>
    </row>
    <row r="8" spans="1:16" s="463" customFormat="1" ht="12.75">
      <c r="A8" s="683"/>
      <c r="B8" s="1237"/>
      <c r="C8" s="1237"/>
      <c r="D8" s="1237"/>
      <c r="E8" s="1237"/>
      <c r="F8" s="1237"/>
      <c r="G8" s="1237"/>
      <c r="H8" s="1237"/>
      <c r="I8" s="1237"/>
      <c r="J8" s="1237"/>
      <c r="K8" s="1237"/>
      <c r="L8" s="1237"/>
      <c r="M8" s="1237"/>
      <c r="N8" s="1237"/>
      <c r="O8" s="1237"/>
      <c r="P8" s="1237"/>
    </row>
    <row r="9" spans="1:16" s="463" customFormat="1" ht="12.75">
      <c r="A9" s="683"/>
      <c r="B9" s="2118" t="s">
        <v>1520</v>
      </c>
      <c r="C9" s="2118"/>
      <c r="D9" s="2118"/>
      <c r="E9" s="2118"/>
      <c r="F9" s="2118"/>
      <c r="G9" s="2118"/>
      <c r="H9" s="2118"/>
      <c r="I9" s="2118"/>
      <c r="J9" s="2118"/>
      <c r="K9" s="2118"/>
      <c r="L9" s="2118"/>
      <c r="M9" s="2118"/>
      <c r="N9" s="2118"/>
      <c r="O9" s="2118"/>
      <c r="P9" s="2118"/>
    </row>
    <row r="10" spans="1:16" s="463" customFormat="1" ht="12.75">
      <c r="A10" s="683"/>
      <c r="B10" s="2118"/>
      <c r="C10" s="2118"/>
      <c r="D10" s="2118"/>
      <c r="E10" s="2118"/>
      <c r="F10" s="2118"/>
      <c r="G10" s="2118"/>
      <c r="H10" s="2118"/>
      <c r="I10" s="2118"/>
      <c r="J10" s="2118"/>
      <c r="K10" s="2118"/>
      <c r="L10" s="2118"/>
      <c r="M10" s="2118"/>
      <c r="N10" s="2118"/>
      <c r="O10" s="2118"/>
      <c r="P10" s="2118"/>
    </row>
    <row r="11" spans="1:16" s="463" customFormat="1" ht="12.75">
      <c r="A11" s="683"/>
      <c r="B11" s="996"/>
      <c r="C11" s="996"/>
      <c r="D11" s="996"/>
      <c r="E11" s="996"/>
      <c r="F11" s="996"/>
      <c r="G11" s="996"/>
      <c r="H11" s="996"/>
      <c r="I11" s="688"/>
      <c r="J11" s="996"/>
      <c r="K11" s="688"/>
      <c r="L11" s="996"/>
      <c r="M11" s="686"/>
      <c r="N11" s="687"/>
      <c r="O11" s="681"/>
      <c r="P11" s="682"/>
    </row>
    <row r="12" spans="1:16" s="463" customFormat="1" ht="12.75">
      <c r="A12" s="683"/>
      <c r="B12" s="2117" t="s">
        <v>1719</v>
      </c>
      <c r="C12" s="2117"/>
      <c r="D12" s="2117"/>
      <c r="E12" s="2117"/>
      <c r="F12" s="2117"/>
      <c r="G12" s="2117"/>
      <c r="H12" s="2117"/>
      <c r="I12" s="2117"/>
      <c r="J12" s="2117"/>
      <c r="K12" s="2117"/>
      <c r="L12" s="2117"/>
      <c r="M12" s="2117"/>
      <c r="N12" s="2117"/>
      <c r="O12" s="2117"/>
      <c r="P12" s="2117"/>
    </row>
    <row r="13" spans="1:16" s="463" customFormat="1" ht="12.75">
      <c r="A13" s="683"/>
      <c r="B13" s="689"/>
      <c r="C13" s="684"/>
      <c r="D13" s="684"/>
      <c r="E13" s="684"/>
      <c r="F13" s="684"/>
      <c r="G13" s="684"/>
      <c r="H13" s="684"/>
      <c r="I13" s="685"/>
      <c r="J13" s="684"/>
      <c r="K13" s="685"/>
      <c r="L13" s="684"/>
      <c r="M13" s="690"/>
      <c r="N13" s="687"/>
      <c r="O13" s="681"/>
      <c r="P13" s="682"/>
    </row>
    <row r="14" spans="1:16" s="463" customFormat="1" ht="12.75" customHeight="1">
      <c r="A14" s="683"/>
      <c r="B14" s="996" t="s">
        <v>1402</v>
      </c>
      <c r="C14" s="996"/>
      <c r="D14" s="996"/>
      <c r="E14" s="996"/>
      <c r="F14" s="996"/>
      <c r="G14" s="996"/>
      <c r="H14" s="996"/>
      <c r="I14" s="996"/>
      <c r="J14" s="996"/>
      <c r="K14" s="996"/>
      <c r="L14" s="996"/>
      <c r="M14" s="996"/>
      <c r="N14" s="996"/>
      <c r="O14" s="996"/>
    </row>
    <row r="15" spans="1:16" s="463" customFormat="1" ht="12.75">
      <c r="A15" s="683"/>
      <c r="B15" s="996"/>
      <c r="C15" s="996"/>
      <c r="D15" s="996"/>
      <c r="E15" s="996"/>
      <c r="F15" s="996"/>
      <c r="G15" s="996"/>
      <c r="H15" s="996"/>
      <c r="I15" s="996"/>
      <c r="J15" s="996"/>
      <c r="K15" s="996"/>
      <c r="L15" s="996"/>
      <c r="M15" s="996"/>
      <c r="N15" s="996"/>
      <c r="O15" s="996"/>
    </row>
    <row r="16" spans="1:16" s="463" customFormat="1" ht="12.75">
      <c r="A16" s="683"/>
      <c r="B16" s="996" t="s">
        <v>1401</v>
      </c>
      <c r="C16" s="996"/>
      <c r="D16" s="996"/>
      <c r="E16" s="996"/>
      <c r="F16" s="996"/>
      <c r="G16" s="996"/>
      <c r="H16" s="996"/>
      <c r="I16" s="996"/>
      <c r="J16" s="996"/>
      <c r="K16" s="996"/>
      <c r="L16" s="996"/>
      <c r="M16" s="996"/>
      <c r="N16" s="996"/>
      <c r="O16" s="996"/>
    </row>
    <row r="17" spans="1:20" s="463" customFormat="1" ht="12.75">
      <c r="A17" s="683"/>
      <c r="B17" s="996"/>
      <c r="C17" s="996"/>
      <c r="D17" s="996"/>
      <c r="E17" s="996"/>
      <c r="F17" s="996"/>
      <c r="G17" s="996"/>
      <c r="H17" s="996"/>
      <c r="I17" s="996"/>
      <c r="J17" s="996"/>
      <c r="K17" s="996"/>
      <c r="L17" s="996"/>
      <c r="M17" s="996"/>
      <c r="N17" s="996"/>
      <c r="O17" s="996"/>
    </row>
    <row r="18" spans="1:20" s="463" customFormat="1" ht="12.75">
      <c r="A18" s="683"/>
      <c r="B18" s="996" t="s">
        <v>1403</v>
      </c>
      <c r="C18" s="996"/>
      <c r="D18" s="996"/>
      <c r="E18" s="996"/>
      <c r="F18" s="996"/>
      <c r="G18" s="996"/>
      <c r="H18" s="996"/>
      <c r="I18" s="996"/>
      <c r="J18" s="996"/>
      <c r="K18" s="996"/>
      <c r="L18" s="996"/>
      <c r="M18" s="996"/>
      <c r="N18" s="996"/>
      <c r="O18" s="996"/>
    </row>
    <row r="19" spans="1:20" s="463" customFormat="1" ht="12.75">
      <c r="A19" s="683"/>
      <c r="B19" s="691"/>
      <c r="C19" s="692"/>
      <c r="D19" s="692"/>
      <c r="E19" s="692"/>
      <c r="F19" s="172"/>
      <c r="G19" s="172"/>
      <c r="H19" s="172"/>
      <c r="I19" s="172"/>
      <c r="J19" s="172"/>
      <c r="K19" s="172"/>
      <c r="L19" s="172"/>
      <c r="M19" s="172"/>
      <c r="N19" s="172"/>
      <c r="O19" s="172"/>
      <c r="P19" s="682"/>
    </row>
    <row r="20" spans="1:20" s="463" customFormat="1" ht="12.75">
      <c r="A20" s="683"/>
      <c r="B20" s="416" t="s">
        <v>1500</v>
      </c>
      <c r="C20" s="692"/>
      <c r="D20" s="692"/>
      <c r="E20" s="692"/>
      <c r="F20" s="172"/>
      <c r="G20" s="172"/>
      <c r="H20" s="172"/>
      <c r="I20" s="172"/>
      <c r="J20" s="172"/>
      <c r="K20" s="172"/>
      <c r="L20" s="172"/>
      <c r="M20" s="172"/>
      <c r="N20" s="172"/>
      <c r="O20" s="172"/>
      <c r="P20" s="682"/>
    </row>
    <row r="21" spans="1:20" s="463" customFormat="1" ht="12.75">
      <c r="A21" s="683"/>
      <c r="B21" s="692"/>
      <c r="C21" s="693"/>
      <c r="D21" s="693"/>
      <c r="E21" s="693"/>
      <c r="F21" s="172"/>
      <c r="G21" s="172"/>
      <c r="H21" s="172"/>
      <c r="I21" s="172"/>
      <c r="J21" s="172"/>
      <c r="K21" s="172"/>
      <c r="L21" s="172"/>
      <c r="M21" s="172"/>
      <c r="N21" s="172"/>
      <c r="O21" s="172"/>
      <c r="P21" s="682"/>
    </row>
    <row r="22" spans="1:20" s="463" customFormat="1" ht="15" customHeight="1">
      <c r="A22" s="683"/>
      <c r="B22" s="692"/>
      <c r="C22" s="693"/>
      <c r="D22" s="693"/>
      <c r="E22" s="2115">
        <v>44012</v>
      </c>
      <c r="F22" s="2115"/>
      <c r="G22" s="2115"/>
      <c r="H22" s="2115"/>
      <c r="I22" s="2115"/>
      <c r="J22" s="2115"/>
      <c r="K22" s="2115"/>
      <c r="L22" s="2115"/>
      <c r="M22" s="2115"/>
      <c r="N22" s="2115"/>
      <c r="O22" s="2115"/>
      <c r="P22" s="2115"/>
    </row>
    <row r="23" spans="1:20" s="463" customFormat="1" ht="15" customHeight="1">
      <c r="A23" s="683"/>
      <c r="B23" s="692"/>
      <c r="C23" s="693"/>
      <c r="D23" s="693"/>
      <c r="E23" s="2116" t="s">
        <v>1404</v>
      </c>
      <c r="F23" s="2116"/>
      <c r="G23" s="2116"/>
      <c r="H23" s="2116"/>
      <c r="I23" s="1149"/>
      <c r="J23" s="2116" t="s">
        <v>1405</v>
      </c>
      <c r="K23" s="2116"/>
      <c r="L23" s="2116"/>
      <c r="M23" s="2116"/>
      <c r="N23" s="2116"/>
      <c r="O23" s="2116"/>
      <c r="P23" s="2116"/>
    </row>
    <row r="24" spans="1:20" s="751" customFormat="1" ht="50.1" customHeight="1">
      <c r="A24" s="748"/>
      <c r="B24" s="749"/>
      <c r="C24" s="750"/>
      <c r="D24" s="750"/>
      <c r="E24" s="1150" t="s">
        <v>1454</v>
      </c>
      <c r="F24" s="1150" t="s">
        <v>1456</v>
      </c>
      <c r="G24" s="1151"/>
      <c r="H24" s="1152" t="s">
        <v>783</v>
      </c>
      <c r="I24" s="1153"/>
      <c r="J24" s="1152" t="s">
        <v>1246</v>
      </c>
      <c r="K24" s="1154"/>
      <c r="L24" s="1152" t="s">
        <v>1247</v>
      </c>
      <c r="M24" s="1154"/>
      <c r="N24" s="1152" t="s">
        <v>1248</v>
      </c>
      <c r="O24" s="1151"/>
      <c r="P24" s="1152" t="s">
        <v>783</v>
      </c>
    </row>
    <row r="25" spans="1:20" s="464" customFormat="1" ht="23.25" customHeight="1">
      <c r="A25" s="683"/>
      <c r="B25" s="692"/>
      <c r="C25" s="693"/>
      <c r="D25" s="693"/>
      <c r="E25" s="2112" t="s">
        <v>1467</v>
      </c>
      <c r="F25" s="2112"/>
      <c r="G25" s="2112"/>
      <c r="H25" s="2112"/>
      <c r="I25" s="2112"/>
      <c r="J25" s="2112"/>
      <c r="K25" s="2112"/>
      <c r="L25" s="2112"/>
      <c r="M25" s="2112"/>
      <c r="N25" s="2112"/>
      <c r="O25" s="2112"/>
      <c r="P25" s="2112"/>
      <c r="Q25" s="961"/>
      <c r="R25" s="961"/>
      <c r="S25" s="961"/>
      <c r="T25" s="961"/>
    </row>
    <row r="26" spans="1:20" s="464" customFormat="1" ht="12.75">
      <c r="A26" s="683"/>
      <c r="B26" s="694" t="s">
        <v>1406</v>
      </c>
      <c r="C26" s="693"/>
      <c r="D26" s="693"/>
      <c r="E26" s="693"/>
      <c r="F26" s="172"/>
      <c r="G26" s="172"/>
      <c r="H26" s="172"/>
      <c r="I26" s="172"/>
      <c r="J26" s="172"/>
      <c r="K26" s="172"/>
      <c r="L26" s="172"/>
      <c r="M26" s="172"/>
      <c r="N26" s="172"/>
      <c r="O26" s="172"/>
      <c r="P26" s="682"/>
    </row>
    <row r="27" spans="1:20" s="464" customFormat="1" ht="12.75">
      <c r="A27" s="683"/>
      <c r="C27" s="693"/>
      <c r="D27" s="693"/>
      <c r="E27" s="693"/>
      <c r="F27" s="172"/>
      <c r="G27" s="172"/>
      <c r="H27" s="172"/>
      <c r="I27" s="172"/>
      <c r="J27" s="172"/>
      <c r="K27" s="172"/>
      <c r="L27" s="172"/>
      <c r="M27" s="172"/>
      <c r="N27" s="172"/>
      <c r="O27" s="172"/>
      <c r="P27" s="682"/>
    </row>
    <row r="28" spans="1:20" s="464" customFormat="1" ht="12.75">
      <c r="A28" s="695"/>
      <c r="B28" s="962" t="s">
        <v>1011</v>
      </c>
      <c r="C28" s="693"/>
      <c r="D28" s="693"/>
      <c r="E28" s="1155">
        <f>'1 - 4.2'!G128</f>
        <v>1718737.5</v>
      </c>
      <c r="F28" s="1155">
        <v>0</v>
      </c>
      <c r="G28" s="398"/>
      <c r="H28" s="1156">
        <f t="shared" ref="H28:H33" si="0">SUM(E28:F28)</f>
        <v>1718737.5</v>
      </c>
      <c r="I28" s="172"/>
      <c r="J28" s="204">
        <v>0</v>
      </c>
      <c r="K28" s="204"/>
      <c r="L28" s="204">
        <f>E28</f>
        <v>1718737.5</v>
      </c>
      <c r="M28" s="204"/>
      <c r="N28" s="204">
        <v>0</v>
      </c>
      <c r="O28" s="204"/>
      <c r="P28" s="204">
        <f t="shared" ref="P28:P33" si="1">SUM(J28:N28)</f>
        <v>1718737.5</v>
      </c>
      <c r="R28" s="700" t="e">
        <f>SUM(P28:P31)</f>
        <v>#REF!</v>
      </c>
    </row>
    <row r="29" spans="1:20" s="464" customFormat="1" ht="12.75">
      <c r="A29" s="695"/>
      <c r="B29" s="962" t="s">
        <v>1754</v>
      </c>
      <c r="C29" s="693"/>
      <c r="D29" s="693"/>
      <c r="E29" s="1155">
        <f>'1 - 4.2'!G129</f>
        <v>0</v>
      </c>
      <c r="F29" s="1155">
        <v>0</v>
      </c>
      <c r="G29" s="398"/>
      <c r="H29" s="1156">
        <f t="shared" si="0"/>
        <v>0</v>
      </c>
      <c r="I29" s="172"/>
      <c r="J29" s="204">
        <v>0</v>
      </c>
      <c r="K29" s="204"/>
      <c r="L29" s="204">
        <f>E29</f>
        <v>0</v>
      </c>
      <c r="M29" s="204"/>
      <c r="N29" s="204">
        <v>0</v>
      </c>
      <c r="O29" s="204"/>
      <c r="P29" s="204">
        <f t="shared" si="1"/>
        <v>0</v>
      </c>
      <c r="R29" s="700"/>
    </row>
    <row r="30" spans="1:20" s="464" customFormat="1" ht="12.75">
      <c r="A30" s="695"/>
      <c r="B30" s="962" t="s">
        <v>1755</v>
      </c>
      <c r="C30" s="693"/>
      <c r="D30" s="693"/>
      <c r="E30" s="1155">
        <f>'1 - 4.2'!G130</f>
        <v>276076.21461100923</v>
      </c>
      <c r="F30" s="1155">
        <v>0</v>
      </c>
      <c r="G30" s="398"/>
      <c r="H30" s="1156">
        <f t="shared" si="0"/>
        <v>276076.21461100923</v>
      </c>
      <c r="I30" s="172"/>
      <c r="J30" s="204">
        <v>0</v>
      </c>
      <c r="K30" s="204"/>
      <c r="L30" s="204">
        <f>E30</f>
        <v>276076.21461100923</v>
      </c>
      <c r="M30" s="204"/>
      <c r="N30" s="204">
        <v>0</v>
      </c>
      <c r="O30" s="204"/>
      <c r="P30" s="204">
        <f t="shared" si="1"/>
        <v>276076.21461100923</v>
      </c>
      <c r="R30" s="700"/>
    </row>
    <row r="31" spans="1:20" s="464" customFormat="1" ht="12.75">
      <c r="A31" s="695"/>
      <c r="B31" s="962" t="s">
        <v>1756</v>
      </c>
      <c r="C31" s="693"/>
      <c r="D31" s="693"/>
      <c r="E31" s="1155" t="e">
        <f>'1 - 4.2'!#REF!</f>
        <v>#REF!</v>
      </c>
      <c r="F31" s="1155">
        <v>0</v>
      </c>
      <c r="G31" s="398"/>
      <c r="H31" s="1156" t="e">
        <f t="shared" si="0"/>
        <v>#REF!</v>
      </c>
      <c r="I31" s="172"/>
      <c r="J31" s="204">
        <v>0</v>
      </c>
      <c r="K31" s="204"/>
      <c r="L31" s="204" t="e">
        <f>E31</f>
        <v>#REF!</v>
      </c>
      <c r="M31" s="204"/>
      <c r="N31" s="204">
        <v>0</v>
      </c>
      <c r="O31" s="204"/>
      <c r="P31" s="204" t="e">
        <f t="shared" si="1"/>
        <v>#REF!</v>
      </c>
      <c r="R31" s="701">
        <f>SOAL!F12</f>
        <v>4191776.3090396738</v>
      </c>
    </row>
    <row r="32" spans="1:20" s="464" customFormat="1" ht="12.75">
      <c r="A32" s="695"/>
      <c r="B32" s="962" t="s">
        <v>1757</v>
      </c>
      <c r="C32" s="693"/>
      <c r="D32" s="693"/>
      <c r="E32" s="1155">
        <f>'1 - 4.2'!G131</f>
        <v>33293.671278664631</v>
      </c>
      <c r="F32" s="1155">
        <v>0</v>
      </c>
      <c r="G32" s="398"/>
      <c r="H32" s="1156">
        <f t="shared" si="0"/>
        <v>33293.671278664631</v>
      </c>
      <c r="I32" s="172"/>
      <c r="J32" s="204">
        <v>0</v>
      </c>
      <c r="K32" s="204"/>
      <c r="L32" s="204">
        <f>E32</f>
        <v>33293.671278664631</v>
      </c>
      <c r="M32" s="204"/>
      <c r="N32" s="204">
        <v>0</v>
      </c>
      <c r="O32" s="204"/>
      <c r="P32" s="204">
        <f t="shared" si="1"/>
        <v>33293.671278664631</v>
      </c>
      <c r="R32" s="701"/>
    </row>
    <row r="33" spans="1:18" s="464" customFormat="1" ht="12.75">
      <c r="A33" s="695"/>
      <c r="B33" s="962" t="s">
        <v>1631</v>
      </c>
      <c r="C33" s="693"/>
      <c r="D33" s="693"/>
      <c r="E33" s="1155" t="e">
        <f>'1 - 4.2'!#REF!</f>
        <v>#REF!</v>
      </c>
      <c r="F33" s="1155"/>
      <c r="G33" s="398"/>
      <c r="H33" s="1156" t="e">
        <f t="shared" si="0"/>
        <v>#REF!</v>
      </c>
      <c r="I33" s="172"/>
      <c r="J33" s="204">
        <v>0</v>
      </c>
      <c r="K33" s="204"/>
      <c r="L33" s="204">
        <v>0</v>
      </c>
      <c r="M33" s="204"/>
      <c r="N33" s="204" t="e">
        <f>E33</f>
        <v>#REF!</v>
      </c>
      <c r="O33" s="204"/>
      <c r="P33" s="204" t="e">
        <f t="shared" si="1"/>
        <v>#REF!</v>
      </c>
      <c r="R33" s="701"/>
    </row>
    <row r="34" spans="1:18" s="464" customFormat="1" ht="21" customHeight="1" thickBot="1">
      <c r="A34" s="695"/>
      <c r="B34" s="1236"/>
      <c r="C34" s="693"/>
      <c r="D34" s="693"/>
      <c r="E34" s="1157" t="e">
        <f>SUM(E28:E33)</f>
        <v>#REF!</v>
      </c>
      <c r="F34" s="1157">
        <f t="shared" ref="F34:P34" si="2">SUM(F28:F33)</f>
        <v>0</v>
      </c>
      <c r="G34" s="398"/>
      <c r="H34" s="1157" t="e">
        <f t="shared" si="2"/>
        <v>#REF!</v>
      </c>
      <c r="I34" s="172"/>
      <c r="J34" s="1157">
        <f t="shared" si="2"/>
        <v>0</v>
      </c>
      <c r="K34" s="204"/>
      <c r="L34" s="1157" t="e">
        <f t="shared" si="2"/>
        <v>#REF!</v>
      </c>
      <c r="M34" s="204"/>
      <c r="N34" s="1157" t="e">
        <f t="shared" si="2"/>
        <v>#REF!</v>
      </c>
      <c r="O34" s="204"/>
      <c r="P34" s="1157" t="e">
        <f t="shared" si="2"/>
        <v>#REF!</v>
      </c>
      <c r="R34" s="701"/>
    </row>
    <row r="35" spans="1:18" s="464" customFormat="1" ht="13.5" thickTop="1">
      <c r="A35" s="695"/>
      <c r="B35" s="1236"/>
      <c r="C35" s="693"/>
      <c r="D35" s="693"/>
      <c r="E35" s="1155"/>
      <c r="F35" s="1155"/>
      <c r="G35" s="398"/>
      <c r="H35" s="1156"/>
      <c r="I35" s="172"/>
      <c r="J35" s="207"/>
      <c r="K35" s="204"/>
      <c r="L35" s="207"/>
      <c r="M35" s="204"/>
      <c r="N35" s="207"/>
      <c r="O35" s="204"/>
      <c r="P35" s="207"/>
      <c r="R35" s="701"/>
    </row>
    <row r="36" spans="1:18" s="464" customFormat="1" ht="12.75">
      <c r="A36" s="695"/>
      <c r="B36" s="694" t="s">
        <v>1407</v>
      </c>
      <c r="C36" s="693"/>
      <c r="D36" s="693"/>
      <c r="E36" s="1155"/>
      <c r="F36" s="1155"/>
      <c r="G36" s="398"/>
      <c r="H36" s="1156"/>
      <c r="I36" s="172"/>
      <c r="J36" s="207"/>
      <c r="K36" s="204"/>
      <c r="L36" s="207"/>
      <c r="M36" s="204"/>
      <c r="N36" s="207"/>
      <c r="O36" s="204"/>
      <c r="P36" s="207"/>
      <c r="R36" s="701"/>
    </row>
    <row r="37" spans="1:18" s="464" customFormat="1" ht="12.75">
      <c r="A37" s="695"/>
      <c r="B37" s="694"/>
      <c r="C37" s="693"/>
      <c r="D37" s="693"/>
      <c r="E37" s="1155"/>
      <c r="F37" s="1155"/>
      <c r="G37" s="398"/>
      <c r="H37" s="1156"/>
      <c r="I37" s="172"/>
      <c r="J37" s="207"/>
      <c r="K37" s="204"/>
      <c r="L37" s="207"/>
      <c r="M37" s="204"/>
      <c r="N37" s="207"/>
      <c r="O37" s="204"/>
      <c r="P37" s="207"/>
      <c r="R37" s="701"/>
    </row>
    <row r="38" spans="1:18" s="464" customFormat="1" ht="12.75">
      <c r="A38" s="695"/>
      <c r="B38" s="962" t="s">
        <v>913</v>
      </c>
      <c r="C38" s="693"/>
      <c r="D38" s="693"/>
      <c r="E38" s="1155">
        <v>0</v>
      </c>
      <c r="F38" s="1155">
        <f>'1 - 4.2'!G113</f>
        <v>4786432.6707100002</v>
      </c>
      <c r="G38" s="398"/>
      <c r="H38" s="1156">
        <f>SUM(E38:F38)</f>
        <v>4786432.6707100002</v>
      </c>
      <c r="I38" s="172"/>
      <c r="R38" s="701"/>
    </row>
    <row r="39" spans="1:18" s="464" customFormat="1" ht="12.75">
      <c r="A39" s="695"/>
      <c r="B39" s="963" t="s">
        <v>917</v>
      </c>
      <c r="C39" s="693"/>
      <c r="D39" s="693"/>
      <c r="E39" s="1155">
        <v>0</v>
      </c>
      <c r="F39" s="1155">
        <f>'5.2 - 25'!J61</f>
        <v>13382.02053</v>
      </c>
      <c r="G39" s="398"/>
      <c r="H39" s="1156">
        <f>SUM(E39:F39)</f>
        <v>13382.02053</v>
      </c>
      <c r="I39" s="172"/>
      <c r="J39" s="159"/>
      <c r="K39" s="159"/>
      <c r="L39" s="159"/>
      <c r="M39" s="159"/>
      <c r="N39" s="159"/>
      <c r="O39" s="159"/>
      <c r="P39" s="159"/>
      <c r="R39" s="700" t="e">
        <f>R28-R31</f>
        <v>#REF!</v>
      </c>
    </row>
    <row r="40" spans="1:18" s="464" customFormat="1" ht="12.75">
      <c r="A40" s="683"/>
      <c r="B40" s="963" t="s">
        <v>1727</v>
      </c>
      <c r="C40" s="693"/>
      <c r="D40" s="693"/>
      <c r="E40" s="1155">
        <v>0</v>
      </c>
      <c r="F40" s="1155">
        <f>'5.2 - 25'!J67+'5.2 - 25'!J68+'5.2 - 25'!J70+'5.2 - 25'!J73</f>
        <v>6752.9219300000004</v>
      </c>
      <c r="G40" s="398"/>
      <c r="H40" s="1156">
        <f>SUM(E40:F40)</f>
        <v>6752.9219300000004</v>
      </c>
      <c r="I40" s="172"/>
      <c r="J40" s="159"/>
      <c r="K40" s="159"/>
      <c r="L40" s="159"/>
      <c r="M40" s="159"/>
      <c r="N40" s="159"/>
      <c r="O40" s="159"/>
      <c r="P40" s="159"/>
    </row>
    <row r="41" spans="1:18" s="464" customFormat="1" ht="21" customHeight="1" thickBot="1">
      <c r="A41" s="683"/>
      <c r="B41" s="1236"/>
      <c r="C41" s="693"/>
      <c r="D41" s="693"/>
      <c r="E41" s="1158">
        <f>SUM(E38:E40)</f>
        <v>0</v>
      </c>
      <c r="F41" s="1158">
        <f>SUM(F38:F40)</f>
        <v>4806567.6131700007</v>
      </c>
      <c r="G41" s="398"/>
      <c r="H41" s="1159">
        <f>SUM(E41:F41)</f>
        <v>4806567.6131700007</v>
      </c>
      <c r="I41" s="172"/>
      <c r="J41" s="159"/>
      <c r="K41" s="159"/>
      <c r="L41" s="159"/>
      <c r="M41" s="159"/>
      <c r="N41" s="159"/>
      <c r="O41" s="159"/>
      <c r="P41" s="159"/>
    </row>
    <row r="42" spans="1:18" s="464" customFormat="1" ht="13.5" thickTop="1">
      <c r="A42" s="683"/>
      <c r="B42" s="1236"/>
      <c r="C42" s="693"/>
      <c r="D42" s="693"/>
      <c r="E42" s="714"/>
      <c r="F42" s="172"/>
      <c r="G42" s="172"/>
      <c r="H42" s="172"/>
      <c r="I42" s="172"/>
      <c r="J42" s="159"/>
      <c r="K42" s="159"/>
      <c r="L42" s="159"/>
      <c r="M42" s="159"/>
      <c r="N42" s="159"/>
      <c r="O42" s="159"/>
      <c r="P42" s="159"/>
    </row>
    <row r="43" spans="1:18" s="464" customFormat="1" ht="12.75">
      <c r="A43" s="683"/>
      <c r="B43" s="694" t="s">
        <v>1408</v>
      </c>
      <c r="C43" s="693"/>
      <c r="D43" s="693"/>
      <c r="E43" s="714"/>
      <c r="F43" s="172"/>
      <c r="G43" s="172"/>
      <c r="H43" s="172"/>
      <c r="I43" s="172"/>
      <c r="J43" s="159"/>
      <c r="K43" s="159"/>
      <c r="L43" s="159"/>
      <c r="M43" s="159"/>
      <c r="N43" s="159"/>
      <c r="O43" s="159"/>
      <c r="P43" s="159"/>
    </row>
    <row r="44" spans="1:18" s="464" customFormat="1" ht="12.75">
      <c r="A44" s="683"/>
      <c r="B44" s="694"/>
      <c r="C44" s="693"/>
      <c r="D44" s="693"/>
      <c r="E44" s="714"/>
      <c r="F44" s="172"/>
      <c r="G44" s="172"/>
      <c r="H44" s="172"/>
      <c r="I44" s="172"/>
      <c r="J44" s="159"/>
      <c r="K44" s="159"/>
      <c r="L44" s="159"/>
      <c r="M44" s="159"/>
      <c r="N44" s="159"/>
      <c r="O44" s="159"/>
      <c r="P44" s="159"/>
    </row>
    <row r="45" spans="1:18" s="464" customFormat="1" ht="12.75">
      <c r="A45" s="683"/>
      <c r="B45" s="962"/>
      <c r="C45" s="693"/>
      <c r="D45" s="693"/>
      <c r="E45" s="714"/>
      <c r="F45" s="172"/>
      <c r="G45" s="172"/>
      <c r="H45" s="172"/>
      <c r="I45" s="172"/>
      <c r="J45" s="159"/>
      <c r="K45" s="159"/>
      <c r="L45" s="159"/>
      <c r="M45" s="159"/>
      <c r="N45" s="159"/>
      <c r="O45" s="159"/>
      <c r="P45" s="159"/>
    </row>
    <row r="46" spans="1:18" s="464" customFormat="1" ht="12.75">
      <c r="A46" s="683"/>
      <c r="B46" s="1000" t="s">
        <v>1315</v>
      </c>
      <c r="C46" s="693"/>
      <c r="D46" s="693"/>
      <c r="E46" s="1160">
        <v>0</v>
      </c>
      <c r="F46" s="1155">
        <f>'5.2 - 25'!J84+'5.2 - 25'!J86+'5.2 - 25'!J87+'5.2 - 25'!J88</f>
        <v>4438.4719399999994</v>
      </c>
      <c r="G46" s="1156"/>
      <c r="H46" s="1156">
        <f>SUM(E46:F46)</f>
        <v>4438.4719399999994</v>
      </c>
      <c r="I46" s="172"/>
      <c r="J46" s="159"/>
      <c r="K46" s="159"/>
      <c r="L46" s="159"/>
      <c r="M46" s="159"/>
      <c r="N46" s="159"/>
      <c r="O46" s="159"/>
      <c r="P46" s="159"/>
    </row>
    <row r="47" spans="1:18" s="464" customFormat="1" ht="12.75">
      <c r="A47" s="683"/>
      <c r="B47" s="1000" t="s">
        <v>1316</v>
      </c>
      <c r="C47" s="693"/>
      <c r="D47" s="693"/>
      <c r="E47" s="1160">
        <v>0</v>
      </c>
      <c r="F47" s="1155">
        <f>'5.2 - 25'!J128</f>
        <v>124.44373</v>
      </c>
      <c r="G47" s="1156"/>
      <c r="H47" s="1156">
        <f>SUM(E47:F47)</f>
        <v>124.44373</v>
      </c>
      <c r="I47" s="172"/>
      <c r="J47" s="159"/>
      <c r="K47" s="159"/>
      <c r="L47" s="159"/>
      <c r="M47" s="159"/>
      <c r="N47" s="159"/>
      <c r="O47" s="159"/>
      <c r="P47" s="159"/>
    </row>
    <row r="48" spans="1:18" s="464" customFormat="1" ht="12.75">
      <c r="A48" s="683"/>
      <c r="B48" s="962" t="s">
        <v>929</v>
      </c>
      <c r="C48" s="693"/>
      <c r="D48" s="693"/>
      <c r="E48" s="1160">
        <v>0</v>
      </c>
      <c r="F48" s="1155">
        <f>SOAL!F26</f>
        <v>47.22307</v>
      </c>
      <c r="G48" s="1156"/>
      <c r="H48" s="1156">
        <f>SUM(E48:F48)</f>
        <v>47.22307</v>
      </c>
      <c r="I48" s="172"/>
      <c r="J48" s="159"/>
      <c r="K48" s="159"/>
      <c r="L48" s="159"/>
      <c r="M48" s="159"/>
      <c r="N48" s="159"/>
      <c r="O48" s="159"/>
      <c r="P48" s="159"/>
    </row>
    <row r="49" spans="1:16" s="464" customFormat="1" ht="12.75" hidden="1">
      <c r="A49" s="683"/>
      <c r="B49" s="962"/>
      <c r="C49" s="693"/>
      <c r="D49" s="693"/>
      <c r="E49" s="1160"/>
      <c r="F49" s="1155"/>
      <c r="G49" s="1156"/>
      <c r="H49" s="1156">
        <f>SUM(E49:F49)</f>
        <v>0</v>
      </c>
      <c r="I49" s="172"/>
      <c r="J49" s="159"/>
      <c r="K49" s="159"/>
      <c r="L49" s="159"/>
      <c r="M49" s="159"/>
      <c r="N49" s="159"/>
      <c r="O49" s="159"/>
      <c r="P49" s="159"/>
    </row>
    <row r="50" spans="1:16" s="464" customFormat="1" ht="12.75">
      <c r="A50" s="683"/>
      <c r="B50" s="962" t="s">
        <v>930</v>
      </c>
      <c r="C50" s="693"/>
      <c r="D50" s="693"/>
      <c r="E50" s="1160">
        <v>0</v>
      </c>
      <c r="F50" s="1155">
        <f>'5.2 - 25'!J175+'5.2 - 25'!J177+'5.2 - 25'!J178+'5.2 - 25'!J180</f>
        <v>14846.93736</v>
      </c>
      <c r="G50" s="1156"/>
      <c r="H50" s="1156">
        <f>SUM(E50:F50)</f>
        <v>14846.93736</v>
      </c>
      <c r="I50" s="172"/>
      <c r="J50" s="159"/>
      <c r="K50" s="159"/>
      <c r="L50" s="159"/>
      <c r="M50" s="159"/>
      <c r="N50" s="159"/>
      <c r="O50" s="159"/>
      <c r="P50" s="159"/>
    </row>
    <row r="51" spans="1:16" s="464" customFormat="1" ht="21" customHeight="1" thickBot="1">
      <c r="A51" s="683"/>
      <c r="B51" s="1236"/>
      <c r="C51" s="693"/>
      <c r="D51" s="693"/>
      <c r="E51" s="1158">
        <f>SUM(E46:E50)</f>
        <v>0</v>
      </c>
      <c r="F51" s="1161">
        <f>SUM(F46:F50)</f>
        <v>19457.076099999998</v>
      </c>
      <c r="G51" s="1156"/>
      <c r="H51" s="1158">
        <f>SUM(H46:H50)</f>
        <v>19457.076099999998</v>
      </c>
      <c r="I51" s="172"/>
      <c r="J51" s="159"/>
      <c r="K51" s="159"/>
      <c r="L51" s="159"/>
      <c r="M51" s="159"/>
      <c r="N51" s="159"/>
      <c r="O51" s="159"/>
      <c r="P51" s="159"/>
    </row>
    <row r="52" spans="1:16" s="464" customFormat="1" ht="13.5" thickTop="1">
      <c r="A52" s="683"/>
      <c r="B52" s="1236"/>
      <c r="C52" s="693"/>
      <c r="D52" s="693"/>
      <c r="E52" s="964"/>
      <c r="F52" s="965"/>
      <c r="G52" s="172"/>
      <c r="H52" s="964"/>
      <c r="I52" s="172"/>
      <c r="J52" s="159"/>
      <c r="K52" s="159"/>
      <c r="L52" s="159"/>
      <c r="M52" s="159"/>
      <c r="N52" s="159"/>
      <c r="O52" s="159"/>
      <c r="P52" s="159"/>
    </row>
    <row r="53" spans="1:16" s="464" customFormat="1" ht="12.75">
      <c r="A53" s="683"/>
      <c r="B53" s="1236"/>
      <c r="C53" s="693"/>
      <c r="D53" s="693"/>
      <c r="E53" s="964"/>
      <c r="F53" s="965"/>
      <c r="G53" s="172"/>
      <c r="H53" s="964"/>
      <c r="I53" s="172"/>
      <c r="J53" s="159"/>
      <c r="K53" s="159"/>
      <c r="L53" s="159"/>
      <c r="M53" s="159"/>
      <c r="N53" s="159"/>
      <c r="O53" s="159"/>
      <c r="P53" s="159"/>
    </row>
    <row r="54" spans="1:16" s="464" customFormat="1" ht="12.75">
      <c r="A54" s="683"/>
      <c r="B54" s="1236"/>
      <c r="C54" s="693"/>
      <c r="D54" s="693"/>
      <c r="E54" s="2115">
        <v>43646</v>
      </c>
      <c r="F54" s="2115"/>
      <c r="G54" s="2115"/>
      <c r="H54" s="2115"/>
      <c r="I54" s="2115"/>
      <c r="J54" s="2115"/>
      <c r="K54" s="2115"/>
      <c r="L54" s="2115"/>
      <c r="M54" s="2115"/>
      <c r="N54" s="2115"/>
      <c r="O54" s="2115"/>
      <c r="P54" s="2115"/>
    </row>
    <row r="55" spans="1:16" s="463" customFormat="1" ht="15" customHeight="1">
      <c r="A55" s="683"/>
      <c r="B55" s="692"/>
      <c r="C55" s="693"/>
      <c r="D55" s="693"/>
      <c r="E55" s="2113" t="s">
        <v>1404</v>
      </c>
      <c r="F55" s="2113"/>
      <c r="G55" s="2113"/>
      <c r="H55" s="2113"/>
      <c r="I55" s="1162"/>
      <c r="J55" s="2113" t="s">
        <v>1405</v>
      </c>
      <c r="K55" s="2113"/>
      <c r="L55" s="2113"/>
      <c r="M55" s="2113"/>
      <c r="N55" s="2113"/>
      <c r="O55" s="2113"/>
      <c r="P55" s="2113"/>
    </row>
    <row r="56" spans="1:16" s="751" customFormat="1" ht="51" customHeight="1">
      <c r="A56" s="748"/>
      <c r="B56" s="749"/>
      <c r="C56" s="750"/>
      <c r="D56" s="750"/>
      <c r="E56" s="1163" t="s">
        <v>1454</v>
      </c>
      <c r="F56" s="1163" t="s">
        <v>1456</v>
      </c>
      <c r="G56" s="1151"/>
      <c r="H56" s="1164" t="s">
        <v>783</v>
      </c>
      <c r="I56" s="1153"/>
      <c r="J56" s="1164" t="s">
        <v>1246</v>
      </c>
      <c r="K56" s="1154"/>
      <c r="L56" s="1164" t="s">
        <v>1247</v>
      </c>
      <c r="M56" s="1154"/>
      <c r="N56" s="1164" t="s">
        <v>1248</v>
      </c>
      <c r="O56" s="1151"/>
      <c r="P56" s="1164" t="s">
        <v>783</v>
      </c>
    </row>
    <row r="57" spans="1:16" s="464" customFormat="1" ht="15" customHeight="1">
      <c r="A57" s="683"/>
      <c r="B57" s="692"/>
      <c r="C57" s="693"/>
      <c r="D57" s="693"/>
      <c r="E57" s="2112" t="s">
        <v>1467</v>
      </c>
      <c r="F57" s="2112"/>
      <c r="G57" s="2112"/>
      <c r="H57" s="2112"/>
      <c r="I57" s="2112"/>
      <c r="J57" s="2112"/>
      <c r="K57" s="2112"/>
      <c r="L57" s="2112"/>
      <c r="M57" s="2112"/>
      <c r="N57" s="2112"/>
      <c r="O57" s="2112"/>
      <c r="P57" s="2112"/>
    </row>
    <row r="58" spans="1:16" s="464" customFormat="1" ht="12.75">
      <c r="A58" s="683"/>
      <c r="B58" s="1236"/>
      <c r="C58" s="693"/>
      <c r="D58" s="693"/>
      <c r="E58" s="693"/>
      <c r="F58" s="172"/>
      <c r="G58" s="172"/>
      <c r="H58" s="172"/>
      <c r="I58" s="172"/>
      <c r="J58" s="159"/>
      <c r="K58" s="159"/>
      <c r="L58" s="159"/>
      <c r="M58" s="159"/>
      <c r="N58" s="159"/>
      <c r="O58" s="159"/>
      <c r="P58" s="159"/>
    </row>
    <row r="59" spans="1:16" s="464" customFormat="1" ht="12.75">
      <c r="A59" s="683"/>
      <c r="B59" s="694" t="s">
        <v>1406</v>
      </c>
      <c r="C59" s="693"/>
      <c r="D59" s="693"/>
      <c r="E59" s="693"/>
      <c r="F59" s="172"/>
      <c r="G59" s="172"/>
      <c r="H59" s="172"/>
      <c r="I59" s="172"/>
      <c r="J59" s="159"/>
      <c r="K59" s="159"/>
      <c r="L59" s="159"/>
      <c r="M59" s="159"/>
      <c r="N59" s="159"/>
      <c r="O59" s="159"/>
      <c r="P59" s="159"/>
    </row>
    <row r="60" spans="1:16" s="464" customFormat="1" ht="12.75">
      <c r="A60" s="683"/>
      <c r="B60" s="694"/>
      <c r="C60" s="693"/>
      <c r="D60" s="693"/>
      <c r="E60" s="693"/>
      <c r="F60" s="172"/>
      <c r="G60" s="172"/>
      <c r="H60" s="172"/>
      <c r="I60" s="172"/>
      <c r="J60" s="159"/>
      <c r="K60" s="159"/>
      <c r="L60" s="159"/>
      <c r="M60" s="159"/>
      <c r="N60" s="159"/>
      <c r="O60" s="159"/>
      <c r="P60" s="159"/>
    </row>
    <row r="61" spans="1:16" s="464" customFormat="1" ht="12.75">
      <c r="A61" s="695"/>
      <c r="B61" s="962" t="s">
        <v>1011</v>
      </c>
      <c r="C61" s="693"/>
      <c r="D61" s="693"/>
      <c r="E61" s="714">
        <v>0</v>
      </c>
      <c r="F61" s="714">
        <v>0</v>
      </c>
      <c r="G61" s="1165"/>
      <c r="H61" s="714">
        <f>SUM(E61:G61)</f>
        <v>0</v>
      </c>
      <c r="I61" s="1165"/>
      <c r="J61" s="159">
        <v>0</v>
      </c>
      <c r="K61" s="159"/>
      <c r="L61" s="159">
        <v>0</v>
      </c>
      <c r="M61" s="159"/>
      <c r="N61" s="159">
        <v>0</v>
      </c>
      <c r="O61" s="159"/>
      <c r="P61" s="159">
        <f>SUM(J61:O61)</f>
        <v>0</v>
      </c>
    </row>
    <row r="62" spans="1:16" s="464" customFormat="1" ht="12.75">
      <c r="A62" s="695"/>
      <c r="B62" s="962" t="s">
        <v>1754</v>
      </c>
      <c r="C62" s="693"/>
      <c r="D62" s="693"/>
      <c r="E62" s="714">
        <f>'1 - 4.2'!I129</f>
        <v>0</v>
      </c>
      <c r="F62" s="714">
        <v>0</v>
      </c>
      <c r="G62" s="1165"/>
      <c r="H62" s="714">
        <f>SUM(E62:G62)</f>
        <v>0</v>
      </c>
      <c r="I62" s="1165"/>
      <c r="J62" s="159">
        <v>0</v>
      </c>
      <c r="K62" s="159"/>
      <c r="L62" s="159">
        <f>'1 - 4.2'!I129</f>
        <v>0</v>
      </c>
      <c r="M62" s="159"/>
      <c r="N62" s="159">
        <v>0</v>
      </c>
      <c r="O62" s="159"/>
      <c r="P62" s="159">
        <f>SUM(J62:O62)</f>
        <v>0</v>
      </c>
    </row>
    <row r="63" spans="1:16" s="464" customFormat="1" ht="12.75">
      <c r="A63" s="695"/>
      <c r="B63" s="962" t="s">
        <v>1755</v>
      </c>
      <c r="C63" s="693"/>
      <c r="D63" s="693"/>
      <c r="E63" s="714">
        <f>'1 - 4.2'!I130</f>
        <v>204992</v>
      </c>
      <c r="F63" s="714"/>
      <c r="G63" s="1165"/>
      <c r="H63" s="714">
        <f>SUM(E63:G63)</f>
        <v>204992</v>
      </c>
      <c r="I63" s="1165"/>
      <c r="J63" s="159">
        <v>0</v>
      </c>
      <c r="K63" s="159"/>
      <c r="L63" s="159">
        <f>'1 - 4.2'!I130</f>
        <v>204992</v>
      </c>
      <c r="M63" s="159"/>
      <c r="N63" s="159">
        <v>0</v>
      </c>
      <c r="O63" s="159"/>
      <c r="P63" s="159">
        <f>SUM(J63:O63)</f>
        <v>204992</v>
      </c>
    </row>
    <row r="64" spans="1:16" s="464" customFormat="1" ht="12.75">
      <c r="A64" s="695"/>
      <c r="B64" s="962" t="s">
        <v>1756</v>
      </c>
      <c r="C64" s="693"/>
      <c r="D64" s="693"/>
      <c r="E64" s="714" t="e">
        <f>'1 - 4.2'!#REF!</f>
        <v>#REF!</v>
      </c>
      <c r="F64" s="714">
        <v>0</v>
      </c>
      <c r="G64" s="1165"/>
      <c r="H64" s="714" t="e">
        <f>SUM(E64:G64)</f>
        <v>#REF!</v>
      </c>
      <c r="I64" s="1165"/>
      <c r="J64" s="159">
        <v>0</v>
      </c>
      <c r="K64" s="159"/>
      <c r="L64" s="159" t="e">
        <f>'1 - 4.2'!#REF!</f>
        <v>#REF!</v>
      </c>
      <c r="M64" s="159"/>
      <c r="N64" s="159">
        <v>0</v>
      </c>
      <c r="O64" s="159"/>
      <c r="P64" s="159" t="e">
        <f>SUM(J64:O64)</f>
        <v>#REF!</v>
      </c>
    </row>
    <row r="65" spans="1:18" s="464" customFormat="1" ht="12.75">
      <c r="A65" s="695"/>
      <c r="B65" s="962" t="s">
        <v>1757</v>
      </c>
      <c r="E65" s="714">
        <f>'1 - 4.2'!I131</f>
        <v>40218</v>
      </c>
      <c r="H65" s="714">
        <f>SUM(E65:G65)</f>
        <v>40218</v>
      </c>
      <c r="J65" s="159">
        <v>0</v>
      </c>
      <c r="L65" s="159">
        <f>'1 - 4.2'!I131</f>
        <v>40218</v>
      </c>
      <c r="N65" s="159">
        <v>0</v>
      </c>
      <c r="P65" s="159">
        <f>SUM(J65:O65)</f>
        <v>40218</v>
      </c>
    </row>
    <row r="66" spans="1:18" s="464" customFormat="1" ht="21" customHeight="1" thickBot="1">
      <c r="A66" s="695"/>
      <c r="B66" s="1236"/>
      <c r="C66" s="693"/>
      <c r="D66" s="693"/>
      <c r="E66" s="1166" t="e">
        <f>SUM(E61:E65)</f>
        <v>#REF!</v>
      </c>
      <c r="F66" s="1166">
        <f>SUM(F61:F65)</f>
        <v>0</v>
      </c>
      <c r="G66" s="1165"/>
      <c r="H66" s="1166" t="e">
        <f>SUM(H61:H65)</f>
        <v>#REF!</v>
      </c>
      <c r="I66" s="1165"/>
      <c r="J66" s="1166">
        <f>SUM(J61:J65)</f>
        <v>0</v>
      </c>
      <c r="K66" s="159"/>
      <c r="L66" s="1166" t="e">
        <f>SUM(L61:L65)</f>
        <v>#REF!</v>
      </c>
      <c r="M66" s="159"/>
      <c r="N66" s="1166">
        <f>SUM(N61:N65)</f>
        <v>0</v>
      </c>
      <c r="O66" s="159"/>
      <c r="P66" s="1166" t="e">
        <f>SUM(P61:P65)</f>
        <v>#REF!</v>
      </c>
      <c r="R66" s="701"/>
    </row>
    <row r="67" spans="1:18" s="464" customFormat="1" ht="13.5" thickTop="1">
      <c r="A67" s="695"/>
      <c r="B67" s="1236"/>
      <c r="C67" s="693"/>
      <c r="D67" s="693"/>
      <c r="E67" s="714"/>
      <c r="F67" s="714"/>
      <c r="G67" s="172"/>
      <c r="H67" s="1165"/>
      <c r="I67" s="172"/>
      <c r="J67" s="208"/>
      <c r="K67" s="159"/>
      <c r="L67" s="208"/>
      <c r="M67" s="159"/>
      <c r="N67" s="208"/>
      <c r="O67" s="159"/>
      <c r="P67" s="208"/>
      <c r="R67" s="701"/>
    </row>
    <row r="68" spans="1:18" s="464" customFormat="1" ht="12.75">
      <c r="A68" s="695"/>
      <c r="B68" s="694" t="s">
        <v>1407</v>
      </c>
      <c r="C68" s="693"/>
      <c r="D68" s="693"/>
      <c r="E68" s="1155"/>
      <c r="F68" s="1155"/>
      <c r="G68" s="398"/>
      <c r="H68" s="1156"/>
      <c r="I68" s="172"/>
      <c r="J68" s="207"/>
      <c r="K68" s="204"/>
      <c r="L68" s="207"/>
      <c r="M68" s="204"/>
      <c r="N68" s="207"/>
      <c r="O68" s="204"/>
      <c r="P68" s="207"/>
      <c r="R68" s="701"/>
    </row>
    <row r="69" spans="1:18" s="464" customFormat="1" ht="12.75">
      <c r="A69" s="695"/>
      <c r="B69" s="694"/>
      <c r="C69" s="693"/>
      <c r="D69" s="693"/>
      <c r="E69" s="1155"/>
      <c r="F69" s="1155"/>
      <c r="G69" s="398"/>
      <c r="H69" s="1156"/>
      <c r="I69" s="172"/>
      <c r="J69" s="207"/>
      <c r="K69" s="204"/>
      <c r="L69" s="207"/>
      <c r="M69" s="204"/>
      <c r="N69" s="207"/>
      <c r="O69" s="204"/>
      <c r="P69" s="207"/>
      <c r="R69" s="701"/>
    </row>
    <row r="70" spans="1:18" s="464" customFormat="1" ht="12.75">
      <c r="A70" s="695"/>
      <c r="B70" s="962" t="s">
        <v>913</v>
      </c>
      <c r="C70" s="693"/>
      <c r="D70" s="693"/>
      <c r="E70" s="714">
        <v>0</v>
      </c>
      <c r="F70" s="714">
        <v>899104</v>
      </c>
      <c r="G70" s="172"/>
      <c r="H70" s="1165">
        <f>SUM(E70:F70)</f>
        <v>899104</v>
      </c>
      <c r="I70" s="172"/>
      <c r="R70" s="701"/>
    </row>
    <row r="71" spans="1:18" s="464" customFormat="1" ht="12.75">
      <c r="A71" s="695"/>
      <c r="B71" s="962" t="s">
        <v>916</v>
      </c>
      <c r="C71" s="693"/>
      <c r="D71" s="693"/>
      <c r="E71" s="714">
        <v>0</v>
      </c>
      <c r="F71" s="714">
        <v>0</v>
      </c>
      <c r="G71" s="172"/>
      <c r="H71" s="1165">
        <f>SUM(E71:F71)</f>
        <v>0</v>
      </c>
      <c r="I71" s="172"/>
      <c r="R71" s="701"/>
    </row>
    <row r="72" spans="1:18" s="464" customFormat="1" ht="12.75">
      <c r="A72" s="695"/>
      <c r="B72" s="963" t="s">
        <v>917</v>
      </c>
      <c r="C72" s="693"/>
      <c r="D72" s="693"/>
      <c r="E72" s="714">
        <v>0</v>
      </c>
      <c r="F72" s="714">
        <v>19976</v>
      </c>
      <c r="G72" s="172"/>
      <c r="H72" s="1165">
        <f>SUM(E72:F72)</f>
        <v>19976</v>
      </c>
      <c r="I72" s="172"/>
      <c r="J72" s="159"/>
      <c r="K72" s="159"/>
      <c r="L72" s="159"/>
      <c r="M72" s="159"/>
      <c r="N72" s="159"/>
      <c r="O72" s="159"/>
      <c r="P72" s="159"/>
      <c r="R72" s="700">
        <f>R62-R65</f>
        <v>0</v>
      </c>
    </row>
    <row r="73" spans="1:18" s="464" customFormat="1" ht="12.75">
      <c r="A73" s="695"/>
      <c r="B73" s="963" t="s">
        <v>1727</v>
      </c>
      <c r="C73" s="693"/>
      <c r="D73" s="693"/>
      <c r="E73" s="714">
        <v>0</v>
      </c>
      <c r="F73" s="714">
        <v>11370</v>
      </c>
      <c r="G73" s="172"/>
      <c r="H73" s="1165">
        <f>SUM(E73:F73)</f>
        <v>11370</v>
      </c>
      <c r="I73" s="172"/>
      <c r="J73" s="159"/>
      <c r="K73" s="159"/>
      <c r="L73" s="159"/>
      <c r="M73" s="159"/>
      <c r="N73" s="159"/>
      <c r="O73" s="159"/>
      <c r="P73" s="159"/>
    </row>
    <row r="74" spans="1:18" s="464" customFormat="1" ht="21" customHeight="1" thickBot="1">
      <c r="A74" s="695"/>
      <c r="B74" s="1236"/>
      <c r="C74" s="693"/>
      <c r="D74" s="693"/>
      <c r="E74" s="1167">
        <f>SUM(E70:E73)</f>
        <v>0</v>
      </c>
      <c r="F74" s="1167">
        <f>SUM(F70:F73)</f>
        <v>930450</v>
      </c>
      <c r="G74" s="172"/>
      <c r="H74" s="1168">
        <f>SUM(E74:F74)</f>
        <v>930450</v>
      </c>
      <c r="I74" s="172"/>
      <c r="J74" s="159"/>
      <c r="K74" s="159"/>
      <c r="L74" s="159"/>
      <c r="M74" s="159"/>
      <c r="N74" s="159"/>
      <c r="O74" s="159"/>
      <c r="P74" s="159"/>
    </row>
    <row r="75" spans="1:18" s="464" customFormat="1" ht="27.75" customHeight="1" thickTop="1">
      <c r="A75" s="695"/>
      <c r="B75" s="1236"/>
      <c r="C75" s="693"/>
      <c r="D75" s="693"/>
      <c r="E75" s="714"/>
      <c r="F75" s="172"/>
      <c r="G75" s="172"/>
      <c r="H75" s="172"/>
      <c r="I75" s="172"/>
      <c r="J75" s="159"/>
      <c r="K75" s="159"/>
      <c r="L75" s="159"/>
      <c r="M75" s="159"/>
      <c r="N75" s="159"/>
      <c r="O75" s="159"/>
      <c r="P75" s="159"/>
    </row>
    <row r="76" spans="1:18" s="464" customFormat="1" ht="12.75">
      <c r="A76" s="683"/>
      <c r="B76" s="694" t="s">
        <v>1408</v>
      </c>
      <c r="C76" s="693"/>
      <c r="D76" s="693"/>
      <c r="E76" s="714"/>
      <c r="F76" s="172"/>
      <c r="G76" s="172"/>
      <c r="H76" s="172"/>
      <c r="I76" s="172"/>
      <c r="J76" s="159"/>
      <c r="K76" s="159"/>
      <c r="L76" s="159"/>
      <c r="M76" s="159"/>
      <c r="N76" s="159"/>
      <c r="O76" s="159"/>
      <c r="P76" s="159"/>
    </row>
    <row r="77" spans="1:18" s="464" customFormat="1" ht="12.75">
      <c r="A77" s="683"/>
      <c r="B77" s="962"/>
      <c r="C77" s="693"/>
      <c r="D77" s="693"/>
      <c r="E77" s="714"/>
      <c r="F77" s="172"/>
      <c r="G77" s="172"/>
      <c r="H77" s="172"/>
      <c r="I77" s="172"/>
      <c r="J77" s="159"/>
      <c r="K77" s="159"/>
      <c r="L77" s="159"/>
      <c r="M77" s="159"/>
      <c r="N77" s="159"/>
      <c r="O77" s="159"/>
      <c r="P77" s="159"/>
    </row>
    <row r="78" spans="1:18" s="464" customFormat="1" ht="12.75">
      <c r="A78" s="695"/>
      <c r="B78" s="962" t="s">
        <v>1315</v>
      </c>
      <c r="C78" s="693"/>
      <c r="D78" s="693"/>
      <c r="E78" s="421">
        <v>0</v>
      </c>
      <c r="F78" s="714">
        <v>1583</v>
      </c>
      <c r="G78" s="172"/>
      <c r="H78" s="1165">
        <f>SUM(E78:F78)</f>
        <v>1583</v>
      </c>
      <c r="I78" s="172"/>
      <c r="J78" s="159"/>
      <c r="K78" s="159"/>
      <c r="L78" s="159"/>
      <c r="M78" s="159"/>
      <c r="N78" s="159"/>
      <c r="O78" s="159"/>
      <c r="P78" s="159"/>
    </row>
    <row r="79" spans="1:18" s="464" customFormat="1" ht="12.75">
      <c r="A79" s="695"/>
      <c r="B79" s="962" t="s">
        <v>1316</v>
      </c>
      <c r="C79" s="693"/>
      <c r="D79" s="693"/>
      <c r="E79" s="421">
        <v>0</v>
      </c>
      <c r="F79" s="714">
        <v>169</v>
      </c>
      <c r="G79" s="172"/>
      <c r="H79" s="1165">
        <f>SUM(E79:F79)</f>
        <v>169</v>
      </c>
      <c r="I79" s="172"/>
      <c r="J79" s="159"/>
      <c r="K79" s="159"/>
      <c r="L79" s="159"/>
      <c r="M79" s="159"/>
      <c r="N79" s="159"/>
      <c r="O79" s="159"/>
      <c r="P79" s="159"/>
    </row>
    <row r="80" spans="1:18" s="464" customFormat="1" ht="12.75">
      <c r="A80" s="695"/>
      <c r="B80" s="962" t="s">
        <v>929</v>
      </c>
      <c r="C80" s="693"/>
      <c r="D80" s="693"/>
      <c r="E80" s="421">
        <v>0</v>
      </c>
      <c r="F80" s="714">
        <v>47</v>
      </c>
      <c r="G80" s="172"/>
      <c r="H80" s="1165">
        <f>SUM(E80:F80)</f>
        <v>47</v>
      </c>
      <c r="I80" s="172"/>
      <c r="J80" s="159"/>
      <c r="K80" s="159"/>
      <c r="L80" s="159"/>
      <c r="M80" s="159"/>
      <c r="N80" s="159"/>
      <c r="O80" s="159"/>
      <c r="P80" s="159"/>
    </row>
    <row r="81" spans="1:16" s="464" customFormat="1" ht="12.75">
      <c r="A81" s="695"/>
      <c r="B81" s="962" t="s">
        <v>930</v>
      </c>
      <c r="C81" s="693"/>
      <c r="D81" s="693"/>
      <c r="E81" s="421">
        <v>0</v>
      </c>
      <c r="F81" s="714">
        <v>2100</v>
      </c>
      <c r="G81" s="172"/>
      <c r="H81" s="1165">
        <f>SUM(E81:F81)</f>
        <v>2100</v>
      </c>
      <c r="I81" s="172"/>
      <c r="J81" s="159"/>
      <c r="K81" s="159"/>
      <c r="L81" s="159"/>
      <c r="M81" s="159"/>
      <c r="N81" s="159"/>
      <c r="O81" s="159"/>
      <c r="P81" s="159"/>
    </row>
    <row r="82" spans="1:16" s="464" customFormat="1" ht="21" customHeight="1" thickBot="1">
      <c r="A82" s="695"/>
      <c r="B82" s="1236"/>
      <c r="C82" s="693"/>
      <c r="D82" s="693"/>
      <c r="E82" s="1167">
        <f>SUM(E78:E81)</f>
        <v>0</v>
      </c>
      <c r="F82" s="1167">
        <f>SUM(F78:F81)</f>
        <v>3899</v>
      </c>
      <c r="G82" s="172"/>
      <c r="H82" s="1167">
        <f>SUM(H78:H81)</f>
        <v>3899</v>
      </c>
      <c r="I82" s="172"/>
      <c r="J82" s="159"/>
      <c r="K82" s="159"/>
      <c r="L82" s="159"/>
      <c r="M82" s="159"/>
      <c r="N82" s="159"/>
      <c r="O82" s="159"/>
      <c r="P82" s="159"/>
    </row>
    <row r="83" spans="1:16" s="464" customFormat="1" ht="27.75" customHeight="1" thickTop="1">
      <c r="A83" s="695"/>
      <c r="B83" s="1236"/>
      <c r="C83" s="693"/>
      <c r="D83" s="693"/>
      <c r="E83" s="693"/>
      <c r="F83" s="172"/>
      <c r="G83" s="172"/>
      <c r="H83" s="172"/>
      <c r="I83" s="172"/>
      <c r="J83" s="159"/>
      <c r="K83" s="159"/>
      <c r="L83" s="159"/>
      <c r="M83" s="159"/>
      <c r="N83" s="159"/>
      <c r="O83" s="159"/>
      <c r="P83" s="159"/>
    </row>
    <row r="84" spans="1:16" s="464" customFormat="1" ht="12.75">
      <c r="A84" s="683"/>
      <c r="B84" s="2114" t="s">
        <v>1680</v>
      </c>
      <c r="C84" s="2114"/>
      <c r="D84" s="2114"/>
      <c r="E84" s="2114"/>
      <c r="F84" s="2114"/>
      <c r="G84" s="2114"/>
      <c r="H84" s="2114"/>
      <c r="I84" s="2114"/>
      <c r="J84" s="2114"/>
      <c r="K84" s="2114"/>
      <c r="L84" s="2114"/>
      <c r="M84" s="2114"/>
      <c r="N84" s="2114"/>
      <c r="O84" s="2114"/>
      <c r="P84" s="2114"/>
    </row>
    <row r="85" spans="1:16" s="464" customFormat="1" ht="12.75">
      <c r="A85" s="683"/>
      <c r="B85" s="2114"/>
      <c r="C85" s="2114"/>
      <c r="D85" s="2114"/>
      <c r="E85" s="2114"/>
      <c r="F85" s="2114"/>
      <c r="G85" s="2114"/>
      <c r="H85" s="2114"/>
      <c r="I85" s="2114"/>
      <c r="J85" s="2114"/>
      <c r="K85" s="2114"/>
      <c r="L85" s="2114"/>
      <c r="M85" s="2114"/>
      <c r="N85" s="2114"/>
      <c r="O85" s="2114"/>
      <c r="P85" s="2114"/>
    </row>
    <row r="86" spans="1:16" ht="12.75">
      <c r="A86" s="411"/>
      <c r="B86" s="411"/>
      <c r="C86" s="411"/>
      <c r="D86" s="411"/>
      <c r="E86" s="411"/>
      <c r="F86" s="411"/>
      <c r="G86" s="411"/>
      <c r="H86" s="411"/>
      <c r="I86" s="411"/>
      <c r="J86" s="411"/>
      <c r="K86" s="411"/>
      <c r="L86" s="411"/>
      <c r="M86" s="411"/>
      <c r="N86" s="411"/>
      <c r="O86" s="411"/>
      <c r="P86" s="411"/>
    </row>
    <row r="87" spans="1:16" ht="12.75">
      <c r="A87" s="411"/>
      <c r="B87" s="411"/>
      <c r="C87" s="411"/>
      <c r="D87" s="411"/>
      <c r="E87" s="411"/>
      <c r="F87" s="411"/>
      <c r="G87" s="411"/>
      <c r="H87" s="411"/>
      <c r="I87" s="411"/>
      <c r="J87" s="411"/>
      <c r="K87" s="411"/>
      <c r="L87" s="411"/>
      <c r="M87" s="411"/>
      <c r="N87" s="411"/>
      <c r="O87" s="411"/>
      <c r="P87" s="411"/>
    </row>
    <row r="88" spans="1:16" ht="12.75">
      <c r="A88" s="411"/>
      <c r="B88" s="411"/>
      <c r="C88" s="411"/>
      <c r="D88" s="411"/>
      <c r="E88" s="411"/>
      <c r="F88" s="411"/>
      <c r="G88" s="411"/>
      <c r="H88" s="411"/>
      <c r="I88" s="411"/>
      <c r="J88" s="411"/>
      <c r="K88" s="411"/>
      <c r="L88" s="411"/>
      <c r="M88" s="411"/>
      <c r="N88" s="411"/>
      <c r="O88" s="411"/>
      <c r="P88" s="411"/>
    </row>
    <row r="89" spans="1:16" ht="12.75">
      <c r="A89" s="411"/>
      <c r="B89" s="411"/>
      <c r="C89" s="411"/>
      <c r="D89" s="411"/>
      <c r="E89" s="411"/>
      <c r="F89" s="411"/>
      <c r="G89" s="411"/>
      <c r="H89" s="411"/>
      <c r="I89" s="411"/>
      <c r="J89" s="411"/>
      <c r="K89" s="411"/>
      <c r="L89" s="411"/>
      <c r="M89" s="411"/>
      <c r="N89" s="411"/>
      <c r="O89" s="411"/>
      <c r="P89" s="411"/>
    </row>
    <row r="90" spans="1:16" ht="12.75">
      <c r="A90" s="411"/>
      <c r="B90" s="411"/>
      <c r="C90" s="411"/>
      <c r="D90" s="411"/>
      <c r="E90" s="411"/>
      <c r="F90" s="411"/>
      <c r="G90" s="411"/>
      <c r="H90" s="411"/>
      <c r="I90" s="411"/>
      <c r="J90" s="411"/>
      <c r="K90" s="411"/>
      <c r="L90" s="411"/>
      <c r="M90" s="411"/>
      <c r="N90" s="411"/>
      <c r="O90" s="411"/>
      <c r="P90" s="411"/>
    </row>
    <row r="91" spans="1:16" ht="12.75">
      <c r="A91" s="411"/>
      <c r="B91" s="411"/>
      <c r="C91" s="411"/>
      <c r="D91" s="411"/>
      <c r="E91" s="411"/>
      <c r="F91" s="411"/>
      <c r="G91" s="411"/>
      <c r="H91" s="411"/>
      <c r="I91" s="411"/>
      <c r="J91" s="411"/>
      <c r="K91" s="411"/>
      <c r="L91" s="411"/>
      <c r="M91" s="411"/>
      <c r="N91" s="411"/>
      <c r="O91" s="411"/>
      <c r="P91" s="411"/>
    </row>
    <row r="92" spans="1:16" ht="12.75">
      <c r="A92" s="411"/>
      <c r="B92" s="411"/>
      <c r="C92" s="411"/>
      <c r="D92" s="411"/>
      <c r="E92" s="411"/>
      <c r="F92" s="411"/>
      <c r="G92" s="411"/>
      <c r="H92" s="411"/>
      <c r="I92" s="411"/>
      <c r="J92" s="411"/>
      <c r="K92" s="411"/>
      <c r="L92" s="411"/>
      <c r="M92" s="411"/>
      <c r="N92" s="411"/>
      <c r="O92" s="411"/>
      <c r="P92" s="411"/>
    </row>
    <row r="93" spans="1:16" ht="12.75">
      <c r="A93" s="411"/>
      <c r="B93" s="411"/>
      <c r="C93" s="411"/>
      <c r="D93" s="411"/>
      <c r="E93" s="411"/>
      <c r="F93" s="411"/>
      <c r="G93" s="411"/>
      <c r="H93" s="411"/>
      <c r="I93" s="411"/>
      <c r="J93" s="411"/>
      <c r="K93" s="411"/>
      <c r="L93" s="411"/>
      <c r="M93" s="411"/>
      <c r="N93" s="411"/>
      <c r="O93" s="411"/>
      <c r="P93" s="411"/>
    </row>
    <row r="94" spans="1:16" ht="12.75">
      <c r="A94" s="411"/>
      <c r="B94" s="411"/>
      <c r="C94" s="411"/>
      <c r="D94" s="411"/>
      <c r="E94" s="411"/>
      <c r="F94" s="411"/>
      <c r="G94" s="411"/>
      <c r="H94" s="411"/>
      <c r="I94" s="411"/>
      <c r="J94" s="411"/>
      <c r="K94" s="411"/>
      <c r="L94" s="411"/>
      <c r="M94" s="411"/>
      <c r="N94" s="411"/>
      <c r="O94" s="411"/>
      <c r="P94" s="411"/>
    </row>
    <row r="95" spans="1:16" ht="12.75">
      <c r="A95" s="411"/>
      <c r="B95" s="411"/>
      <c r="C95" s="411"/>
      <c r="D95" s="411"/>
      <c r="E95" s="411"/>
      <c r="F95" s="411"/>
      <c r="G95" s="411"/>
      <c r="H95" s="411"/>
      <c r="I95" s="411"/>
      <c r="J95" s="411"/>
      <c r="K95" s="411"/>
      <c r="L95" s="411"/>
      <c r="M95" s="411"/>
      <c r="N95" s="411"/>
      <c r="O95" s="411"/>
      <c r="P95" s="411"/>
    </row>
    <row r="96" spans="1:16" ht="12.75">
      <c r="A96" s="411"/>
      <c r="B96" s="411"/>
      <c r="C96" s="411"/>
      <c r="D96" s="411"/>
      <c r="E96" s="411"/>
      <c r="F96" s="411"/>
      <c r="G96" s="411"/>
      <c r="H96" s="411"/>
      <c r="I96" s="411"/>
      <c r="J96" s="411"/>
      <c r="K96" s="411"/>
      <c r="L96" s="411"/>
      <c r="M96" s="411"/>
      <c r="N96" s="411"/>
      <c r="O96" s="411"/>
      <c r="P96" s="411"/>
    </row>
    <row r="97" spans="1:16" ht="12.75">
      <c r="A97" s="411"/>
      <c r="B97" s="411"/>
      <c r="C97" s="411"/>
      <c r="D97" s="411"/>
      <c r="E97" s="411"/>
      <c r="F97" s="411"/>
      <c r="G97" s="411"/>
      <c r="H97" s="411"/>
      <c r="I97" s="411"/>
      <c r="J97" s="411"/>
      <c r="K97" s="411"/>
      <c r="L97" s="411"/>
      <c r="M97" s="411"/>
      <c r="N97" s="411"/>
      <c r="O97" s="411"/>
      <c r="P97" s="411"/>
    </row>
    <row r="98" spans="1:16" ht="12.75">
      <c r="A98" s="411"/>
      <c r="B98" s="411"/>
      <c r="C98" s="411"/>
      <c r="D98" s="411"/>
      <c r="E98" s="411"/>
      <c r="F98" s="411"/>
      <c r="G98" s="411"/>
      <c r="H98" s="411"/>
      <c r="I98" s="411"/>
      <c r="J98" s="411"/>
      <c r="K98" s="411"/>
      <c r="L98" s="411"/>
      <c r="M98" s="411"/>
      <c r="N98" s="411"/>
      <c r="O98" s="411"/>
      <c r="P98" s="411"/>
    </row>
    <row r="99" spans="1:16" ht="12.75">
      <c r="A99" s="411"/>
      <c r="B99" s="411"/>
      <c r="C99" s="411"/>
      <c r="D99" s="411"/>
      <c r="E99" s="411"/>
      <c r="F99" s="411"/>
      <c r="G99" s="411"/>
      <c r="H99" s="411"/>
      <c r="I99" s="411"/>
      <c r="J99" s="411"/>
      <c r="K99" s="411"/>
      <c r="L99" s="411"/>
      <c r="M99" s="411"/>
      <c r="N99" s="411"/>
      <c r="O99" s="411"/>
      <c r="P99" s="411"/>
    </row>
    <row r="100" spans="1:16" ht="12.75">
      <c r="A100" s="411"/>
      <c r="B100" s="411"/>
      <c r="C100" s="411"/>
      <c r="D100" s="411"/>
      <c r="E100" s="411"/>
      <c r="F100" s="411"/>
      <c r="G100" s="411"/>
      <c r="H100" s="411"/>
      <c r="I100" s="411"/>
      <c r="J100" s="411"/>
      <c r="K100" s="411"/>
      <c r="L100" s="411"/>
      <c r="M100" s="411"/>
      <c r="N100" s="411"/>
      <c r="O100" s="411"/>
      <c r="P100" s="411"/>
    </row>
    <row r="101" spans="1:16" ht="12.75">
      <c r="A101" s="411"/>
      <c r="B101" s="411"/>
      <c r="C101" s="411"/>
      <c r="D101" s="411"/>
      <c r="E101" s="411"/>
      <c r="F101" s="411"/>
      <c r="G101" s="411"/>
      <c r="H101" s="411"/>
      <c r="I101" s="411"/>
      <c r="J101" s="411"/>
      <c r="K101" s="411"/>
      <c r="L101" s="411"/>
      <c r="M101" s="411"/>
      <c r="N101" s="411"/>
      <c r="O101" s="411"/>
      <c r="P101" s="411"/>
    </row>
  </sheetData>
  <mergeCells count="12">
    <mergeCell ref="E22:P22"/>
    <mergeCell ref="E23:H23"/>
    <mergeCell ref="J23:P23"/>
    <mergeCell ref="B5:P7"/>
    <mergeCell ref="B9:P10"/>
    <mergeCell ref="B12:P12"/>
    <mergeCell ref="E25:P25"/>
    <mergeCell ref="E55:H55"/>
    <mergeCell ref="J55:P55"/>
    <mergeCell ref="E57:P57"/>
    <mergeCell ref="B84:P85"/>
    <mergeCell ref="E54:P54"/>
  </mergeCells>
  <pageMargins left="0.44" right="0.32" top="0.7" bottom="0.4" header="0.45" footer="0.5"/>
  <pageSetup scale="75" firstPageNumber="20" orientation="landscape" useFirstPageNumber="1" r:id="rId1"/>
  <rowBreaks count="1" manualBreakCount="1">
    <brk id="52" max="1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2:P139"/>
  <sheetViews>
    <sheetView showGridLines="0" view="pageBreakPreview" zoomScaleNormal="100" zoomScaleSheetLayoutView="100" workbookViewId="0">
      <selection activeCell="B13" sqref="B13:M13"/>
    </sheetView>
  </sheetViews>
  <sheetFormatPr defaultColWidth="9.140625" defaultRowHeight="12"/>
  <cols>
    <col min="1" max="1" width="6.5703125" style="447" customWidth="1"/>
    <col min="2" max="2" width="4.140625" style="412" customWidth="1"/>
    <col min="3" max="3" width="26.5703125" style="412" customWidth="1"/>
    <col min="4" max="4" width="10.85546875" style="412" customWidth="1"/>
    <col min="5" max="5" width="9.140625" style="412" customWidth="1"/>
    <col min="6" max="6" width="10.7109375" style="412" customWidth="1"/>
    <col min="7" max="7" width="11" style="412" customWidth="1"/>
    <col min="8" max="8" width="11.42578125" style="412" customWidth="1"/>
    <col min="9" max="9" width="1" style="412" customWidth="1"/>
    <col min="10" max="10" width="11.42578125" style="412" customWidth="1"/>
    <col min="11" max="11" width="9.140625" style="412"/>
    <col min="12" max="12" width="14" style="412" bestFit="1" customWidth="1"/>
    <col min="13" max="13" width="12.42578125" style="412" bestFit="1" customWidth="1"/>
    <col min="14" max="14" width="16" style="412" bestFit="1" customWidth="1"/>
    <col min="15" max="15" width="13.5703125" style="412" bestFit="1" customWidth="1"/>
    <col min="16" max="16" width="11" style="412" bestFit="1" customWidth="1"/>
    <col min="17" max="16384" width="9.140625" style="412"/>
  </cols>
  <sheetData>
    <row r="2" spans="1:12" ht="12.75">
      <c r="A2" s="638" t="s">
        <v>1530</v>
      </c>
      <c r="B2" s="418" t="s">
        <v>1409</v>
      </c>
      <c r="C2" s="416"/>
      <c r="D2" s="416"/>
      <c r="E2" s="416"/>
      <c r="F2" s="416"/>
      <c r="G2" s="416"/>
      <c r="H2" s="416"/>
      <c r="I2" s="416"/>
      <c r="J2" s="416"/>
      <c r="K2" s="416"/>
      <c r="L2" s="416"/>
    </row>
    <row r="3" spans="1:12" ht="12.75">
      <c r="A3" s="415"/>
      <c r="B3" s="416"/>
      <c r="C3" s="416"/>
      <c r="D3" s="416"/>
      <c r="E3" s="416"/>
      <c r="F3" s="416"/>
      <c r="G3" s="416"/>
      <c r="H3" s="416"/>
      <c r="I3" s="416"/>
      <c r="J3" s="416"/>
      <c r="K3" s="416"/>
      <c r="L3" s="416"/>
    </row>
    <row r="4" spans="1:12" ht="12.75">
      <c r="A4" s="415"/>
      <c r="B4" s="2119" t="s">
        <v>1410</v>
      </c>
      <c r="C4" s="2119"/>
      <c r="D4" s="2119"/>
      <c r="E4" s="2119"/>
      <c r="F4" s="2119"/>
      <c r="G4" s="2119"/>
      <c r="H4" s="2119"/>
      <c r="I4" s="2119"/>
      <c r="J4" s="2119"/>
      <c r="K4" s="206"/>
      <c r="L4" s="206"/>
    </row>
    <row r="5" spans="1:12" ht="12.75">
      <c r="A5" s="415"/>
      <c r="B5" s="2119"/>
      <c r="C5" s="2119"/>
      <c r="D5" s="2119"/>
      <c r="E5" s="2119"/>
      <c r="F5" s="2119"/>
      <c r="G5" s="2119"/>
      <c r="H5" s="2119"/>
      <c r="I5" s="2119"/>
      <c r="J5" s="2119"/>
      <c r="K5" s="206"/>
      <c r="L5" s="206"/>
    </row>
    <row r="6" spans="1:12" ht="12.75">
      <c r="A6" s="415"/>
      <c r="B6" s="757"/>
      <c r="C6" s="757"/>
      <c r="D6" s="757"/>
      <c r="E6" s="757"/>
      <c r="F6" s="757"/>
      <c r="G6" s="757"/>
      <c r="H6" s="757"/>
      <c r="I6" s="757"/>
      <c r="J6" s="757"/>
      <c r="K6" s="757"/>
      <c r="L6" s="757"/>
    </row>
    <row r="7" spans="1:12" ht="12.75" customHeight="1">
      <c r="A7" s="415"/>
      <c r="B7" s="2119" t="s">
        <v>1411</v>
      </c>
      <c r="C7" s="2119"/>
      <c r="D7" s="2119"/>
      <c r="E7" s="2119"/>
      <c r="F7" s="2119"/>
      <c r="G7" s="2119"/>
      <c r="H7" s="2119"/>
      <c r="I7" s="2119"/>
      <c r="J7" s="2119"/>
      <c r="K7" s="966"/>
      <c r="L7" s="966"/>
    </row>
    <row r="8" spans="1:12" ht="12.75">
      <c r="A8" s="415"/>
      <c r="B8" s="2119"/>
      <c r="C8" s="2119"/>
      <c r="D8" s="2119"/>
      <c r="E8" s="2119"/>
      <c r="F8" s="2119"/>
      <c r="G8" s="2119"/>
      <c r="H8" s="2119"/>
      <c r="I8" s="2119"/>
      <c r="J8" s="2119"/>
      <c r="K8" s="966"/>
      <c r="L8" s="966"/>
    </row>
    <row r="9" spans="1:12" ht="12.75">
      <c r="A9" s="415"/>
      <c r="B9" s="2119"/>
      <c r="C9" s="2119"/>
      <c r="D9" s="2119"/>
      <c r="E9" s="2119"/>
      <c r="F9" s="2119"/>
      <c r="G9" s="2119"/>
      <c r="H9" s="2119"/>
      <c r="I9" s="2119"/>
      <c r="J9" s="2119"/>
      <c r="K9" s="966"/>
      <c r="L9" s="966"/>
    </row>
    <row r="10" spans="1:12" ht="12.75">
      <c r="A10" s="415"/>
      <c r="B10" s="2119"/>
      <c r="C10" s="2119"/>
      <c r="D10" s="2119"/>
      <c r="E10" s="2119"/>
      <c r="F10" s="2119"/>
      <c r="G10" s="2119"/>
      <c r="H10" s="2119"/>
      <c r="I10" s="2119"/>
      <c r="J10" s="2119"/>
      <c r="K10" s="966"/>
      <c r="L10" s="966"/>
    </row>
    <row r="11" spans="1:12" ht="12.75">
      <c r="A11" s="415"/>
      <c r="B11" s="2119"/>
      <c r="C11" s="2119"/>
      <c r="D11" s="2119"/>
      <c r="E11" s="2119"/>
      <c r="F11" s="2119"/>
      <c r="G11" s="2119"/>
      <c r="H11" s="2119"/>
      <c r="I11" s="2119"/>
      <c r="J11" s="2119"/>
      <c r="K11" s="966"/>
      <c r="L11" s="966"/>
    </row>
    <row r="12" spans="1:12" ht="12.75">
      <c r="A12" s="415"/>
      <c r="B12" s="757"/>
      <c r="C12" s="757"/>
      <c r="D12" s="757"/>
      <c r="E12" s="757"/>
      <c r="F12" s="757"/>
      <c r="G12" s="757"/>
      <c r="H12" s="757"/>
      <c r="I12" s="757"/>
      <c r="J12" s="757"/>
      <c r="K12" s="757"/>
      <c r="L12" s="757"/>
    </row>
    <row r="13" spans="1:12" ht="12.75">
      <c r="A13" s="427">
        <f>A2+0.1</f>
        <v>19.100000000000001</v>
      </c>
      <c r="B13" s="414" t="s">
        <v>1182</v>
      </c>
      <c r="C13" s="414"/>
      <c r="D13" s="416"/>
      <c r="E13" s="416"/>
      <c r="F13" s="416"/>
      <c r="G13" s="416"/>
      <c r="H13" s="416"/>
      <c r="I13" s="416"/>
      <c r="J13" s="416"/>
      <c r="K13" s="416"/>
      <c r="L13" s="416"/>
    </row>
    <row r="14" spans="1:12" ht="12.75">
      <c r="A14" s="415"/>
      <c r="B14" s="414"/>
      <c r="C14" s="414"/>
      <c r="D14" s="416"/>
      <c r="E14" s="416"/>
      <c r="F14" s="416"/>
      <c r="G14" s="416"/>
      <c r="H14" s="416"/>
      <c r="I14" s="416"/>
      <c r="J14" s="416"/>
      <c r="K14" s="416"/>
      <c r="L14" s="416"/>
    </row>
    <row r="15" spans="1:12" ht="12.75">
      <c r="A15" s="415"/>
      <c r="B15" s="2120" t="s">
        <v>1412</v>
      </c>
      <c r="C15" s="2120"/>
      <c r="D15" s="2120"/>
      <c r="E15" s="2120"/>
      <c r="F15" s="2120"/>
      <c r="G15" s="2120"/>
      <c r="H15" s="2120"/>
      <c r="I15" s="2120"/>
      <c r="J15" s="2120"/>
      <c r="K15" s="639"/>
      <c r="L15" s="639"/>
    </row>
    <row r="16" spans="1:12" ht="12.75">
      <c r="A16" s="415"/>
      <c r="B16" s="2120"/>
      <c r="C16" s="2120"/>
      <c r="D16" s="2120"/>
      <c r="E16" s="2120"/>
      <c r="F16" s="2120"/>
      <c r="G16" s="2120"/>
      <c r="H16" s="2120"/>
      <c r="I16" s="2120"/>
      <c r="J16" s="2120"/>
      <c r="K16" s="639"/>
      <c r="L16" s="639"/>
    </row>
    <row r="17" spans="1:12" ht="12.75">
      <c r="A17" s="415"/>
      <c r="B17" s="756"/>
      <c r="C17" s="756"/>
      <c r="D17" s="756"/>
      <c r="E17" s="756"/>
      <c r="F17" s="756"/>
      <c r="G17" s="756"/>
      <c r="H17" s="756"/>
      <c r="I17" s="756"/>
      <c r="J17" s="756"/>
      <c r="K17" s="756"/>
      <c r="L17" s="756"/>
    </row>
    <row r="18" spans="1:12" ht="12.75">
      <c r="A18" s="415"/>
      <c r="B18" s="2121" t="s">
        <v>1441</v>
      </c>
      <c r="C18" s="2091"/>
      <c r="D18" s="2091"/>
      <c r="E18" s="2091"/>
      <c r="F18" s="2091"/>
      <c r="G18" s="2091"/>
      <c r="H18" s="2091"/>
      <c r="I18" s="2091"/>
      <c r="J18" s="2091"/>
      <c r="K18" s="967"/>
      <c r="L18" s="967"/>
    </row>
    <row r="19" spans="1:12" ht="12.75">
      <c r="A19" s="415"/>
      <c r="B19" s="2091"/>
      <c r="C19" s="2091"/>
      <c r="D19" s="2091"/>
      <c r="E19" s="2091"/>
      <c r="F19" s="2091"/>
      <c r="G19" s="2091"/>
      <c r="H19" s="2091"/>
      <c r="I19" s="2091"/>
      <c r="J19" s="2091"/>
      <c r="K19" s="967"/>
      <c r="L19" s="967"/>
    </row>
    <row r="20" spans="1:12" ht="12.75">
      <c r="A20" s="415"/>
      <c r="B20" s="2091"/>
      <c r="C20" s="2091"/>
      <c r="D20" s="2091"/>
      <c r="E20" s="2091"/>
      <c r="F20" s="2091"/>
      <c r="G20" s="2091"/>
      <c r="H20" s="2091"/>
      <c r="I20" s="2091"/>
      <c r="J20" s="2091"/>
      <c r="K20" s="967"/>
      <c r="L20" s="967"/>
    </row>
    <row r="21" spans="1:12" ht="12.75">
      <c r="A21" s="415"/>
      <c r="B21" s="416"/>
      <c r="C21" s="416"/>
      <c r="D21" s="416"/>
      <c r="E21" s="416"/>
      <c r="F21" s="416"/>
      <c r="G21" s="416"/>
      <c r="H21" s="416"/>
      <c r="I21" s="416"/>
      <c r="J21" s="416"/>
      <c r="K21" s="416"/>
      <c r="L21" s="416"/>
    </row>
    <row r="22" spans="1:12" ht="12.75">
      <c r="A22" s="415"/>
      <c r="B22" s="639" t="s">
        <v>1183</v>
      </c>
      <c r="C22" s="639"/>
      <c r="D22" s="639"/>
      <c r="E22" s="639"/>
      <c r="F22" s="639"/>
      <c r="G22" s="639"/>
      <c r="H22" s="639"/>
      <c r="I22" s="639"/>
      <c r="J22" s="639"/>
      <c r="K22" s="639"/>
      <c r="L22" s="639"/>
    </row>
    <row r="23" spans="1:12" ht="12.75">
      <c r="A23" s="415"/>
      <c r="B23" s="639"/>
      <c r="C23" s="639"/>
      <c r="D23" s="639"/>
      <c r="E23" s="639"/>
      <c r="F23" s="639"/>
      <c r="G23" s="639"/>
      <c r="H23" s="639"/>
      <c r="I23" s="639"/>
      <c r="J23" s="639"/>
      <c r="K23" s="639"/>
      <c r="L23" s="639"/>
    </row>
    <row r="24" spans="1:12" ht="12.75">
      <c r="A24" s="415" t="str">
        <f>A13 &amp;".1"</f>
        <v>19.1.1</v>
      </c>
      <c r="B24" s="414" t="s">
        <v>1184</v>
      </c>
      <c r="C24" s="414"/>
      <c r="D24" s="416"/>
      <c r="E24" s="416"/>
      <c r="F24" s="416"/>
      <c r="G24" s="416"/>
      <c r="H24" s="416"/>
      <c r="I24" s="416"/>
      <c r="J24" s="416"/>
      <c r="K24" s="416"/>
      <c r="L24" s="416"/>
    </row>
    <row r="25" spans="1:12" ht="12.75">
      <c r="A25" s="415"/>
      <c r="B25" s="416"/>
      <c r="C25" s="416"/>
      <c r="D25" s="416"/>
      <c r="E25" s="416"/>
      <c r="F25" s="416"/>
      <c r="G25" s="416"/>
      <c r="H25" s="416"/>
      <c r="I25" s="416"/>
      <c r="J25" s="416"/>
      <c r="K25" s="416"/>
      <c r="L25" s="416"/>
    </row>
    <row r="26" spans="1:12" ht="12.75">
      <c r="A26" s="415"/>
      <c r="B26" s="2122" t="s">
        <v>1510</v>
      </c>
      <c r="C26" s="2091"/>
      <c r="D26" s="2091"/>
      <c r="E26" s="2091"/>
      <c r="F26" s="2091"/>
      <c r="G26" s="2091"/>
      <c r="H26" s="2091"/>
      <c r="I26" s="2091"/>
      <c r="J26" s="2091"/>
      <c r="K26" s="888"/>
      <c r="L26" s="888"/>
    </row>
    <row r="27" spans="1:12" ht="12.75">
      <c r="A27" s="415"/>
      <c r="B27" s="2122"/>
      <c r="C27" s="2091"/>
      <c r="D27" s="2091"/>
      <c r="E27" s="2091"/>
      <c r="F27" s="2091"/>
      <c r="G27" s="2091"/>
      <c r="H27" s="2091"/>
      <c r="I27" s="2091"/>
      <c r="J27" s="2091"/>
      <c r="K27" s="888"/>
      <c r="L27" s="888"/>
    </row>
    <row r="28" spans="1:12" ht="12.75">
      <c r="A28" s="415"/>
      <c r="B28" s="2091"/>
      <c r="C28" s="2091"/>
      <c r="D28" s="2091"/>
      <c r="E28" s="2091"/>
      <c r="F28" s="2091"/>
      <c r="G28" s="2091"/>
      <c r="H28" s="2091"/>
      <c r="I28" s="2091"/>
      <c r="J28" s="2091"/>
      <c r="K28" s="888"/>
      <c r="L28" s="888"/>
    </row>
    <row r="29" spans="1:12" ht="12.75">
      <c r="A29" s="415"/>
      <c r="B29" s="1244"/>
      <c r="C29" s="1244"/>
      <c r="D29" s="1244"/>
      <c r="E29" s="1244"/>
      <c r="F29" s="1244"/>
      <c r="G29" s="1244"/>
      <c r="H29" s="1244"/>
      <c r="I29" s="1244"/>
      <c r="J29" s="1244"/>
      <c r="K29" s="1244"/>
      <c r="L29" s="1244"/>
    </row>
    <row r="30" spans="1:12" ht="12.75">
      <c r="A30" s="415" t="str">
        <f>A13&amp;".2"</f>
        <v>19.1.2</v>
      </c>
      <c r="B30" s="414" t="s">
        <v>1185</v>
      </c>
      <c r="C30" s="414"/>
      <c r="D30" s="416"/>
      <c r="E30" s="416"/>
      <c r="F30" s="416"/>
      <c r="G30" s="416"/>
      <c r="H30" s="416"/>
      <c r="I30" s="416"/>
      <c r="J30" s="416"/>
      <c r="K30" s="416"/>
      <c r="L30" s="416"/>
    </row>
    <row r="31" spans="1:12" ht="12.75">
      <c r="A31" s="415"/>
      <c r="B31" s="416"/>
      <c r="C31" s="416"/>
      <c r="D31" s="416"/>
      <c r="E31" s="416"/>
      <c r="F31" s="416"/>
      <c r="G31" s="416"/>
      <c r="H31" s="416"/>
      <c r="I31" s="416"/>
      <c r="J31" s="416"/>
      <c r="K31" s="416"/>
      <c r="L31" s="416"/>
    </row>
    <row r="32" spans="1:12" ht="12.75">
      <c r="A32" s="415"/>
      <c r="B32" s="2122" t="s">
        <v>1728</v>
      </c>
      <c r="C32" s="2091"/>
      <c r="D32" s="2091"/>
      <c r="E32" s="2091"/>
      <c r="F32" s="2091"/>
      <c r="G32" s="2091"/>
      <c r="H32" s="2091"/>
      <c r="I32" s="2091"/>
      <c r="J32" s="2091"/>
      <c r="K32" s="888"/>
      <c r="L32" s="888"/>
    </row>
    <row r="33" spans="1:16" ht="12.75">
      <c r="A33" s="415"/>
      <c r="B33" s="2091"/>
      <c r="C33" s="2091"/>
      <c r="D33" s="2091"/>
      <c r="E33" s="2091"/>
      <c r="F33" s="2091"/>
      <c r="G33" s="2091"/>
      <c r="H33" s="2091"/>
      <c r="I33" s="2091"/>
      <c r="J33" s="2091"/>
      <c r="K33" s="888"/>
      <c r="L33" s="888"/>
    </row>
    <row r="34" spans="1:16" ht="12.75">
      <c r="A34" s="415"/>
      <c r="B34" s="2091"/>
      <c r="C34" s="2091"/>
      <c r="D34" s="2091"/>
      <c r="E34" s="2091"/>
      <c r="F34" s="2091"/>
      <c r="G34" s="2091"/>
      <c r="H34" s="2091"/>
      <c r="I34" s="2091"/>
      <c r="J34" s="2091"/>
      <c r="K34" s="888"/>
      <c r="L34" s="888"/>
    </row>
    <row r="35" spans="1:16" ht="12.75">
      <c r="A35" s="415"/>
      <c r="B35" s="2091"/>
      <c r="C35" s="2091"/>
      <c r="D35" s="2091"/>
      <c r="E35" s="2091"/>
      <c r="F35" s="2091"/>
      <c r="G35" s="2091"/>
      <c r="H35" s="2091"/>
      <c r="I35" s="2091"/>
      <c r="J35" s="2091"/>
      <c r="K35" s="888"/>
      <c r="L35" s="888"/>
    </row>
    <row r="36" spans="1:16" ht="12.75">
      <c r="A36" s="415"/>
      <c r="B36" s="2091"/>
      <c r="C36" s="2091"/>
      <c r="D36" s="2091"/>
      <c r="E36" s="2091"/>
      <c r="F36" s="2091"/>
      <c r="G36" s="2091"/>
      <c r="H36" s="2091"/>
      <c r="I36" s="2091"/>
      <c r="J36" s="2091"/>
      <c r="K36" s="1244"/>
      <c r="L36" s="1244"/>
    </row>
    <row r="37" spans="1:16" ht="15">
      <c r="A37" s="415"/>
      <c r="B37" s="1229"/>
      <c r="C37" s="1229"/>
      <c r="D37" s="1229"/>
      <c r="E37" s="1229"/>
      <c r="F37" s="1229"/>
      <c r="G37" s="1229"/>
      <c r="H37" s="1229"/>
      <c r="I37" s="1229"/>
      <c r="J37" s="1229"/>
      <c r="K37" s="1244"/>
      <c r="L37" s="1244"/>
    </row>
    <row r="38" spans="1:16" ht="12.75">
      <c r="A38" s="415"/>
      <c r="B38" s="888" t="s">
        <v>1681</v>
      </c>
      <c r="C38" s="888"/>
      <c r="D38" s="888"/>
      <c r="E38" s="888"/>
      <c r="F38" s="888"/>
      <c r="G38" s="888"/>
      <c r="H38" s="888"/>
      <c r="I38" s="888"/>
      <c r="J38" s="888"/>
      <c r="K38" s="888"/>
      <c r="L38" s="888"/>
    </row>
    <row r="39" spans="1:16" ht="16.5" customHeight="1">
      <c r="A39" s="415"/>
      <c r="B39" s="888"/>
      <c r="C39" s="888"/>
      <c r="D39" s="888"/>
      <c r="E39" s="888"/>
      <c r="F39" s="888"/>
      <c r="G39" s="888"/>
      <c r="H39" s="888"/>
      <c r="I39" s="888"/>
      <c r="J39" s="888"/>
      <c r="K39" s="888"/>
      <c r="L39" s="888"/>
    </row>
    <row r="40" spans="1:16" ht="12.75">
      <c r="A40" s="415"/>
      <c r="B40" s="755"/>
      <c r="C40" s="755"/>
      <c r="D40" s="755"/>
      <c r="E40" s="755"/>
      <c r="F40" s="755"/>
      <c r="G40" s="755"/>
      <c r="H40" s="752" t="s">
        <v>1314</v>
      </c>
      <c r="I40" s="755"/>
      <c r="J40" s="752" t="s">
        <v>1314</v>
      </c>
      <c r="K40" s="89"/>
      <c r="L40" s="752" t="s">
        <v>1314</v>
      </c>
    </row>
    <row r="41" spans="1:16" ht="12.75">
      <c r="A41" s="415"/>
      <c r="B41" s="429"/>
      <c r="C41" s="429"/>
      <c r="D41" s="429"/>
      <c r="F41" s="640"/>
      <c r="G41" s="640"/>
      <c r="H41" s="640" t="s">
        <v>1535</v>
      </c>
      <c r="I41" s="640"/>
      <c r="J41" s="640" t="s">
        <v>909</v>
      </c>
    </row>
    <row r="42" spans="1:16" ht="12.75">
      <c r="A42" s="415"/>
      <c r="B42" s="429"/>
      <c r="C42" s="429"/>
      <c r="D42" s="429"/>
      <c r="F42" s="429"/>
      <c r="G42" s="640" t="s">
        <v>910</v>
      </c>
      <c r="H42" s="2124" t="s">
        <v>1186</v>
      </c>
      <c r="I42" s="2124"/>
      <c r="J42" s="2124"/>
    </row>
    <row r="43" spans="1:16" ht="12.75">
      <c r="A43" s="415"/>
      <c r="B43" s="641" t="s">
        <v>1187</v>
      </c>
      <c r="C43" s="429"/>
      <c r="D43" s="429"/>
      <c r="F43" s="429"/>
      <c r="G43" s="429"/>
      <c r="H43" s="429"/>
      <c r="I43" s="429"/>
      <c r="J43" s="429"/>
    </row>
    <row r="44" spans="1:16" ht="12.75">
      <c r="A44" s="415"/>
      <c r="B44" s="641"/>
      <c r="C44" s="429"/>
      <c r="D44" s="429"/>
      <c r="F44" s="429"/>
      <c r="G44" s="429"/>
      <c r="H44" s="429"/>
      <c r="I44" s="429"/>
      <c r="J44" s="429"/>
    </row>
    <row r="45" spans="1:16" ht="12.75">
      <c r="A45" s="415"/>
      <c r="B45" s="429" t="s">
        <v>1176</v>
      </c>
      <c r="C45" s="429"/>
      <c r="D45" s="429"/>
      <c r="F45" s="642"/>
      <c r="G45" s="642">
        <v>4</v>
      </c>
      <c r="H45" s="643">
        <f>'1 - 4.2'!G111</f>
        <v>4779450.3241100004</v>
      </c>
      <c r="I45" s="644"/>
      <c r="J45" s="644">
        <v>885953</v>
      </c>
    </row>
    <row r="46" spans="1:16" ht="12.75">
      <c r="A46" s="415"/>
      <c r="B46" s="429" t="s">
        <v>1118</v>
      </c>
      <c r="C46" s="429"/>
      <c r="D46" s="429"/>
      <c r="F46" s="645"/>
      <c r="G46" s="645" t="s">
        <v>1188</v>
      </c>
      <c r="H46" s="643">
        <f>'5 - 5.1.2'!K97+'5.1.2.1 - 5.1.7'!H71</f>
        <v>276076.21461100923</v>
      </c>
      <c r="I46" s="644"/>
      <c r="J46" s="644">
        <v>297732.05762700003</v>
      </c>
      <c r="N46" s="1203">
        <f>J48*1000</f>
        <v>1378292080.9269998</v>
      </c>
      <c r="O46" s="1205">
        <f>N46*1%</f>
        <v>13782920.809269998</v>
      </c>
    </row>
    <row r="47" spans="1:16" ht="12.75">
      <c r="A47" s="415"/>
      <c r="B47" s="429" t="s">
        <v>1442</v>
      </c>
      <c r="C47" s="429"/>
      <c r="D47" s="429"/>
      <c r="F47" s="645"/>
      <c r="G47" s="645" t="s">
        <v>1189</v>
      </c>
      <c r="H47" s="643" t="e">
        <f>'5.1.2.1 - 5.1.7'!#REF!+'5.1.2.1 - 5.1.7'!H117</f>
        <v>#REF!</v>
      </c>
      <c r="I47" s="644"/>
      <c r="J47" s="644">
        <v>194607.0233</v>
      </c>
    </row>
    <row r="48" spans="1:16" ht="21" customHeight="1" thickBot="1">
      <c r="A48" s="426"/>
      <c r="B48" s="431"/>
      <c r="C48" s="431"/>
      <c r="D48" s="431"/>
      <c r="E48" s="431"/>
      <c r="F48" s="431"/>
      <c r="H48" s="1169" t="e">
        <f>SUM(H45:H47)</f>
        <v>#REF!</v>
      </c>
      <c r="I48" s="646"/>
      <c r="J48" s="647">
        <f>SUM(J45:J47)</f>
        <v>1378292.0809269999</v>
      </c>
      <c r="L48" s="1204" t="e">
        <f>H48*1000/100</f>
        <v>#REF!</v>
      </c>
      <c r="N48" s="1204">
        <f>J48*1000/100</f>
        <v>13782920.809269998</v>
      </c>
      <c r="O48" s="412">
        <f>J48/1000</f>
        <v>1378.2920809269999</v>
      </c>
      <c r="P48" s="1204">
        <f>O48*100</f>
        <v>137829.20809269999</v>
      </c>
    </row>
    <row r="49" spans="1:13" ht="13.5" thickTop="1">
      <c r="A49" s="426"/>
      <c r="B49" s="431"/>
      <c r="C49" s="431"/>
      <c r="D49" s="431"/>
      <c r="E49" s="431"/>
      <c r="F49" s="431"/>
      <c r="G49" s="889"/>
      <c r="H49" s="646"/>
      <c r="I49" s="646"/>
      <c r="J49" s="646"/>
    </row>
    <row r="50" spans="1:13" ht="12.75">
      <c r="A50" s="415"/>
      <c r="B50" s="641" t="s">
        <v>1190</v>
      </c>
      <c r="C50" s="429"/>
      <c r="D50" s="429"/>
      <c r="E50" s="429"/>
      <c r="F50" s="429"/>
      <c r="G50" s="643"/>
      <c r="H50" s="644"/>
      <c r="I50" s="644"/>
      <c r="J50" s="644"/>
    </row>
    <row r="51" spans="1:13" ht="12.75">
      <c r="A51" s="415"/>
      <c r="B51" s="641"/>
      <c r="C51" s="429"/>
      <c r="D51" s="429"/>
      <c r="E51" s="429"/>
      <c r="F51" s="429"/>
      <c r="G51" s="643"/>
      <c r="H51" s="644"/>
      <c r="I51" s="644"/>
      <c r="J51" s="644"/>
    </row>
    <row r="52" spans="1:13" ht="12.75">
      <c r="A52" s="420"/>
      <c r="B52" s="429" t="str">
        <f>'1 - 4.2'!B128&amp;""</f>
        <v>Government securities - Market Treasury Bills &amp; Pakistan 
 Investment Bonds</v>
      </c>
      <c r="C52" s="429"/>
      <c r="D52" s="429"/>
      <c r="E52" s="648"/>
      <c r="F52" s="648"/>
      <c r="G52" s="992" t="e">
        <f>'5 - 5.1.2'!#REF!</f>
        <v>#REF!</v>
      </c>
      <c r="H52" s="643" t="e">
        <f>'5 - 5.1.2'!I36+'5 - 5.1.2'!#REF!</f>
        <v>#REF!</v>
      </c>
      <c r="I52" s="644"/>
      <c r="J52" s="644">
        <v>0</v>
      </c>
    </row>
    <row r="53" spans="1:13" ht="12.75">
      <c r="A53" s="420"/>
      <c r="B53" s="429" t="s">
        <v>1631</v>
      </c>
      <c r="C53" s="429"/>
      <c r="D53" s="429"/>
      <c r="E53" s="648"/>
      <c r="F53" s="648"/>
      <c r="G53" s="992" t="e">
        <f>'5.1.2.1 - 5.1.7'!#REF!</f>
        <v>#REF!</v>
      </c>
      <c r="H53" s="643" t="e">
        <f>'5.1.2.1 - 5.1.7'!#REF!</f>
        <v>#REF!</v>
      </c>
      <c r="I53" s="644"/>
      <c r="J53" s="644"/>
    </row>
    <row r="54" spans="1:13" ht="21" customHeight="1" thickBot="1">
      <c r="A54" s="423"/>
      <c r="B54" s="649"/>
      <c r="C54" s="432"/>
      <c r="D54" s="431"/>
      <c r="E54" s="650"/>
      <c r="F54" s="650"/>
      <c r="H54" s="1169" t="e">
        <f>SUM(H52:H53)</f>
        <v>#REF!</v>
      </c>
      <c r="I54" s="646"/>
      <c r="J54" s="647">
        <f>SUM(J52:J52)</f>
        <v>0</v>
      </c>
    </row>
    <row r="55" spans="1:13" ht="13.5" thickTop="1">
      <c r="A55" s="415"/>
      <c r="B55" s="1244"/>
      <c r="C55" s="1244"/>
      <c r="D55" s="1244"/>
      <c r="E55" s="1244"/>
      <c r="F55" s="1244"/>
      <c r="G55" s="1244"/>
      <c r="H55" s="1244"/>
      <c r="I55" s="1244"/>
      <c r="J55" s="1244"/>
      <c r="K55" s="1244"/>
      <c r="L55" s="1244"/>
    </row>
    <row r="56" spans="1:13" ht="12.75">
      <c r="A56" s="415"/>
      <c r="B56" s="652" t="s">
        <v>1191</v>
      </c>
      <c r="C56" s="653" t="s">
        <v>1192</v>
      </c>
      <c r="D56" s="653"/>
      <c r="E56" s="653"/>
      <c r="F56" s="653"/>
      <c r="G56" s="654"/>
      <c r="H56" s="654"/>
      <c r="I56" s="654"/>
      <c r="J56" s="654"/>
      <c r="K56" s="654"/>
      <c r="L56" s="651" t="e">
        <f>H54*1000/100</f>
        <v>#REF!</v>
      </c>
      <c r="M56" s="1219" t="e">
        <f>(H52*1000/100)/1000000</f>
        <v>#REF!</v>
      </c>
    </row>
    <row r="57" spans="1:13" ht="12.75">
      <c r="A57" s="415"/>
      <c r="B57" s="654"/>
      <c r="C57" s="654"/>
      <c r="D57" s="654"/>
      <c r="E57" s="654"/>
      <c r="F57" s="654"/>
      <c r="G57" s="654"/>
      <c r="H57" s="654"/>
      <c r="I57" s="654"/>
      <c r="J57" s="654"/>
      <c r="K57" s="654"/>
      <c r="L57" s="654"/>
    </row>
    <row r="58" spans="1:13" ht="12.75" customHeight="1">
      <c r="A58" s="415"/>
      <c r="B58" s="2123" t="s">
        <v>1762</v>
      </c>
      <c r="C58" s="2123"/>
      <c r="D58" s="2123"/>
      <c r="E58" s="2123"/>
      <c r="F58" s="2123"/>
      <c r="G58" s="2123"/>
      <c r="H58" s="2123"/>
      <c r="I58" s="2123"/>
      <c r="J58" s="2123"/>
      <c r="K58" s="434"/>
      <c r="L58" s="434"/>
    </row>
    <row r="59" spans="1:13" ht="12.75">
      <c r="A59" s="415"/>
      <c r="B59" s="2123"/>
      <c r="C59" s="2123"/>
      <c r="D59" s="2123"/>
      <c r="E59" s="2123"/>
      <c r="F59" s="2123"/>
      <c r="G59" s="2123"/>
      <c r="H59" s="2123"/>
      <c r="I59" s="2123"/>
      <c r="J59" s="2123"/>
      <c r="K59" s="434"/>
      <c r="L59" s="651" t="e">
        <f>H48*1000/100</f>
        <v>#REF!</v>
      </c>
    </row>
    <row r="60" spans="1:13" ht="12.75">
      <c r="A60" s="415"/>
      <c r="B60" s="2123"/>
      <c r="C60" s="2123"/>
      <c r="D60" s="2123"/>
      <c r="E60" s="2123"/>
      <c r="F60" s="2123"/>
      <c r="G60" s="2123"/>
      <c r="H60" s="2123"/>
      <c r="I60" s="2123"/>
      <c r="J60" s="2123"/>
      <c r="K60" s="434"/>
      <c r="L60" s="434"/>
    </row>
    <row r="61" spans="1:13" ht="12.75">
      <c r="A61" s="415"/>
      <c r="B61" s="2123"/>
      <c r="C61" s="2123"/>
      <c r="D61" s="2123"/>
      <c r="E61" s="2123"/>
      <c r="F61" s="2123"/>
      <c r="G61" s="2123"/>
      <c r="H61" s="2123"/>
      <c r="I61" s="2123"/>
      <c r="J61" s="2123"/>
      <c r="K61" s="434"/>
      <c r="L61" s="434"/>
    </row>
    <row r="63" spans="1:13" ht="12.75">
      <c r="B63" s="652" t="s">
        <v>1193</v>
      </c>
      <c r="C63" s="653" t="s">
        <v>1444</v>
      </c>
      <c r="K63" s="412" t="s">
        <v>1445</v>
      </c>
    </row>
    <row r="64" spans="1:13" ht="9.75" customHeight="1"/>
    <row r="65" spans="1:11" ht="12" customHeight="1">
      <c r="B65" s="2125" t="s">
        <v>1729</v>
      </c>
      <c r="C65" s="2125"/>
      <c r="D65" s="2125"/>
      <c r="E65" s="2125"/>
      <c r="F65" s="2125"/>
      <c r="G65" s="2125"/>
      <c r="H65" s="2125"/>
      <c r="I65" s="2125"/>
      <c r="J65" s="2125"/>
    </row>
    <row r="66" spans="1:11">
      <c r="B66" s="2125"/>
      <c r="C66" s="2125"/>
      <c r="D66" s="2125"/>
      <c r="E66" s="2125"/>
      <c r="F66" s="2125"/>
      <c r="G66" s="2125"/>
      <c r="H66" s="2125"/>
      <c r="I66" s="2125"/>
      <c r="J66" s="2125"/>
    </row>
    <row r="67" spans="1:11">
      <c r="B67" s="2125"/>
      <c r="C67" s="2125"/>
      <c r="D67" s="2125"/>
      <c r="E67" s="2125"/>
      <c r="F67" s="2125"/>
      <c r="G67" s="2125"/>
      <c r="H67" s="2125"/>
      <c r="I67" s="2125"/>
      <c r="J67" s="2125"/>
    </row>
    <row r="68" spans="1:11" ht="18.75" customHeight="1">
      <c r="B68" s="2125"/>
      <c r="C68" s="2125"/>
      <c r="D68" s="2125"/>
      <c r="E68" s="2125"/>
      <c r="F68" s="2125"/>
      <c r="G68" s="2125"/>
      <c r="H68" s="2125"/>
      <c r="I68" s="2125"/>
      <c r="J68" s="2125"/>
    </row>
    <row r="69" spans="1:11" ht="12.75">
      <c r="B69" s="1240"/>
      <c r="C69" s="1240"/>
      <c r="D69" s="1240"/>
      <c r="E69" s="1240"/>
      <c r="F69" s="1240"/>
      <c r="G69" s="1240"/>
      <c r="H69" s="1240"/>
      <c r="I69" s="1240"/>
      <c r="J69" s="1240"/>
    </row>
    <row r="70" spans="1:11">
      <c r="A70" s="655"/>
      <c r="B70" s="2123" t="s">
        <v>1657</v>
      </c>
      <c r="C70" s="2123"/>
      <c r="D70" s="2123"/>
      <c r="E70" s="2123"/>
      <c r="F70" s="2123"/>
      <c r="G70" s="2123"/>
      <c r="H70" s="2123"/>
      <c r="I70" s="2123"/>
      <c r="J70" s="2123"/>
    </row>
    <row r="71" spans="1:11">
      <c r="A71" s="655"/>
      <c r="B71" s="2123"/>
      <c r="C71" s="2123"/>
      <c r="D71" s="2123"/>
      <c r="E71" s="2123"/>
      <c r="F71" s="2123"/>
      <c r="G71" s="2123"/>
      <c r="H71" s="2123"/>
      <c r="I71" s="2123"/>
      <c r="J71" s="2123"/>
    </row>
    <row r="72" spans="1:11" ht="12.95" customHeight="1">
      <c r="A72" s="655"/>
      <c r="B72" s="2123"/>
      <c r="C72" s="2123"/>
      <c r="D72" s="2123"/>
      <c r="E72" s="2123"/>
      <c r="F72" s="2123"/>
      <c r="G72" s="2123"/>
      <c r="H72" s="2123"/>
      <c r="I72" s="2123"/>
      <c r="J72" s="2123"/>
    </row>
    <row r="73" spans="1:11" ht="12.95" customHeight="1">
      <c r="A73" s="655"/>
      <c r="B73" s="2123"/>
      <c r="C73" s="2123"/>
      <c r="D73" s="2123"/>
      <c r="E73" s="2123"/>
      <c r="F73" s="2123"/>
      <c r="G73" s="2123"/>
      <c r="H73" s="2123"/>
      <c r="I73" s="2123"/>
      <c r="J73" s="2123"/>
    </row>
    <row r="74" spans="1:11">
      <c r="A74" s="655"/>
      <c r="B74" s="759"/>
      <c r="C74" s="759"/>
      <c r="D74" s="759"/>
      <c r="E74" s="759"/>
      <c r="F74" s="759"/>
      <c r="G74" s="759"/>
      <c r="H74" s="759"/>
      <c r="I74" s="759"/>
      <c r="J74" s="759"/>
    </row>
    <row r="75" spans="1:11">
      <c r="A75" s="655"/>
      <c r="B75" s="2127" t="s">
        <v>1658</v>
      </c>
      <c r="C75" s="2127"/>
      <c r="D75" s="2127"/>
      <c r="E75" s="2127"/>
      <c r="F75" s="2127"/>
      <c r="G75" s="2127"/>
      <c r="H75" s="2127"/>
      <c r="I75" s="2127"/>
      <c r="J75" s="2127"/>
      <c r="K75" s="1241"/>
    </row>
    <row r="76" spans="1:11">
      <c r="A76" s="655"/>
      <c r="B76" s="2127"/>
      <c r="C76" s="2127"/>
      <c r="D76" s="2127"/>
      <c r="E76" s="2127"/>
      <c r="F76" s="2127"/>
      <c r="G76" s="2127"/>
      <c r="H76" s="2127"/>
      <c r="I76" s="2127"/>
      <c r="J76" s="2127"/>
      <c r="K76" s="1241"/>
    </row>
    <row r="77" spans="1:11">
      <c r="A77" s="655"/>
      <c r="B77" s="759"/>
      <c r="C77" s="759"/>
      <c r="D77" s="759"/>
      <c r="E77" s="759"/>
      <c r="F77" s="759"/>
      <c r="G77" s="759"/>
      <c r="H77" s="759"/>
      <c r="I77" s="759"/>
      <c r="J77" s="759"/>
    </row>
    <row r="78" spans="1:11" s="438" customFormat="1" ht="12" customHeight="1">
      <c r="A78" s="656"/>
      <c r="B78" s="2155" t="s">
        <v>971</v>
      </c>
      <c r="C78" s="2132"/>
      <c r="D78" s="2156" t="s">
        <v>1537</v>
      </c>
      <c r="E78" s="2157"/>
      <c r="F78" s="2157"/>
      <c r="G78" s="2157"/>
      <c r="H78" s="2157"/>
      <c r="I78" s="2157"/>
      <c r="J78" s="2158"/>
    </row>
    <row r="79" spans="1:11" s="438" customFormat="1" ht="12" customHeight="1">
      <c r="A79" s="656"/>
      <c r="B79" s="2133"/>
      <c r="C79" s="2134"/>
      <c r="D79" s="2159" t="s">
        <v>1197</v>
      </c>
      <c r="E79" s="2160" t="s">
        <v>1198</v>
      </c>
      <c r="F79" s="2160"/>
      <c r="G79" s="2160"/>
      <c r="H79" s="2143" t="s">
        <v>1199</v>
      </c>
      <c r="I79" s="2144"/>
      <c r="J79" s="2128" t="s">
        <v>1200</v>
      </c>
    </row>
    <row r="80" spans="1:11" s="438" customFormat="1" ht="12" customHeight="1">
      <c r="A80" s="656"/>
      <c r="B80" s="2133"/>
      <c r="C80" s="2134"/>
      <c r="D80" s="2141"/>
      <c r="E80" s="2128" t="s">
        <v>1201</v>
      </c>
      <c r="F80" s="2128" t="s">
        <v>1202</v>
      </c>
      <c r="G80" s="2128" t="s">
        <v>1203</v>
      </c>
      <c r="H80" s="2145"/>
      <c r="I80" s="2146"/>
      <c r="J80" s="2128"/>
    </row>
    <row r="81" spans="1:13" s="438" customFormat="1" ht="12" customHeight="1">
      <c r="A81" s="656"/>
      <c r="B81" s="2133"/>
      <c r="C81" s="2134"/>
      <c r="D81" s="2141"/>
      <c r="E81" s="2128"/>
      <c r="F81" s="2128"/>
      <c r="G81" s="2128"/>
      <c r="H81" s="2145"/>
      <c r="I81" s="2146"/>
      <c r="J81" s="2128"/>
    </row>
    <row r="82" spans="1:13" s="438" customFormat="1" ht="15.75" customHeight="1">
      <c r="A82" s="656"/>
      <c r="B82" s="2135"/>
      <c r="C82" s="2136"/>
      <c r="D82" s="2141"/>
      <c r="E82" s="2128"/>
      <c r="F82" s="2128"/>
      <c r="G82" s="2128"/>
      <c r="H82" s="2147"/>
      <c r="I82" s="2148"/>
      <c r="J82" s="2128"/>
      <c r="L82" s="438" t="s">
        <v>1720</v>
      </c>
      <c r="M82" s="438" t="s">
        <v>1721</v>
      </c>
    </row>
    <row r="83" spans="1:13" s="439" customFormat="1" ht="9.75">
      <c r="A83" s="656"/>
      <c r="B83" s="657"/>
      <c r="C83" s="657"/>
      <c r="D83" s="658" t="s">
        <v>1029</v>
      </c>
      <c r="E83" s="2130" t="s">
        <v>1204</v>
      </c>
      <c r="F83" s="2130"/>
      <c r="G83" s="2130"/>
      <c r="H83" s="2130"/>
      <c r="I83" s="2130"/>
      <c r="J83" s="2130"/>
      <c r="L83" s="439">
        <v>13.64</v>
      </c>
      <c r="M83" s="439" t="s">
        <v>1722</v>
      </c>
    </row>
    <row r="84" spans="1:13" s="417" customFormat="1" ht="11.25">
      <c r="A84" s="659"/>
      <c r="B84" s="660" t="s">
        <v>1205</v>
      </c>
      <c r="C84" s="440"/>
      <c r="D84" s="440"/>
      <c r="E84" s="440"/>
      <c r="F84" s="440"/>
      <c r="G84" s="440"/>
      <c r="H84" s="440"/>
      <c r="I84" s="440"/>
      <c r="J84" s="440"/>
    </row>
    <row r="85" spans="1:13" s="417" customFormat="1" ht="11.25">
      <c r="A85" s="659"/>
      <c r="B85" s="440"/>
      <c r="C85" s="440"/>
      <c r="D85" s="440"/>
      <c r="E85" s="440"/>
      <c r="F85" s="440"/>
      <c r="G85" s="440"/>
      <c r="H85" s="440"/>
      <c r="I85" s="440"/>
      <c r="J85" s="440"/>
    </row>
    <row r="86" spans="1:13" s="417" customFormat="1" ht="11.25">
      <c r="A86" s="659"/>
      <c r="B86" s="660" t="s">
        <v>1005</v>
      </c>
      <c r="C86" s="660"/>
      <c r="D86" s="440"/>
      <c r="E86" s="440"/>
      <c r="F86" s="440"/>
      <c r="G86" s="440"/>
      <c r="H86" s="440"/>
      <c r="I86" s="440"/>
      <c r="J86" s="440"/>
    </row>
    <row r="87" spans="1:13" s="417" customFormat="1" ht="11.25">
      <c r="A87" s="659"/>
      <c r="B87" s="661" t="s">
        <v>913</v>
      </c>
      <c r="C87" s="660"/>
      <c r="D87" s="441" t="s">
        <v>1750</v>
      </c>
      <c r="E87" s="1170">
        <f>'1 - 4.2'!G111</f>
        <v>4779450.3241100004</v>
      </c>
      <c r="F87" s="1170">
        <v>0</v>
      </c>
      <c r="G87" s="1170">
        <v>0</v>
      </c>
      <c r="H87" s="1170">
        <f>'1 - 4.2'!G112</f>
        <v>6982.3465999999999</v>
      </c>
      <c r="I87" s="1170"/>
      <c r="J87" s="1170">
        <f>SUM(E87:H87)</f>
        <v>4786432.6707100002</v>
      </c>
      <c r="L87" s="442"/>
      <c r="M87" s="442"/>
    </row>
    <row r="88" spans="1:13" s="417" customFormat="1" ht="11.25" hidden="1">
      <c r="A88" s="659"/>
      <c r="B88" s="661"/>
      <c r="C88" s="660"/>
      <c r="D88" s="441"/>
      <c r="E88" s="1170"/>
      <c r="F88" s="1170"/>
      <c r="G88" s="1170"/>
      <c r="H88" s="1170"/>
      <c r="I88" s="1170"/>
      <c r="J88" s="1170"/>
      <c r="L88" s="442"/>
      <c r="M88" s="442"/>
    </row>
    <row r="89" spans="1:13" s="417" customFormat="1" ht="11.25">
      <c r="A89" s="659"/>
      <c r="B89" s="661" t="s">
        <v>1459</v>
      </c>
      <c r="C89" s="440"/>
      <c r="D89" s="441" t="s">
        <v>1763</v>
      </c>
      <c r="E89" s="1170" t="e">
        <f>'19.1.3 - 19.3'!H127-H89</f>
        <v>#REF!</v>
      </c>
      <c r="F89" s="1170" t="e">
        <f>'19.1.3 - 19.3'!J127</f>
        <v>#REF!</v>
      </c>
      <c r="G89" s="1170" t="e">
        <f>'19.1.3 - 19.3'!L127+'19.1.3 - 19.3'!N127</f>
        <v>#REF!</v>
      </c>
      <c r="H89" s="1170" t="e">
        <f>+'5.1.2.1 - 5.1.7'!#REF!</f>
        <v>#REF!</v>
      </c>
      <c r="I89" s="1170"/>
      <c r="J89" s="1170" t="e">
        <f>SUM(E89:H89)</f>
        <v>#REF!</v>
      </c>
      <c r="L89" s="417">
        <f>SOAL!F12</f>
        <v>4191776.3090396738</v>
      </c>
      <c r="M89" s="1294" t="e">
        <f>J89-L89</f>
        <v>#REF!</v>
      </c>
    </row>
    <row r="90" spans="1:13" s="417" customFormat="1" ht="11.25" hidden="1">
      <c r="A90" s="659"/>
      <c r="B90" s="661" t="s">
        <v>916</v>
      </c>
      <c r="C90" s="660"/>
      <c r="D90" s="441"/>
      <c r="E90" s="1170" t="e">
        <f>'5.2 - 25'!#REF!</f>
        <v>#REF!</v>
      </c>
      <c r="F90" s="1170">
        <v>0</v>
      </c>
      <c r="G90" s="1170">
        <v>0</v>
      </c>
      <c r="H90" s="1170">
        <v>0</v>
      </c>
      <c r="I90" s="1170"/>
      <c r="J90" s="1170" t="e">
        <f>SUM(E90:H90)</f>
        <v>#REF!</v>
      </c>
    </row>
    <row r="91" spans="1:13" s="417" customFormat="1" ht="11.25">
      <c r="A91" s="659"/>
      <c r="B91" s="661" t="s">
        <v>917</v>
      </c>
      <c r="C91" s="660"/>
      <c r="D91" s="440"/>
      <c r="E91" s="1170">
        <v>0</v>
      </c>
      <c r="F91" s="1170">
        <v>0</v>
      </c>
      <c r="G91" s="1170">
        <v>0</v>
      </c>
      <c r="H91" s="1170">
        <f>'18'!F39</f>
        <v>13382.02053</v>
      </c>
      <c r="I91" s="1170"/>
      <c r="J91" s="1170">
        <f>SUM(E91:H91)</f>
        <v>13382.02053</v>
      </c>
    </row>
    <row r="92" spans="1:13" s="417" customFormat="1" ht="11.25">
      <c r="A92" s="659"/>
      <c r="B92" s="661" t="s">
        <v>1727</v>
      </c>
      <c r="C92" s="660"/>
      <c r="D92" s="440"/>
      <c r="E92" s="1170">
        <v>0</v>
      </c>
      <c r="F92" s="1170">
        <v>0</v>
      </c>
      <c r="G92" s="1170">
        <v>0</v>
      </c>
      <c r="H92" s="1170">
        <f>'18'!F40</f>
        <v>6752.9219300000004</v>
      </c>
      <c r="I92" s="1170"/>
      <c r="J92" s="1170">
        <f>SUM(E92:H92)</f>
        <v>6752.9219300000004</v>
      </c>
    </row>
    <row r="93" spans="1:13" s="425" customFormat="1" ht="21" customHeight="1">
      <c r="A93" s="1300"/>
      <c r="B93" s="1301" t="s">
        <v>1206</v>
      </c>
      <c r="C93" s="1301"/>
      <c r="D93" s="1302"/>
      <c r="E93" s="1303" t="e">
        <f>SUM(E87:E92)</f>
        <v>#REF!</v>
      </c>
      <c r="F93" s="1303" t="e">
        <f>SUM(F87:F92)</f>
        <v>#REF!</v>
      </c>
      <c r="G93" s="1303" t="e">
        <f>SUM(G87:G92)</f>
        <v>#REF!</v>
      </c>
      <c r="H93" s="1303" t="e">
        <f>SUM(H87:H92)</f>
        <v>#REF!</v>
      </c>
      <c r="I93" s="1303"/>
      <c r="J93" s="1303" t="e">
        <f>SUM(J87:J92)</f>
        <v>#REF!</v>
      </c>
    </row>
    <row r="94" spans="1:13" s="417" customFormat="1" ht="11.25">
      <c r="A94" s="659"/>
      <c r="B94" s="440"/>
      <c r="C94" s="440"/>
      <c r="D94" s="440"/>
      <c r="E94" s="1170"/>
      <c r="F94" s="1170"/>
      <c r="G94" s="1170"/>
      <c r="H94" s="1170"/>
      <c r="I94" s="1170"/>
      <c r="J94" s="1170"/>
    </row>
    <row r="95" spans="1:13" s="417" customFormat="1" ht="11.25">
      <c r="A95" s="659"/>
      <c r="B95" s="660" t="s">
        <v>1207</v>
      </c>
      <c r="C95" s="660"/>
      <c r="D95" s="440"/>
      <c r="E95" s="1170"/>
      <c r="F95" s="1170"/>
      <c r="G95" s="1170"/>
      <c r="H95" s="1170"/>
      <c r="I95" s="1170"/>
      <c r="J95" s="1170"/>
    </row>
    <row r="96" spans="1:13" s="417" customFormat="1" ht="11.25">
      <c r="A96" s="662"/>
      <c r="B96" s="762" t="s">
        <v>1315</v>
      </c>
      <c r="C96" s="440"/>
      <c r="D96" s="440"/>
      <c r="E96" s="1170">
        <v>0</v>
      </c>
      <c r="F96" s="1170">
        <v>0</v>
      </c>
      <c r="G96" s="1170">
        <v>0</v>
      </c>
      <c r="H96" s="1170">
        <f>'18'!F46</f>
        <v>4438.4719399999994</v>
      </c>
      <c r="I96" s="1170"/>
      <c r="J96" s="1170">
        <f>SUM(E96:H96)</f>
        <v>4438.4719399999994</v>
      </c>
    </row>
    <row r="97" spans="1:10" s="417" customFormat="1" ht="11.25">
      <c r="A97" s="662"/>
      <c r="B97" s="891" t="s">
        <v>1316</v>
      </c>
      <c r="C97" s="440"/>
      <c r="D97" s="440"/>
      <c r="E97" s="1170">
        <v>0</v>
      </c>
      <c r="F97" s="1170">
        <v>0</v>
      </c>
      <c r="G97" s="1170">
        <v>0</v>
      </c>
      <c r="H97" s="1170">
        <f>'18'!F47</f>
        <v>124.44373</v>
      </c>
      <c r="I97" s="1170"/>
      <c r="J97" s="1170">
        <f>SUM(E97:H97)</f>
        <v>124.44373</v>
      </c>
    </row>
    <row r="98" spans="1:10" s="417" customFormat="1" ht="11.25">
      <c r="A98" s="662"/>
      <c r="B98" s="440" t="s">
        <v>929</v>
      </c>
      <c r="C98" s="440"/>
      <c r="D98" s="440"/>
      <c r="E98" s="1170">
        <v>0</v>
      </c>
      <c r="F98" s="1170">
        <v>0</v>
      </c>
      <c r="G98" s="1170">
        <v>0</v>
      </c>
      <c r="H98" s="1170">
        <f>'18'!F48</f>
        <v>47.22307</v>
      </c>
      <c r="I98" s="1170"/>
      <c r="J98" s="1170">
        <f>SUM(E98:H98)</f>
        <v>47.22307</v>
      </c>
    </row>
    <row r="99" spans="1:10" s="417" customFormat="1" ht="11.25">
      <c r="A99" s="662"/>
      <c r="B99" s="440" t="s">
        <v>930</v>
      </c>
      <c r="C99" s="440"/>
      <c r="D99" s="440"/>
      <c r="E99" s="1170">
        <v>0</v>
      </c>
      <c r="F99" s="1170">
        <v>0</v>
      </c>
      <c r="G99" s="1170">
        <v>0</v>
      </c>
      <c r="H99" s="1170">
        <f>'18'!F50</f>
        <v>14846.93736</v>
      </c>
      <c r="I99" s="1170"/>
      <c r="J99" s="1170">
        <f>SUM(E99:H99)</f>
        <v>14846.93736</v>
      </c>
    </row>
    <row r="100" spans="1:10" s="417" customFormat="1" ht="21" customHeight="1">
      <c r="A100" s="659"/>
      <c r="B100" s="660" t="s">
        <v>1206</v>
      </c>
      <c r="C100" s="660"/>
      <c r="D100" s="440"/>
      <c r="E100" s="1171">
        <f>SUM(E96:E99)</f>
        <v>0</v>
      </c>
      <c r="F100" s="1171">
        <f>SUM(F96:F99)</f>
        <v>0</v>
      </c>
      <c r="G100" s="1171">
        <f>SUM(G96:G99)</f>
        <v>0</v>
      </c>
      <c r="H100" s="1171">
        <f>SUM(H96:H99)</f>
        <v>19457.076099999998</v>
      </c>
      <c r="I100" s="1171"/>
      <c r="J100" s="1171">
        <f>SUM(J96:J99)</f>
        <v>19457.076099999998</v>
      </c>
    </row>
    <row r="101" spans="1:10" s="417" customFormat="1" ht="6" customHeight="1">
      <c r="A101" s="659"/>
      <c r="B101" s="440"/>
      <c r="C101" s="440"/>
      <c r="D101" s="440"/>
      <c r="E101" s="1170"/>
      <c r="F101" s="1170"/>
      <c r="G101" s="1170"/>
      <c r="H101" s="1170"/>
      <c r="I101" s="1170"/>
      <c r="J101" s="1170"/>
    </row>
    <row r="102" spans="1:10" s="417" customFormat="1" thickBot="1">
      <c r="A102" s="659"/>
      <c r="B102" s="660" t="s">
        <v>1208</v>
      </c>
      <c r="C102" s="660"/>
      <c r="D102" s="440"/>
      <c r="E102" s="1172" t="e">
        <f>E93-E100</f>
        <v>#REF!</v>
      </c>
      <c r="F102" s="1172" t="e">
        <f>F93-F100</f>
        <v>#REF!</v>
      </c>
      <c r="G102" s="1172" t="e">
        <f>G93-G100</f>
        <v>#REF!</v>
      </c>
      <c r="H102" s="1172" t="e">
        <f>H93-H100</f>
        <v>#REF!</v>
      </c>
      <c r="I102" s="1172"/>
      <c r="J102" s="1172" t="e">
        <f>J93-J100</f>
        <v>#REF!</v>
      </c>
    </row>
    <row r="103" spans="1:10" s="417" customFormat="1" ht="6" customHeight="1" thickTop="1">
      <c r="A103" s="659"/>
      <c r="B103" s="660"/>
      <c r="C103" s="660"/>
      <c r="D103" s="440"/>
      <c r="E103" s="1173"/>
      <c r="F103" s="1173"/>
      <c r="G103" s="1173"/>
      <c r="H103" s="1173"/>
      <c r="I103" s="1173"/>
      <c r="J103" s="1173"/>
    </row>
    <row r="104" spans="1:10" s="417" customFormat="1" thickBot="1">
      <c r="A104" s="659"/>
      <c r="B104" s="660" t="s">
        <v>1209</v>
      </c>
      <c r="C104" s="660"/>
      <c r="D104" s="440"/>
      <c r="E104" s="1172" t="e">
        <f>+E102</f>
        <v>#REF!</v>
      </c>
      <c r="F104" s="1172" t="e">
        <f>+F102</f>
        <v>#REF!</v>
      </c>
      <c r="G104" s="1172" t="e">
        <f>+G102</f>
        <v>#REF!</v>
      </c>
      <c r="H104" s="1172" t="e">
        <f>+H102</f>
        <v>#REF!</v>
      </c>
      <c r="I104" s="1172"/>
      <c r="J104" s="1172" t="e">
        <f>+J102</f>
        <v>#REF!</v>
      </c>
    </row>
    <row r="105" spans="1:10" s="417" customFormat="1" ht="6" customHeight="1" thickTop="1">
      <c r="A105" s="659"/>
      <c r="B105" s="660"/>
      <c r="C105" s="660"/>
      <c r="D105" s="440"/>
      <c r="E105" s="1173"/>
      <c r="F105" s="1173"/>
      <c r="G105" s="1173"/>
      <c r="H105" s="1173"/>
      <c r="I105" s="1173"/>
      <c r="J105" s="1173"/>
    </row>
    <row r="106" spans="1:10" s="417" customFormat="1" thickBot="1">
      <c r="A106" s="659"/>
      <c r="B106" s="660" t="s">
        <v>1210</v>
      </c>
      <c r="C106" s="660"/>
      <c r="D106" s="440"/>
      <c r="E106" s="1172" t="e">
        <f>+E104</f>
        <v>#REF!</v>
      </c>
      <c r="F106" s="1172" t="e">
        <f>E106+F104</f>
        <v>#REF!</v>
      </c>
      <c r="G106" s="1172" t="e">
        <f>F106+G104</f>
        <v>#REF!</v>
      </c>
      <c r="H106" s="1173"/>
      <c r="I106" s="1173"/>
      <c r="J106" s="1173"/>
    </row>
    <row r="107" spans="1:10" s="417" customFormat="1" thickTop="1">
      <c r="A107" s="663"/>
      <c r="B107" s="663"/>
      <c r="C107" s="663"/>
      <c r="D107" s="663"/>
      <c r="E107" s="664"/>
      <c r="F107" s="664"/>
      <c r="G107" s="664"/>
      <c r="H107" s="664"/>
      <c r="I107" s="664"/>
      <c r="J107" s="664"/>
    </row>
    <row r="108" spans="1:10" s="438" customFormat="1" ht="9.75">
      <c r="A108" s="665"/>
      <c r="B108" s="2131" t="s">
        <v>971</v>
      </c>
      <c r="C108" s="2132"/>
      <c r="D108" s="2137" t="s">
        <v>1027</v>
      </c>
      <c r="E108" s="2138"/>
      <c r="F108" s="2138"/>
      <c r="G108" s="2138"/>
      <c r="H108" s="2138"/>
      <c r="I108" s="2138"/>
      <c r="J108" s="2139"/>
    </row>
    <row r="109" spans="1:10" s="438" customFormat="1" ht="9.75" customHeight="1">
      <c r="A109" s="665"/>
      <c r="B109" s="2133"/>
      <c r="C109" s="2134"/>
      <c r="D109" s="2140" t="s">
        <v>1197</v>
      </c>
      <c r="E109" s="2142" t="s">
        <v>1198</v>
      </c>
      <c r="F109" s="2142"/>
      <c r="G109" s="2142"/>
      <c r="H109" s="2149" t="s">
        <v>1199</v>
      </c>
      <c r="I109" s="2150"/>
      <c r="J109" s="2126" t="s">
        <v>1200</v>
      </c>
    </row>
    <row r="110" spans="1:10" s="438" customFormat="1" ht="9.75">
      <c r="A110" s="665"/>
      <c r="B110" s="2133"/>
      <c r="C110" s="2134"/>
      <c r="D110" s="2141"/>
      <c r="E110" s="2126" t="s">
        <v>1201</v>
      </c>
      <c r="F110" s="2126" t="s">
        <v>1212</v>
      </c>
      <c r="G110" s="2126" t="s">
        <v>1203</v>
      </c>
      <c r="H110" s="2151"/>
      <c r="I110" s="2152"/>
      <c r="J110" s="2126"/>
    </row>
    <row r="111" spans="1:10" s="438" customFormat="1" ht="9.75">
      <c r="A111" s="665"/>
      <c r="B111" s="2133"/>
      <c r="C111" s="2134"/>
      <c r="D111" s="2141"/>
      <c r="E111" s="2126"/>
      <c r="F111" s="2126"/>
      <c r="G111" s="2126"/>
      <c r="H111" s="2151"/>
      <c r="I111" s="2152"/>
      <c r="J111" s="2126"/>
    </row>
    <row r="112" spans="1:10" s="438" customFormat="1" ht="9.75">
      <c r="A112" s="665"/>
      <c r="B112" s="2133"/>
      <c r="C112" s="2134"/>
      <c r="D112" s="2141"/>
      <c r="E112" s="2126"/>
      <c r="F112" s="2126"/>
      <c r="G112" s="2126"/>
      <c r="H112" s="2151"/>
      <c r="I112" s="2152"/>
      <c r="J112" s="2126"/>
    </row>
    <row r="113" spans="1:10" s="438" customFormat="1" ht="9.75">
      <c r="A113" s="665"/>
      <c r="B113" s="2135"/>
      <c r="C113" s="2136"/>
      <c r="D113" s="2141"/>
      <c r="E113" s="2126"/>
      <c r="F113" s="2126"/>
      <c r="G113" s="2126"/>
      <c r="H113" s="2153"/>
      <c r="I113" s="2154"/>
      <c r="J113" s="2126"/>
    </row>
    <row r="114" spans="1:10" s="439" customFormat="1" ht="9.75">
      <c r="A114" s="656"/>
      <c r="B114" s="892"/>
      <c r="C114" s="892"/>
      <c r="D114" s="1174" t="s">
        <v>1029</v>
      </c>
      <c r="E114" s="2129" t="s">
        <v>1204</v>
      </c>
      <c r="F114" s="2129"/>
      <c r="G114" s="2129"/>
      <c r="H114" s="2129"/>
      <c r="I114" s="2129"/>
      <c r="J114" s="2129"/>
    </row>
    <row r="115" spans="1:10" s="417" customFormat="1" ht="11.25">
      <c r="A115" s="659"/>
      <c r="B115" s="660" t="s">
        <v>1205</v>
      </c>
      <c r="C115" s="440"/>
      <c r="D115" s="440"/>
      <c r="E115" s="440"/>
      <c r="F115" s="440"/>
      <c r="G115" s="440"/>
      <c r="H115" s="440"/>
      <c r="I115" s="440"/>
      <c r="J115" s="440"/>
    </row>
    <row r="116" spans="1:10" s="417" customFormat="1" ht="11.25">
      <c r="A116" s="659"/>
      <c r="B116" s="440"/>
      <c r="C116" s="440"/>
      <c r="D116" s="440"/>
      <c r="E116" s="440"/>
      <c r="F116" s="440"/>
      <c r="G116" s="440"/>
      <c r="H116" s="440"/>
      <c r="I116" s="440"/>
      <c r="J116" s="440"/>
    </row>
    <row r="117" spans="1:10" s="417" customFormat="1" ht="11.25">
      <c r="A117" s="659"/>
      <c r="B117" s="660" t="s">
        <v>1005</v>
      </c>
      <c r="C117" s="660"/>
      <c r="D117" s="440"/>
      <c r="E117" s="440"/>
      <c r="F117" s="440"/>
      <c r="G117" s="440"/>
      <c r="H117" s="440"/>
      <c r="I117" s="440"/>
      <c r="J117" s="440"/>
    </row>
    <row r="118" spans="1:10" s="417" customFormat="1" ht="11.25">
      <c r="A118" s="659"/>
      <c r="B118" s="661" t="s">
        <v>913</v>
      </c>
      <c r="C118" s="660"/>
      <c r="D118" s="441" t="s">
        <v>1446</v>
      </c>
      <c r="E118" s="1175">
        <v>885953</v>
      </c>
      <c r="F118" s="1175">
        <v>0</v>
      </c>
      <c r="G118" s="1175">
        <v>0</v>
      </c>
      <c r="H118" s="1175">
        <v>13151</v>
      </c>
      <c r="I118" s="1175"/>
      <c r="J118" s="1175">
        <f>SUM(E118:H118)</f>
        <v>899104</v>
      </c>
    </row>
    <row r="119" spans="1:10" s="417" customFormat="1" ht="11.25" hidden="1">
      <c r="A119" s="659"/>
      <c r="B119" s="661"/>
      <c r="C119" s="660"/>
      <c r="D119" s="441"/>
      <c r="E119" s="1175"/>
      <c r="F119" s="1175"/>
      <c r="G119" s="1175"/>
      <c r="H119" s="1175"/>
      <c r="I119" s="1175"/>
      <c r="J119" s="1175"/>
    </row>
    <row r="120" spans="1:10" s="417" customFormat="1" ht="11.25">
      <c r="A120" s="659"/>
      <c r="B120" s="661" t="s">
        <v>1508</v>
      </c>
      <c r="C120" s="440"/>
      <c r="D120" s="441" t="s">
        <v>1447</v>
      </c>
      <c r="E120" s="1175">
        <v>0</v>
      </c>
      <c r="F120" s="1175">
        <v>0</v>
      </c>
      <c r="G120" s="1175">
        <v>492339.08092700003</v>
      </c>
      <c r="H120" s="1175">
        <v>0</v>
      </c>
      <c r="I120" s="1175"/>
      <c r="J120" s="1175">
        <f>SUM(E120:H120)</f>
        <v>492339.08092700003</v>
      </c>
    </row>
    <row r="121" spans="1:10" s="417" customFormat="1" ht="11.25" hidden="1">
      <c r="A121" s="659"/>
      <c r="B121" s="890"/>
      <c r="C121" s="440"/>
      <c r="D121" s="441"/>
      <c r="E121" s="1175">
        <v>0</v>
      </c>
      <c r="F121" s="1175">
        <v>0</v>
      </c>
      <c r="G121" s="1175">
        <v>0</v>
      </c>
      <c r="H121" s="1175">
        <v>0</v>
      </c>
      <c r="I121" s="1175"/>
      <c r="J121" s="1175"/>
    </row>
    <row r="122" spans="1:10" s="417" customFormat="1" ht="11.25" hidden="1">
      <c r="A122" s="659"/>
      <c r="B122" s="661" t="s">
        <v>916</v>
      </c>
      <c r="C122" s="660"/>
      <c r="D122" s="441"/>
      <c r="E122" s="1175">
        <v>0</v>
      </c>
      <c r="F122" s="1175">
        <v>0</v>
      </c>
      <c r="G122" s="1175">
        <v>0</v>
      </c>
      <c r="H122" s="1175">
        <v>0</v>
      </c>
      <c r="I122" s="1175"/>
      <c r="J122" s="1175">
        <f>SUM(E122:H122)</f>
        <v>0</v>
      </c>
    </row>
    <row r="123" spans="1:10" s="417" customFormat="1" ht="11.25">
      <c r="A123" s="659"/>
      <c r="B123" s="661" t="s">
        <v>917</v>
      </c>
      <c r="C123" s="660"/>
      <c r="D123" s="440"/>
      <c r="E123" s="1175">
        <v>0</v>
      </c>
      <c r="F123" s="1175">
        <v>0</v>
      </c>
      <c r="G123" s="1175">
        <v>0</v>
      </c>
      <c r="H123" s="1175">
        <v>19976</v>
      </c>
      <c r="I123" s="1175"/>
      <c r="J123" s="1175">
        <f>SUM(E123:H123)</f>
        <v>19976</v>
      </c>
    </row>
    <row r="124" spans="1:10" s="417" customFormat="1" ht="11.25">
      <c r="A124" s="659"/>
      <c r="B124" s="661" t="s">
        <v>1727</v>
      </c>
      <c r="C124" s="660"/>
      <c r="D124" s="440"/>
      <c r="E124" s="1175">
        <v>0</v>
      </c>
      <c r="F124" s="1175">
        <v>0</v>
      </c>
      <c r="G124" s="1175">
        <v>0</v>
      </c>
      <c r="H124" s="1175">
        <v>11370</v>
      </c>
      <c r="I124" s="1175"/>
      <c r="J124" s="1175">
        <f>SUM(E124:H124)</f>
        <v>11370</v>
      </c>
    </row>
    <row r="125" spans="1:10" s="417" customFormat="1" ht="21" customHeight="1">
      <c r="A125" s="659"/>
      <c r="B125" s="660" t="s">
        <v>1206</v>
      </c>
      <c r="C125" s="660"/>
      <c r="D125" s="440"/>
      <c r="E125" s="1176">
        <f>SUM(E118:E124)</f>
        <v>885953</v>
      </c>
      <c r="F125" s="1176">
        <f>SUM(F118:F124)</f>
        <v>0</v>
      </c>
      <c r="G125" s="1176">
        <f>SUM(G118:G124)</f>
        <v>492339.08092700003</v>
      </c>
      <c r="H125" s="1176">
        <f>SUM(H118:H124)</f>
        <v>44497</v>
      </c>
      <c r="I125" s="1176"/>
      <c r="J125" s="1176">
        <f>SUM(J118:J124)</f>
        <v>1422789.0809269999</v>
      </c>
    </row>
    <row r="126" spans="1:10" s="417" customFormat="1" ht="11.25">
      <c r="A126" s="659"/>
      <c r="B126" s="440"/>
      <c r="C126" s="440"/>
      <c r="D126" s="440"/>
      <c r="E126" s="1175"/>
      <c r="F126" s="1175"/>
      <c r="G126" s="1175"/>
      <c r="H126" s="1175"/>
      <c r="I126" s="1175"/>
      <c r="J126" s="1175"/>
    </row>
    <row r="127" spans="1:10" s="417" customFormat="1" ht="11.25">
      <c r="A127" s="659"/>
      <c r="B127" s="660" t="s">
        <v>1207</v>
      </c>
      <c r="C127" s="660"/>
      <c r="D127" s="440"/>
      <c r="E127" s="1175"/>
      <c r="F127" s="1175"/>
      <c r="G127" s="1175"/>
      <c r="H127" s="1175"/>
      <c r="I127" s="1175"/>
      <c r="J127" s="1175"/>
    </row>
    <row r="128" spans="1:10" s="417" customFormat="1" ht="11.25">
      <c r="A128" s="662"/>
      <c r="B128" s="762" t="s">
        <v>1315</v>
      </c>
      <c r="C128" s="440"/>
      <c r="D128" s="440"/>
      <c r="E128" s="1175">
        <v>0</v>
      </c>
      <c r="F128" s="1175">
        <v>0</v>
      </c>
      <c r="G128" s="1175">
        <v>0</v>
      </c>
      <c r="H128" s="1175">
        <v>1583</v>
      </c>
      <c r="I128" s="1175"/>
      <c r="J128" s="1175">
        <f>SUM(E128:H128)</f>
        <v>1583</v>
      </c>
    </row>
    <row r="129" spans="1:10" s="417" customFormat="1" ht="11.25">
      <c r="A129" s="662"/>
      <c r="B129" s="891" t="s">
        <v>1316</v>
      </c>
      <c r="C129" s="440"/>
      <c r="D129" s="440"/>
      <c r="E129" s="1175">
        <v>0</v>
      </c>
      <c r="F129" s="1175">
        <v>0</v>
      </c>
      <c r="G129" s="1175">
        <v>0</v>
      </c>
      <c r="H129" s="1175">
        <v>169</v>
      </c>
      <c r="I129" s="1175"/>
      <c r="J129" s="1175">
        <f>SUM(E129:H129)</f>
        <v>169</v>
      </c>
    </row>
    <row r="130" spans="1:10" s="417" customFormat="1" ht="11.25">
      <c r="A130" s="662"/>
      <c r="B130" s="440" t="s">
        <v>929</v>
      </c>
      <c r="C130" s="440"/>
      <c r="D130" s="440"/>
      <c r="E130" s="1175">
        <v>0</v>
      </c>
      <c r="F130" s="1175">
        <v>0</v>
      </c>
      <c r="G130" s="1175">
        <v>0</v>
      </c>
      <c r="H130" s="1175">
        <v>47</v>
      </c>
      <c r="I130" s="1175"/>
      <c r="J130" s="1175">
        <f>SUM(E130:H130)</f>
        <v>47</v>
      </c>
    </row>
    <row r="131" spans="1:10" s="417" customFormat="1" ht="11.25">
      <c r="A131" s="662"/>
      <c r="B131" s="440" t="s">
        <v>930</v>
      </c>
      <c r="C131" s="440"/>
      <c r="D131" s="440"/>
      <c r="E131" s="1175">
        <v>0</v>
      </c>
      <c r="F131" s="1175">
        <v>0</v>
      </c>
      <c r="G131" s="1175">
        <v>0</v>
      </c>
      <c r="H131" s="1175">
        <v>2100</v>
      </c>
      <c r="I131" s="1175"/>
      <c r="J131" s="1175">
        <f>SUM(E131:H131)</f>
        <v>2100</v>
      </c>
    </row>
    <row r="132" spans="1:10" s="417" customFormat="1" ht="21" customHeight="1">
      <c r="A132" s="659"/>
      <c r="B132" s="660" t="s">
        <v>1213</v>
      </c>
      <c r="C132" s="660"/>
      <c r="D132" s="440"/>
      <c r="E132" s="1176">
        <f>SUM(E128:E131)</f>
        <v>0</v>
      </c>
      <c r="F132" s="1176">
        <f>SUM(F128:F131)</f>
        <v>0</v>
      </c>
      <c r="G132" s="1176">
        <f>SUM(G128:G131)</f>
        <v>0</v>
      </c>
      <c r="H132" s="1176">
        <f>SUM(H128:H131)</f>
        <v>3899</v>
      </c>
      <c r="I132" s="1176"/>
      <c r="J132" s="1176">
        <f>SUM(J128:J131)</f>
        <v>3899</v>
      </c>
    </row>
    <row r="133" spans="1:10" s="417" customFormat="1" ht="6" customHeight="1">
      <c r="A133" s="659"/>
      <c r="B133" s="440"/>
      <c r="C133" s="440"/>
      <c r="D133" s="440"/>
      <c r="E133" s="1175"/>
      <c r="F133" s="1175"/>
      <c r="G133" s="1175"/>
      <c r="H133" s="1175"/>
      <c r="I133" s="1175"/>
      <c r="J133" s="1175"/>
    </row>
    <row r="134" spans="1:10" s="417" customFormat="1" thickBot="1">
      <c r="A134" s="659"/>
      <c r="B134" s="660" t="s">
        <v>1208</v>
      </c>
      <c r="C134" s="660"/>
      <c r="D134" s="440"/>
      <c r="E134" s="1177">
        <f>E125-E132</f>
        <v>885953</v>
      </c>
      <c r="F134" s="1177">
        <f>F125-F132</f>
        <v>0</v>
      </c>
      <c r="G134" s="1177">
        <f>G125-G132</f>
        <v>492339.08092700003</v>
      </c>
      <c r="H134" s="1177">
        <f>H125-H132</f>
        <v>40598</v>
      </c>
      <c r="I134" s="1177"/>
      <c r="J134" s="1177">
        <f>J125-J132</f>
        <v>1418890.0809269999</v>
      </c>
    </row>
    <row r="135" spans="1:10" s="417" customFormat="1" ht="6" customHeight="1" thickTop="1">
      <c r="A135" s="659"/>
      <c r="B135" s="440"/>
      <c r="C135" s="440"/>
      <c r="D135" s="440"/>
      <c r="E135" s="1175"/>
      <c r="F135" s="1175"/>
      <c r="G135" s="1175"/>
      <c r="H135" s="1175"/>
      <c r="I135" s="1175"/>
      <c r="J135" s="1175"/>
    </row>
    <row r="136" spans="1:10" s="417" customFormat="1" thickBot="1">
      <c r="A136" s="659"/>
      <c r="B136" s="660" t="s">
        <v>1209</v>
      </c>
      <c r="C136" s="440"/>
      <c r="D136" s="440"/>
      <c r="E136" s="1177">
        <f>+E134</f>
        <v>885953</v>
      </c>
      <c r="F136" s="1177">
        <f>+F134</f>
        <v>0</v>
      </c>
      <c r="G136" s="1177">
        <f>+G134</f>
        <v>492339.08092700003</v>
      </c>
      <c r="H136" s="1177">
        <f>+H134</f>
        <v>40598</v>
      </c>
      <c r="I136" s="1177"/>
      <c r="J136" s="1177">
        <f>+J134</f>
        <v>1418890.0809269999</v>
      </c>
    </row>
    <row r="137" spans="1:10" s="417" customFormat="1" ht="6" customHeight="1" thickTop="1">
      <c r="A137" s="659"/>
      <c r="B137" s="660"/>
      <c r="C137" s="440"/>
      <c r="D137" s="440"/>
      <c r="E137" s="1178"/>
      <c r="F137" s="1178"/>
      <c r="G137" s="1178"/>
      <c r="H137" s="1178"/>
      <c r="I137" s="1178"/>
      <c r="J137" s="1178"/>
    </row>
    <row r="138" spans="1:10" s="417" customFormat="1" thickBot="1">
      <c r="A138" s="659"/>
      <c r="B138" s="660" t="s">
        <v>1210</v>
      </c>
      <c r="C138" s="440"/>
      <c r="D138" s="440"/>
      <c r="E138" s="1177">
        <f>+E136</f>
        <v>885953</v>
      </c>
      <c r="F138" s="1177">
        <f>E138+F136</f>
        <v>885953</v>
      </c>
      <c r="G138" s="1177">
        <f>F138+G136</f>
        <v>1378292.0809269999</v>
      </c>
      <c r="H138" s="1179"/>
      <c r="I138" s="1179"/>
      <c r="J138" s="1178"/>
    </row>
    <row r="139" spans="1:10" s="446" customFormat="1" ht="10.5" thickTop="1">
      <c r="A139" s="443"/>
      <c r="B139" s="444"/>
      <c r="C139" s="445"/>
      <c r="D139" s="445"/>
      <c r="E139" s="1180"/>
      <c r="F139" s="1180"/>
      <c r="G139" s="1180"/>
      <c r="H139" s="1180"/>
      <c r="I139" s="1180"/>
      <c r="J139" s="1181"/>
    </row>
  </sheetData>
  <mergeCells count="31">
    <mergeCell ref="E114:J114"/>
    <mergeCell ref="G80:G82"/>
    <mergeCell ref="E83:J83"/>
    <mergeCell ref="B108:C113"/>
    <mergeCell ref="D108:J108"/>
    <mergeCell ref="D109:D113"/>
    <mergeCell ref="E109:G109"/>
    <mergeCell ref="J109:J113"/>
    <mergeCell ref="E110:E113"/>
    <mergeCell ref="F110:F113"/>
    <mergeCell ref="H79:I82"/>
    <mergeCell ref="H109:I113"/>
    <mergeCell ref="B78:C82"/>
    <mergeCell ref="D78:J78"/>
    <mergeCell ref="D79:D82"/>
    <mergeCell ref="E79:G79"/>
    <mergeCell ref="B32:J36"/>
    <mergeCell ref="B58:J61"/>
    <mergeCell ref="H42:J42"/>
    <mergeCell ref="B65:J68"/>
    <mergeCell ref="G110:G113"/>
    <mergeCell ref="B70:J73"/>
    <mergeCell ref="B75:J76"/>
    <mergeCell ref="J79:J82"/>
    <mergeCell ref="E80:E82"/>
    <mergeCell ref="F80:F82"/>
    <mergeCell ref="B4:J5"/>
    <mergeCell ref="B7:J11"/>
    <mergeCell ref="B15:J16"/>
    <mergeCell ref="B18:J20"/>
    <mergeCell ref="B26:J28"/>
  </mergeCells>
  <pageMargins left="0.7" right="0.45" top="0.54" bottom="0.16" header="0.45" footer="0.22"/>
  <pageSetup scale="90" firstPageNumber="19" fitToWidth="0" fitToHeight="0" orientation="portrait" useFirstPageNumber="1" horizontalDpi="4294967295" verticalDpi="4294967295" r:id="rId1"/>
  <rowBreaks count="1" manualBreakCount="1">
    <brk id="61"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G394"/>
  <sheetViews>
    <sheetView showGridLines="0" view="pageBreakPreview" topLeftCell="A148" zoomScale="85" zoomScaleNormal="100" zoomScaleSheetLayoutView="85" workbookViewId="0">
      <selection activeCell="B13" sqref="B13:M13"/>
    </sheetView>
  </sheetViews>
  <sheetFormatPr defaultColWidth="9.140625" defaultRowHeight="12"/>
  <cols>
    <col min="1" max="1" width="5.85546875" style="412" customWidth="1"/>
    <col min="2" max="2" width="6.85546875" style="412" customWidth="1"/>
    <col min="3" max="3" width="9.42578125" style="412" customWidth="1"/>
    <col min="4" max="4" width="6.140625" style="412" customWidth="1"/>
    <col min="5" max="5" width="4.5703125" style="412" customWidth="1"/>
    <col min="6" max="6" width="12.5703125" style="412" customWidth="1"/>
    <col min="7" max="7" width="1" style="412" customWidth="1"/>
    <col min="8" max="8" width="12.5703125" style="412" customWidth="1"/>
    <col min="9" max="9" width="1" style="412" customWidth="1"/>
    <col min="10" max="10" width="12.5703125" style="412" customWidth="1"/>
    <col min="11" max="11" width="1" style="412" customWidth="1"/>
    <col min="12" max="12" width="15" style="412" customWidth="1"/>
    <col min="13" max="13" width="1" style="412" customWidth="1"/>
    <col min="14" max="14" width="12.140625" style="412" customWidth="1"/>
    <col min="15" max="15" width="1.5703125" style="412" customWidth="1"/>
    <col min="16" max="16" width="12.5703125" style="412" customWidth="1"/>
    <col min="17" max="17" width="10" style="412" bestFit="1" customWidth="1"/>
    <col min="18" max="18" width="27.28515625" style="412" bestFit="1" customWidth="1"/>
    <col min="19" max="19" width="12" style="412" bestFit="1" customWidth="1"/>
    <col min="20" max="20" width="10.140625" style="412" bestFit="1" customWidth="1"/>
    <col min="21" max="21" width="9.5703125" style="412" bestFit="1" customWidth="1"/>
    <col min="22" max="16384" width="9.140625" style="412"/>
  </cols>
  <sheetData>
    <row r="1" spans="1:16" ht="12.75">
      <c r="A1" s="411"/>
      <c r="B1" s="411"/>
      <c r="C1" s="411"/>
      <c r="D1" s="411"/>
      <c r="E1" s="411"/>
      <c r="F1" s="411"/>
      <c r="G1" s="411"/>
      <c r="H1" s="411"/>
      <c r="I1" s="411"/>
      <c r="J1" s="411"/>
      <c r="K1" s="411"/>
      <c r="L1" s="411"/>
      <c r="M1" s="411"/>
      <c r="N1" s="411"/>
      <c r="O1" s="411"/>
      <c r="P1" s="411"/>
    </row>
    <row r="2" spans="1:16" ht="12.75">
      <c r="A2" s="415" t="str">
        <f>'19 - 19.1.2'!A13&amp;".3"</f>
        <v>19.1.3</v>
      </c>
      <c r="B2" s="414" t="s">
        <v>1214</v>
      </c>
      <c r="C2" s="414"/>
      <c r="D2" s="414"/>
      <c r="E2" s="414"/>
      <c r="F2" s="416"/>
      <c r="G2" s="416"/>
      <c r="H2" s="416"/>
      <c r="I2" s="416"/>
      <c r="J2" s="416"/>
      <c r="K2" s="416"/>
      <c r="L2" s="416"/>
      <c r="M2" s="416"/>
      <c r="N2" s="416"/>
      <c r="O2" s="416"/>
      <c r="P2" s="416"/>
    </row>
    <row r="3" spans="1:16" ht="12.75">
      <c r="A3" s="415"/>
      <c r="B3" s="414"/>
      <c r="C3" s="414"/>
      <c r="D3" s="414"/>
      <c r="E3" s="414"/>
      <c r="F3" s="416"/>
      <c r="G3" s="416"/>
      <c r="H3" s="416"/>
      <c r="I3" s="416"/>
      <c r="J3" s="416"/>
      <c r="K3" s="416"/>
      <c r="L3" s="416"/>
      <c r="M3" s="416"/>
      <c r="N3" s="416"/>
      <c r="O3" s="416"/>
      <c r="P3" s="416"/>
    </row>
    <row r="4" spans="1:16" ht="12.75">
      <c r="A4" s="415"/>
      <c r="B4" s="2079" t="s">
        <v>1511</v>
      </c>
      <c r="C4" s="2079"/>
      <c r="D4" s="2079"/>
      <c r="E4" s="2079"/>
      <c r="F4" s="2079"/>
      <c r="G4" s="2079"/>
      <c r="H4" s="2079"/>
      <c r="I4" s="2079"/>
      <c r="J4" s="2079"/>
      <c r="K4" s="2079"/>
      <c r="L4" s="2079"/>
      <c r="M4" s="2079"/>
      <c r="N4" s="2079"/>
      <c r="O4" s="2079"/>
      <c r="P4" s="2079"/>
    </row>
    <row r="5" spans="1:16" ht="12.75">
      <c r="A5" s="415"/>
      <c r="B5" s="2079"/>
      <c r="C5" s="2079"/>
      <c r="D5" s="2079"/>
      <c r="E5" s="2079"/>
      <c r="F5" s="2079"/>
      <c r="G5" s="2079"/>
      <c r="H5" s="2079"/>
      <c r="I5" s="2079"/>
      <c r="J5" s="2079"/>
      <c r="K5" s="2079"/>
      <c r="L5" s="2079"/>
      <c r="M5" s="2079"/>
      <c r="N5" s="2079"/>
      <c r="O5" s="2079"/>
      <c r="P5" s="2079"/>
    </row>
    <row r="6" spans="1:16" ht="12.75">
      <c r="A6" s="415"/>
      <c r="B6" s="2079"/>
      <c r="C6" s="2079"/>
      <c r="D6" s="2079"/>
      <c r="E6" s="2079"/>
      <c r="F6" s="2079"/>
      <c r="G6" s="2079"/>
      <c r="H6" s="2079"/>
      <c r="I6" s="2079"/>
      <c r="J6" s="2079"/>
      <c r="K6" s="2079"/>
      <c r="L6" s="2079"/>
      <c r="M6" s="2079"/>
      <c r="N6" s="2079"/>
      <c r="O6" s="2079"/>
      <c r="P6" s="2079"/>
    </row>
    <row r="7" spans="1:16" ht="12.75">
      <c r="A7" s="415"/>
      <c r="B7" s="2079"/>
      <c r="C7" s="2079"/>
      <c r="D7" s="2079"/>
      <c r="E7" s="2079"/>
      <c r="F7" s="2079"/>
      <c r="G7" s="2079"/>
      <c r="H7" s="2079"/>
      <c r="I7" s="2079"/>
      <c r="J7" s="2079"/>
      <c r="K7" s="2079"/>
      <c r="L7" s="2079"/>
      <c r="M7" s="2079"/>
      <c r="N7" s="2079"/>
      <c r="O7" s="2079"/>
      <c r="P7" s="2079"/>
    </row>
    <row r="8" spans="1:16" ht="12.75">
      <c r="A8" s="448"/>
      <c r="B8" s="411"/>
      <c r="C8" s="411"/>
      <c r="D8" s="411"/>
      <c r="E8" s="411"/>
      <c r="F8" s="411"/>
      <c r="G8" s="411"/>
      <c r="H8" s="411"/>
      <c r="I8" s="411"/>
      <c r="J8" s="411"/>
      <c r="K8" s="411"/>
      <c r="L8" s="411"/>
      <c r="M8" s="411"/>
      <c r="N8" s="411"/>
      <c r="O8" s="411"/>
      <c r="P8" s="411"/>
    </row>
    <row r="9" spans="1:16" ht="12.75">
      <c r="A9" s="415">
        <f>'19 - 19.1.2'!A13+0.1</f>
        <v>19.200000000000003</v>
      </c>
      <c r="B9" s="414" t="s">
        <v>1215</v>
      </c>
      <c r="C9" s="414"/>
      <c r="D9" s="414"/>
      <c r="E9" s="414"/>
      <c r="F9" s="416"/>
      <c r="G9" s="416"/>
      <c r="H9" s="416"/>
      <c r="I9" s="416"/>
      <c r="J9" s="416"/>
      <c r="K9" s="416"/>
      <c r="L9" s="416"/>
      <c r="M9" s="416"/>
      <c r="N9" s="416"/>
      <c r="O9" s="416"/>
      <c r="P9" s="416"/>
    </row>
    <row r="10" spans="1:16" ht="12.75">
      <c r="A10" s="415"/>
      <c r="B10" s="416"/>
      <c r="C10" s="416"/>
      <c r="D10" s="416"/>
      <c r="E10" s="416"/>
      <c r="F10" s="416"/>
      <c r="G10" s="416"/>
      <c r="H10" s="416"/>
      <c r="I10" s="416"/>
      <c r="J10" s="416"/>
      <c r="K10" s="416"/>
      <c r="L10" s="416"/>
      <c r="M10" s="416"/>
      <c r="N10" s="416"/>
      <c r="O10" s="416"/>
      <c r="P10" s="416"/>
    </row>
    <row r="11" spans="1:16" ht="12.75">
      <c r="A11" s="415"/>
      <c r="B11" s="2203" t="s">
        <v>1723</v>
      </c>
      <c r="C11" s="2203"/>
      <c r="D11" s="2203"/>
      <c r="E11" s="2203"/>
      <c r="F11" s="2203"/>
      <c r="G11" s="2203"/>
      <c r="H11" s="2203"/>
      <c r="I11" s="2203"/>
      <c r="J11" s="2203"/>
      <c r="K11" s="2203"/>
      <c r="L11" s="2203"/>
      <c r="M11" s="2203"/>
      <c r="N11" s="2203"/>
      <c r="O11" s="2203"/>
      <c r="P11" s="2203"/>
    </row>
    <row r="12" spans="1:16" ht="12.75">
      <c r="A12" s="415"/>
      <c r="B12" s="2203"/>
      <c r="C12" s="2203"/>
      <c r="D12" s="2203"/>
      <c r="E12" s="2203"/>
      <c r="F12" s="2203"/>
      <c r="G12" s="2203"/>
      <c r="H12" s="2203"/>
      <c r="I12" s="2203"/>
      <c r="J12" s="2203"/>
      <c r="K12" s="2203"/>
      <c r="L12" s="2203"/>
      <c r="M12" s="2203"/>
      <c r="N12" s="2203"/>
      <c r="O12" s="2203"/>
      <c r="P12" s="2203"/>
    </row>
    <row r="13" spans="1:16" ht="12.75">
      <c r="A13" s="415"/>
      <c r="B13" s="2203"/>
      <c r="C13" s="2203"/>
      <c r="D13" s="2203"/>
      <c r="E13" s="2203"/>
      <c r="F13" s="2203"/>
      <c r="G13" s="2203"/>
      <c r="H13" s="2203"/>
      <c r="I13" s="2203"/>
      <c r="J13" s="2203"/>
      <c r="K13" s="2203"/>
      <c r="L13" s="2203"/>
      <c r="M13" s="2203"/>
      <c r="N13" s="2203"/>
      <c r="O13" s="2203"/>
      <c r="P13" s="2203"/>
    </row>
    <row r="14" spans="1:16" ht="12.75">
      <c r="A14" s="415"/>
      <c r="B14" s="2203"/>
      <c r="C14" s="2203"/>
      <c r="D14" s="2203"/>
      <c r="E14" s="2203"/>
      <c r="F14" s="2203"/>
      <c r="G14" s="2203"/>
      <c r="H14" s="2203"/>
      <c r="I14" s="2203"/>
      <c r="J14" s="2203"/>
      <c r="K14" s="2203"/>
      <c r="L14" s="2203"/>
      <c r="M14" s="2203"/>
      <c r="N14" s="2203"/>
      <c r="O14" s="2203"/>
      <c r="P14" s="2203"/>
    </row>
    <row r="15" spans="1:16" ht="12.75">
      <c r="A15" s="415"/>
      <c r="B15" s="2217" t="s">
        <v>1731</v>
      </c>
      <c r="C15" s="2217"/>
      <c r="D15" s="2217"/>
      <c r="E15" s="2217"/>
      <c r="F15" s="2217"/>
      <c r="G15" s="2217"/>
      <c r="H15" s="2217"/>
      <c r="I15" s="2217"/>
      <c r="J15" s="2217"/>
      <c r="K15" s="2217"/>
      <c r="L15" s="2217"/>
      <c r="M15" s="2217"/>
      <c r="N15" s="2217"/>
      <c r="O15" s="2217"/>
      <c r="P15" s="2217"/>
    </row>
    <row r="16" spans="1:16" ht="12.75">
      <c r="A16" s="415"/>
      <c r="B16" s="2217"/>
      <c r="C16" s="2217"/>
      <c r="D16" s="2217"/>
      <c r="E16" s="2217"/>
      <c r="F16" s="2217"/>
      <c r="G16" s="2217"/>
      <c r="H16" s="2217"/>
      <c r="I16" s="2217"/>
      <c r="J16" s="2217"/>
      <c r="K16" s="2217"/>
      <c r="L16" s="2217"/>
      <c r="M16" s="2217"/>
      <c r="N16" s="2217"/>
      <c r="O16" s="2217"/>
      <c r="P16" s="2217"/>
    </row>
    <row r="17" spans="1:18" ht="12.75">
      <c r="A17" s="415"/>
      <c r="B17" s="2217"/>
      <c r="C17" s="2217"/>
      <c r="D17" s="2217"/>
      <c r="E17" s="2217"/>
      <c r="F17" s="2217"/>
      <c r="G17" s="2217"/>
      <c r="H17" s="2217"/>
      <c r="I17" s="2217"/>
      <c r="J17" s="2217"/>
      <c r="K17" s="2217"/>
      <c r="L17" s="2217"/>
      <c r="M17" s="2217"/>
      <c r="N17" s="2217"/>
      <c r="O17" s="2217"/>
      <c r="P17" s="2217"/>
    </row>
    <row r="18" spans="1:18" ht="12.75">
      <c r="A18" s="415"/>
      <c r="B18" s="2217"/>
      <c r="C18" s="2217"/>
      <c r="D18" s="2217"/>
      <c r="E18" s="2217"/>
      <c r="F18" s="2217"/>
      <c r="G18" s="2217"/>
      <c r="H18" s="2217"/>
      <c r="I18" s="2217"/>
      <c r="J18" s="2217"/>
      <c r="K18" s="2217"/>
      <c r="L18" s="2217"/>
      <c r="M18" s="2217"/>
      <c r="N18" s="2217"/>
      <c r="O18" s="2217"/>
      <c r="P18" s="2217"/>
    </row>
    <row r="19" spans="1:18" ht="12.75">
      <c r="A19" s="415"/>
      <c r="B19" s="2217"/>
      <c r="C19" s="2217"/>
      <c r="D19" s="2217"/>
      <c r="E19" s="2217"/>
      <c r="F19" s="2217"/>
      <c r="G19" s="2217"/>
      <c r="H19" s="2217"/>
      <c r="I19" s="2217"/>
      <c r="J19" s="2217"/>
      <c r="K19" s="2217"/>
      <c r="L19" s="2217"/>
      <c r="M19" s="2217"/>
      <c r="N19" s="2217"/>
      <c r="O19" s="2217"/>
      <c r="P19" s="2217"/>
    </row>
    <row r="20" spans="1:18" ht="12.75">
      <c r="A20" s="415"/>
      <c r="B20" s="1248"/>
      <c r="C20" s="1248"/>
      <c r="D20" s="1248"/>
      <c r="E20" s="1248"/>
      <c r="F20" s="1248"/>
      <c r="G20" s="1248"/>
      <c r="H20" s="1248"/>
      <c r="I20" s="1248"/>
      <c r="J20" s="1248"/>
      <c r="K20" s="1248"/>
      <c r="L20" s="1248"/>
      <c r="M20" s="1248"/>
      <c r="N20" s="1248"/>
      <c r="O20" s="1248"/>
      <c r="P20" s="1248"/>
    </row>
    <row r="21" spans="1:18" ht="12.75">
      <c r="A21" s="415"/>
      <c r="B21" s="2203" t="s">
        <v>1355</v>
      </c>
      <c r="C21" s="2203"/>
      <c r="D21" s="2203"/>
      <c r="E21" s="2203"/>
      <c r="F21" s="2203"/>
      <c r="G21" s="2203"/>
      <c r="H21" s="2203"/>
      <c r="I21" s="2203"/>
      <c r="J21" s="2203"/>
      <c r="K21" s="2203"/>
      <c r="L21" s="2203"/>
      <c r="M21" s="2203"/>
      <c r="N21" s="2203"/>
      <c r="O21" s="2203"/>
      <c r="P21" s="2203"/>
    </row>
    <row r="22" spans="1:18" ht="12.75">
      <c r="A22" s="415"/>
      <c r="B22" s="2203"/>
      <c r="C22" s="2203"/>
      <c r="D22" s="2203"/>
      <c r="E22" s="2203"/>
      <c r="F22" s="2203"/>
      <c r="G22" s="2203"/>
      <c r="H22" s="2203"/>
      <c r="I22" s="2203"/>
      <c r="J22" s="2203"/>
      <c r="K22" s="2203"/>
      <c r="L22" s="2203"/>
      <c r="M22" s="2203"/>
      <c r="N22" s="2203"/>
      <c r="O22" s="2203"/>
      <c r="P22" s="2203"/>
    </row>
    <row r="23" spans="1:18" ht="12.75">
      <c r="A23" s="415"/>
      <c r="B23" s="2203"/>
      <c r="C23" s="2203"/>
      <c r="D23" s="2203"/>
      <c r="E23" s="2203"/>
      <c r="F23" s="2203"/>
      <c r="G23" s="2203"/>
      <c r="H23" s="2203"/>
      <c r="I23" s="2203"/>
      <c r="J23" s="2203"/>
      <c r="K23" s="2203"/>
      <c r="L23" s="2203"/>
      <c r="M23" s="2203"/>
      <c r="N23" s="2203"/>
      <c r="O23" s="2203"/>
      <c r="P23" s="2203"/>
    </row>
    <row r="24" spans="1:18" ht="12.75">
      <c r="A24" s="415"/>
      <c r="B24" s="2203"/>
      <c r="C24" s="2203"/>
      <c r="D24" s="2203"/>
      <c r="E24" s="2203"/>
      <c r="F24" s="2203"/>
      <c r="G24" s="2203"/>
      <c r="H24" s="2203"/>
      <c r="I24" s="2203"/>
      <c r="J24" s="2203"/>
      <c r="K24" s="2203"/>
      <c r="L24" s="2203"/>
      <c r="M24" s="2203"/>
      <c r="N24" s="2203"/>
      <c r="O24" s="2203"/>
      <c r="P24" s="2203"/>
    </row>
    <row r="25" spans="1:18" ht="12.75">
      <c r="A25" s="415"/>
      <c r="B25" s="1244"/>
      <c r="C25" s="1244"/>
      <c r="D25" s="1244"/>
      <c r="E25" s="1244"/>
      <c r="F25" s="1244"/>
      <c r="G25" s="1244"/>
      <c r="H25" s="1244"/>
      <c r="I25" s="1244"/>
      <c r="J25" s="1244"/>
      <c r="K25" s="1244"/>
      <c r="L25" s="1244"/>
      <c r="M25" s="1244"/>
      <c r="N25" s="1244"/>
      <c r="O25" s="1244"/>
      <c r="P25" s="1244"/>
      <c r="R25" s="412">
        <f>'1 - 4.2'!G136</f>
        <v>4191776.3090396738</v>
      </c>
    </row>
    <row r="26" spans="1:18" ht="12.75">
      <c r="A26" s="415"/>
      <c r="B26" s="416" t="s">
        <v>1512</v>
      </c>
      <c r="C26" s="416"/>
      <c r="D26" s="416"/>
      <c r="E26" s="416"/>
      <c r="F26" s="416"/>
      <c r="G26" s="416"/>
      <c r="H26" s="416"/>
      <c r="I26" s="416"/>
      <c r="J26" s="416"/>
      <c r="K26" s="416"/>
      <c r="L26" s="416"/>
      <c r="M26" s="416"/>
      <c r="N26" s="416"/>
      <c r="O26" s="416"/>
      <c r="P26" s="416"/>
      <c r="R26" s="412">
        <f>-'1 - 4.2'!G128</f>
        <v>-1718737.5</v>
      </c>
    </row>
    <row r="27" spans="1:18" ht="12.75">
      <c r="A27" s="415"/>
      <c r="B27" s="416"/>
      <c r="C27" s="416"/>
      <c r="D27" s="416"/>
      <c r="E27" s="416"/>
      <c r="F27" s="416"/>
      <c r="G27" s="416"/>
      <c r="H27" s="416"/>
      <c r="I27" s="416"/>
      <c r="J27" s="416"/>
      <c r="K27" s="416"/>
      <c r="L27" s="416"/>
      <c r="M27" s="416"/>
      <c r="N27" s="416"/>
      <c r="O27" s="416"/>
      <c r="P27" s="416"/>
      <c r="R27" s="412">
        <f>-'1 - 4.2'!G134</f>
        <v>0</v>
      </c>
    </row>
    <row r="28" spans="1:18" s="449" customFormat="1" ht="12.75">
      <c r="A28" s="415"/>
      <c r="B28" s="414"/>
      <c r="C28" s="414"/>
      <c r="D28" s="414"/>
      <c r="E28" s="414"/>
      <c r="F28" s="414"/>
      <c r="G28" s="414"/>
      <c r="H28" s="414"/>
      <c r="I28" s="414"/>
      <c r="J28" s="2212" t="s">
        <v>1536</v>
      </c>
      <c r="K28" s="2213"/>
      <c r="L28" s="2213"/>
      <c r="M28" s="414"/>
      <c r="N28" s="2212" t="s">
        <v>1179</v>
      </c>
      <c r="O28" s="2213"/>
      <c r="P28" s="2213"/>
    </row>
    <row r="29" spans="1:18" s="449" customFormat="1" ht="12.75">
      <c r="A29" s="415"/>
      <c r="B29" s="414"/>
      <c r="C29" s="414"/>
      <c r="D29" s="414"/>
      <c r="E29" s="414"/>
      <c r="F29" s="414"/>
      <c r="G29" s="414"/>
      <c r="H29" s="414"/>
      <c r="I29" s="414"/>
      <c r="J29" s="2214" t="s">
        <v>1216</v>
      </c>
      <c r="K29" s="666"/>
      <c r="L29" s="2214" t="s">
        <v>1217</v>
      </c>
      <c r="M29" s="666"/>
      <c r="N29" s="2214" t="s">
        <v>1216</v>
      </c>
      <c r="O29" s="666"/>
      <c r="P29" s="2214" t="s">
        <v>1217</v>
      </c>
    </row>
    <row r="30" spans="1:18" s="449" customFormat="1" ht="16.5" customHeight="1">
      <c r="A30" s="415"/>
      <c r="B30" s="414"/>
      <c r="C30" s="414"/>
      <c r="D30" s="414"/>
      <c r="E30" s="414"/>
      <c r="F30" s="414"/>
      <c r="G30" s="414"/>
      <c r="H30" s="414"/>
      <c r="I30" s="414"/>
      <c r="J30" s="2214"/>
      <c r="K30" s="666"/>
      <c r="L30" s="2214"/>
      <c r="M30" s="666"/>
      <c r="N30" s="2214"/>
      <c r="O30" s="666"/>
      <c r="P30" s="2214"/>
    </row>
    <row r="31" spans="1:18" s="449" customFormat="1" ht="12.75">
      <c r="A31" s="415"/>
      <c r="B31" s="414"/>
      <c r="C31" s="414"/>
      <c r="D31" s="414"/>
      <c r="E31" s="414"/>
      <c r="F31" s="414"/>
      <c r="G31" s="414"/>
      <c r="H31" s="414"/>
      <c r="I31" s="414"/>
      <c r="J31" s="2214"/>
      <c r="K31" s="666"/>
      <c r="L31" s="2214"/>
      <c r="M31" s="666"/>
      <c r="N31" s="2214"/>
      <c r="O31" s="666"/>
      <c r="P31" s="2214"/>
    </row>
    <row r="32" spans="1:18" s="449" customFormat="1" ht="12.75">
      <c r="A32" s="415"/>
      <c r="B32" s="414"/>
      <c r="C32" s="414"/>
      <c r="D32" s="414"/>
      <c r="E32" s="414"/>
      <c r="F32" s="414"/>
      <c r="G32" s="414"/>
      <c r="H32" s="414"/>
      <c r="I32" s="414"/>
      <c r="J32" s="2214"/>
      <c r="K32" s="666"/>
      <c r="L32" s="2214"/>
      <c r="M32" s="666"/>
      <c r="N32" s="2214"/>
      <c r="O32" s="666"/>
      <c r="P32" s="2214"/>
    </row>
    <row r="33" spans="1:21" s="449" customFormat="1" ht="12.75">
      <c r="A33" s="415"/>
      <c r="B33" s="414"/>
      <c r="C33" s="414"/>
      <c r="D33" s="414"/>
      <c r="E33" s="414"/>
      <c r="F33" s="414"/>
      <c r="G33" s="414"/>
      <c r="H33" s="414"/>
      <c r="I33" s="414"/>
      <c r="J33" s="2214"/>
      <c r="K33" s="666"/>
      <c r="L33" s="2214"/>
      <c r="M33" s="666"/>
      <c r="N33" s="2214"/>
      <c r="O33" s="666"/>
      <c r="P33" s="2214"/>
    </row>
    <row r="34" spans="1:21" s="449" customFormat="1" ht="12.75" customHeight="1">
      <c r="A34" s="415"/>
      <c r="B34" s="414"/>
      <c r="C34" s="414"/>
      <c r="D34" s="414"/>
      <c r="E34" s="414"/>
      <c r="F34" s="414"/>
      <c r="G34" s="414"/>
      <c r="H34" s="414"/>
      <c r="I34" s="414"/>
      <c r="J34" s="2215" t="s">
        <v>1204</v>
      </c>
      <c r="K34" s="2216"/>
      <c r="L34" s="2216"/>
      <c r="M34" s="2216"/>
      <c r="N34" s="2216"/>
      <c r="O34" s="2216"/>
      <c r="P34" s="2216"/>
    </row>
    <row r="35" spans="1:21" s="417" customFormat="1" ht="6.75" customHeight="1">
      <c r="A35" s="415"/>
      <c r="B35" s="416"/>
      <c r="C35" s="416"/>
      <c r="D35" s="416"/>
      <c r="E35" s="416"/>
      <c r="F35" s="416"/>
      <c r="G35" s="416"/>
      <c r="H35" s="416"/>
      <c r="I35" s="416"/>
      <c r="J35" s="416"/>
      <c r="K35" s="416"/>
      <c r="L35" s="416"/>
      <c r="M35" s="416"/>
      <c r="N35" s="416"/>
      <c r="O35" s="416"/>
      <c r="P35" s="416"/>
    </row>
    <row r="36" spans="1:21" s="417" customFormat="1" ht="12.75">
      <c r="A36" s="415"/>
      <c r="B36" s="416" t="s">
        <v>913</v>
      </c>
      <c r="C36" s="416"/>
      <c r="D36" s="416"/>
      <c r="E36" s="416"/>
      <c r="F36" s="416"/>
      <c r="G36" s="416"/>
      <c r="H36" s="416"/>
      <c r="I36" s="416"/>
      <c r="J36" s="115">
        <f>SOAL!F11</f>
        <v>4786432.6707100002</v>
      </c>
      <c r="K36" s="115"/>
      <c r="L36" s="115">
        <f>J36</f>
        <v>4786432.6707100002</v>
      </c>
      <c r="M36" s="110"/>
      <c r="N36" s="110">
        <v>899104</v>
      </c>
      <c r="O36" s="110"/>
      <c r="P36" s="110">
        <v>899104</v>
      </c>
      <c r="R36" s="450">
        <f>J36-L36</f>
        <v>0</v>
      </c>
      <c r="S36" s="450">
        <f>N36-P36</f>
        <v>0</v>
      </c>
    </row>
    <row r="37" spans="1:21" s="417" customFormat="1" ht="12.75">
      <c r="A37" s="415"/>
      <c r="B37" s="416" t="s">
        <v>915</v>
      </c>
      <c r="C37" s="416"/>
      <c r="D37" s="416"/>
      <c r="E37" s="416"/>
      <c r="F37" s="416"/>
      <c r="G37" s="416"/>
      <c r="H37" s="416"/>
      <c r="I37" s="416"/>
      <c r="J37" s="115">
        <f>SOAL!F12</f>
        <v>4191776.3090396738</v>
      </c>
      <c r="K37" s="115"/>
      <c r="L37" s="115">
        <f>'1 - 4.2'!G136-'1 - 4.2'!G128-'1 - 4.2'!G134</f>
        <v>2473038.8090396738</v>
      </c>
      <c r="M37" s="110"/>
      <c r="N37" s="110">
        <v>492339.08092700003</v>
      </c>
      <c r="O37" s="110"/>
      <c r="P37" s="110">
        <v>492339.08092700003</v>
      </c>
      <c r="R37" s="450">
        <f>(J37-L37)/1000</f>
        <v>1718.7375</v>
      </c>
      <c r="S37" s="450">
        <f>(N37-P37)/1000</f>
        <v>0</v>
      </c>
    </row>
    <row r="38" spans="1:21" s="417" customFormat="1" ht="12.75" hidden="1">
      <c r="A38" s="415"/>
      <c r="B38" s="416" t="s">
        <v>916</v>
      </c>
      <c r="C38" s="416"/>
      <c r="D38" s="416"/>
      <c r="E38" s="416"/>
      <c r="F38" s="416"/>
      <c r="G38" s="416"/>
      <c r="H38" s="416"/>
      <c r="I38" s="416"/>
      <c r="J38" s="115">
        <f>SOAL!F13</f>
        <v>85998.354689999993</v>
      </c>
      <c r="K38" s="115"/>
      <c r="L38" s="115">
        <f>J38</f>
        <v>85998.354689999993</v>
      </c>
      <c r="M38" s="110"/>
      <c r="N38" s="110">
        <v>0</v>
      </c>
      <c r="O38" s="110"/>
      <c r="P38" s="110">
        <v>0</v>
      </c>
      <c r="R38" s="450"/>
      <c r="S38" s="450"/>
    </row>
    <row r="39" spans="1:21" s="417" customFormat="1" ht="12.75">
      <c r="A39" s="415"/>
      <c r="B39" s="416" t="s">
        <v>917</v>
      </c>
      <c r="C39" s="416"/>
      <c r="D39" s="416"/>
      <c r="E39" s="416"/>
      <c r="F39" s="416"/>
      <c r="G39" s="416"/>
      <c r="H39" s="416"/>
      <c r="I39" s="416"/>
      <c r="J39" s="115">
        <f>SOAL!F16</f>
        <v>56821.36363</v>
      </c>
      <c r="K39" s="115"/>
      <c r="L39" s="115">
        <f>'5.2 - 25'!J61-'5.2 - 25'!J59</f>
        <v>9824.5003699999997</v>
      </c>
      <c r="M39" s="110"/>
      <c r="N39" s="110">
        <v>19976</v>
      </c>
      <c r="O39" s="110"/>
      <c r="P39" s="110">
        <v>19976</v>
      </c>
      <c r="R39" s="450">
        <f>(J39-L39)/1000</f>
        <v>46.996863259999998</v>
      </c>
      <c r="S39" s="450">
        <f>(N39-P39)/1000</f>
        <v>0</v>
      </c>
    </row>
    <row r="40" spans="1:21" s="417" customFormat="1" ht="12.75">
      <c r="A40" s="415"/>
      <c r="B40" s="416" t="s">
        <v>1180</v>
      </c>
      <c r="C40" s="416"/>
      <c r="D40" s="416"/>
      <c r="E40" s="416"/>
      <c r="F40" s="416"/>
      <c r="G40" s="416"/>
      <c r="H40" s="416"/>
      <c r="I40" s="416"/>
      <c r="J40" s="115">
        <f>'5.2 - 25'!J74-'5.2 - 25'!J66-'5.2 - 25'!J72</f>
        <v>6752.9219300000004</v>
      </c>
      <c r="K40" s="115"/>
      <c r="L40" s="115">
        <f>J40</f>
        <v>6752.9219300000004</v>
      </c>
      <c r="M40" s="110"/>
      <c r="N40" s="110">
        <v>11370</v>
      </c>
      <c r="O40" s="110"/>
      <c r="P40" s="110">
        <v>11370</v>
      </c>
      <c r="R40" s="450">
        <f>J40-L40</f>
        <v>0</v>
      </c>
      <c r="S40" s="450">
        <f>N40-P40</f>
        <v>0</v>
      </c>
    </row>
    <row r="41" spans="1:21" s="425" customFormat="1" ht="13.5" thickBot="1">
      <c r="A41" s="426"/>
      <c r="B41" s="432"/>
      <c r="C41" s="432"/>
      <c r="D41" s="432"/>
      <c r="E41" s="432"/>
      <c r="F41" s="432"/>
      <c r="G41" s="432"/>
      <c r="H41" s="432"/>
      <c r="I41" s="432"/>
      <c r="J41" s="698">
        <f>SUM(J36:J40)</f>
        <v>9127781.6199996751</v>
      </c>
      <c r="K41" s="699"/>
      <c r="L41" s="698">
        <f>SUM(L36:L40)</f>
        <v>7362047.2567396741</v>
      </c>
      <c r="M41" s="433"/>
      <c r="N41" s="667">
        <f>SUM(N36:N40)</f>
        <v>1422789.0809269999</v>
      </c>
      <c r="O41" s="433"/>
      <c r="P41" s="667">
        <f>SUM(P36:P40)</f>
        <v>1422789.0809269999</v>
      </c>
      <c r="R41" s="451">
        <f>(J41-L41)/1000</f>
        <v>1765.7343632600009</v>
      </c>
      <c r="S41" s="451">
        <f>(N41-P41)/1000</f>
        <v>0</v>
      </c>
      <c r="T41" s="452"/>
      <c r="U41" s="452"/>
    </row>
    <row r="42" spans="1:21" ht="13.5" thickTop="1">
      <c r="A42" s="415"/>
      <c r="B42" s="416"/>
      <c r="C42" s="416"/>
      <c r="D42" s="416"/>
      <c r="E42" s="416"/>
      <c r="F42" s="416"/>
      <c r="G42" s="416"/>
      <c r="H42" s="416"/>
      <c r="I42" s="416"/>
      <c r="J42" s="453"/>
      <c r="K42" s="110"/>
      <c r="L42" s="422"/>
      <c r="M42" s="110"/>
      <c r="N42" s="453"/>
      <c r="O42" s="110"/>
      <c r="P42" s="453"/>
    </row>
    <row r="43" spans="1:21" ht="12.75" hidden="1">
      <c r="A43" s="415"/>
      <c r="B43" s="2203" t="s">
        <v>1329</v>
      </c>
      <c r="C43" s="2203"/>
      <c r="D43" s="2203"/>
      <c r="E43" s="2203"/>
      <c r="F43" s="2203"/>
      <c r="G43" s="2203"/>
      <c r="H43" s="2203"/>
      <c r="I43" s="2203"/>
      <c r="J43" s="2203"/>
      <c r="K43" s="2203"/>
      <c r="L43" s="2203"/>
      <c r="M43" s="2203"/>
      <c r="N43" s="2203"/>
      <c r="O43" s="2203"/>
      <c r="P43" s="2203"/>
    </row>
    <row r="44" spans="1:21" ht="12.75" hidden="1">
      <c r="A44" s="415"/>
      <c r="B44" s="2203"/>
      <c r="C44" s="2203"/>
      <c r="D44" s="2203"/>
      <c r="E44" s="2203"/>
      <c r="F44" s="2203"/>
      <c r="G44" s="2203"/>
      <c r="H44" s="2203"/>
      <c r="I44" s="2203"/>
      <c r="J44" s="2203"/>
      <c r="K44" s="2203"/>
      <c r="L44" s="2203"/>
      <c r="M44" s="2203"/>
      <c r="N44" s="2203"/>
      <c r="O44" s="2203"/>
      <c r="P44" s="2203"/>
    </row>
    <row r="45" spans="1:21" ht="12.75" hidden="1">
      <c r="A45" s="415"/>
      <c r="B45" s="2203"/>
      <c r="C45" s="2203"/>
      <c r="D45" s="2203"/>
      <c r="E45" s="2203"/>
      <c r="F45" s="2203"/>
      <c r="G45" s="2203"/>
      <c r="H45" s="2203"/>
      <c r="I45" s="2203"/>
      <c r="J45" s="2203"/>
      <c r="K45" s="2203"/>
      <c r="L45" s="2203"/>
      <c r="M45" s="2203"/>
      <c r="N45" s="2203"/>
      <c r="O45" s="2203"/>
      <c r="P45" s="2203"/>
    </row>
    <row r="46" spans="1:21" ht="12.75">
      <c r="A46" s="415"/>
      <c r="B46" s="416" t="s">
        <v>1682</v>
      </c>
      <c r="C46" s="416"/>
      <c r="D46" s="416"/>
      <c r="E46" s="416"/>
      <c r="F46" s="416"/>
      <c r="G46" s="416"/>
      <c r="H46" s="416"/>
      <c r="I46" s="416"/>
      <c r="J46" s="453"/>
      <c r="K46" s="110"/>
      <c r="L46" s="453"/>
      <c r="M46" s="110"/>
      <c r="N46" s="453"/>
      <c r="O46" s="110"/>
      <c r="P46" s="453"/>
    </row>
    <row r="47" spans="1:21" ht="12.75">
      <c r="A47" s="415"/>
      <c r="B47" s="416"/>
      <c r="C47" s="416"/>
      <c r="D47" s="416"/>
      <c r="E47" s="416"/>
      <c r="F47" s="416"/>
      <c r="G47" s="416"/>
      <c r="H47" s="416"/>
      <c r="I47" s="416"/>
      <c r="J47" s="453"/>
      <c r="K47" s="110"/>
      <c r="L47" s="453"/>
      <c r="M47" s="110"/>
      <c r="N47" s="453"/>
      <c r="O47" s="110"/>
      <c r="P47" s="453"/>
    </row>
    <row r="48" spans="1:21" ht="12.75">
      <c r="A48" s="415"/>
      <c r="B48" s="884" t="s">
        <v>1450</v>
      </c>
      <c r="C48" s="416"/>
      <c r="D48" s="416"/>
      <c r="E48" s="416"/>
      <c r="F48" s="416"/>
      <c r="G48" s="416"/>
      <c r="H48" s="416"/>
      <c r="I48" s="416"/>
      <c r="J48" s="453"/>
      <c r="K48" s="110"/>
      <c r="L48" s="453"/>
      <c r="M48" s="110"/>
      <c r="N48" s="453"/>
      <c r="O48" s="110"/>
      <c r="P48" s="453"/>
    </row>
    <row r="49" spans="1:21" s="417" customFormat="1" ht="14.1" customHeight="1">
      <c r="A49" s="415"/>
      <c r="B49" s="416"/>
      <c r="C49" s="416"/>
      <c r="D49" s="416"/>
      <c r="E49" s="416"/>
      <c r="F49" s="416"/>
      <c r="G49" s="416"/>
      <c r="H49" s="416"/>
      <c r="I49" s="416"/>
      <c r="J49" s="2212" t="s">
        <v>1536</v>
      </c>
      <c r="K49" s="2213"/>
      <c r="L49" s="2213"/>
      <c r="M49" s="414"/>
      <c r="N49" s="2212" t="s">
        <v>1179</v>
      </c>
      <c r="O49" s="2213"/>
      <c r="P49" s="2213"/>
    </row>
    <row r="50" spans="1:21" s="417" customFormat="1" ht="14.1" customHeight="1">
      <c r="A50" s="415"/>
      <c r="B50" s="414" t="s">
        <v>1054</v>
      </c>
      <c r="C50" s="416"/>
      <c r="D50" s="416"/>
      <c r="E50" s="416"/>
      <c r="F50" s="416"/>
      <c r="G50" s="416"/>
      <c r="H50" s="416"/>
      <c r="I50" s="416"/>
      <c r="J50" s="454" t="s">
        <v>1218</v>
      </c>
      <c r="K50" s="454"/>
      <c r="L50" s="454" t="s">
        <v>1029</v>
      </c>
      <c r="M50" s="454"/>
      <c r="N50" s="454" t="s">
        <v>1218</v>
      </c>
      <c r="O50" s="454"/>
      <c r="P50" s="454" t="s">
        <v>1029</v>
      </c>
    </row>
    <row r="51" spans="1:21" s="417" customFormat="1" ht="14.1" customHeight="1">
      <c r="A51" s="415"/>
      <c r="B51" s="416"/>
      <c r="C51" s="416"/>
      <c r="D51" s="416"/>
      <c r="E51" s="416"/>
      <c r="F51" s="416"/>
      <c r="G51" s="416"/>
      <c r="H51" s="416"/>
      <c r="I51" s="416"/>
      <c r="J51" s="453"/>
      <c r="K51" s="110"/>
      <c r="L51" s="453"/>
      <c r="M51" s="110"/>
      <c r="N51" s="453"/>
      <c r="O51" s="110"/>
      <c r="P51" s="453"/>
    </row>
    <row r="52" spans="1:21" s="417" customFormat="1" ht="14.1" customHeight="1">
      <c r="A52" s="415"/>
      <c r="B52" s="416" t="s">
        <v>771</v>
      </c>
      <c r="C52" s="416"/>
      <c r="D52" s="416"/>
      <c r="E52" s="416"/>
      <c r="F52" s="416"/>
      <c r="G52" s="416"/>
      <c r="H52" s="416"/>
      <c r="I52" s="416"/>
      <c r="J52" s="1201">
        <v>952453</v>
      </c>
      <c r="K52" s="115"/>
      <c r="L52" s="1221">
        <f t="shared" ref="L52:L57" si="0">IF($J$59&gt;0,ROUND(J52/$J$59,4),0)*100</f>
        <v>98.17</v>
      </c>
      <c r="M52" s="110"/>
      <c r="N52" s="453">
        <v>883439</v>
      </c>
      <c r="O52" s="110"/>
      <c r="P52" s="1034">
        <v>98.26</v>
      </c>
      <c r="Q52" s="442"/>
    </row>
    <row r="53" spans="1:21" s="417" customFormat="1" ht="14.1" customHeight="1">
      <c r="A53" s="415"/>
      <c r="B53" s="416" t="s">
        <v>766</v>
      </c>
      <c r="C53" s="416"/>
      <c r="D53" s="416"/>
      <c r="E53" s="416"/>
      <c r="F53" s="416"/>
      <c r="G53" s="416"/>
      <c r="H53" s="416"/>
      <c r="I53" s="416"/>
      <c r="J53" s="1201">
        <v>17488</v>
      </c>
      <c r="K53" s="115"/>
      <c r="L53" s="1221">
        <f t="shared" si="0"/>
        <v>1.7999999999999998</v>
      </c>
      <c r="M53" s="110"/>
      <c r="N53" s="453">
        <v>7752</v>
      </c>
      <c r="O53" s="110"/>
      <c r="P53" s="1034">
        <v>0.86</v>
      </c>
      <c r="Q53" s="442"/>
    </row>
    <row r="54" spans="1:21" s="417" customFormat="1" ht="14.1" customHeight="1">
      <c r="A54" s="415"/>
      <c r="B54" s="416" t="s">
        <v>1077</v>
      </c>
      <c r="C54" s="416"/>
      <c r="D54" s="416"/>
      <c r="E54" s="416"/>
      <c r="F54" s="416"/>
      <c r="G54" s="416"/>
      <c r="H54" s="416"/>
      <c r="I54" s="416"/>
      <c r="J54" s="1201">
        <v>24</v>
      </c>
      <c r="K54" s="115"/>
      <c r="L54" s="1221">
        <f t="shared" si="0"/>
        <v>0</v>
      </c>
      <c r="M54" s="110"/>
      <c r="N54" s="453">
        <v>2352</v>
      </c>
      <c r="O54" s="110"/>
      <c r="P54" s="1034">
        <v>0.26</v>
      </c>
      <c r="Q54" s="442"/>
    </row>
    <row r="55" spans="1:21" s="417" customFormat="1" ht="14.1" customHeight="1">
      <c r="A55" s="415"/>
      <c r="B55" s="416" t="s">
        <v>767</v>
      </c>
      <c r="C55" s="416"/>
      <c r="D55" s="416"/>
      <c r="E55" s="416"/>
      <c r="F55" s="416"/>
      <c r="G55" s="416"/>
      <c r="H55" s="416"/>
      <c r="I55" s="416"/>
      <c r="J55" s="1201">
        <v>24</v>
      </c>
      <c r="K55" s="115"/>
      <c r="L55" s="1221">
        <f t="shared" si="0"/>
        <v>0</v>
      </c>
      <c r="M55" s="110"/>
      <c r="N55" s="453">
        <v>12</v>
      </c>
      <c r="O55" s="110"/>
      <c r="P55" s="1034">
        <v>0</v>
      </c>
      <c r="Q55" s="442"/>
    </row>
    <row r="56" spans="1:21" s="417" customFormat="1" ht="14.1" customHeight="1">
      <c r="A56" s="415"/>
      <c r="B56" s="416" t="s">
        <v>769</v>
      </c>
      <c r="C56" s="416"/>
      <c r="D56" s="416"/>
      <c r="E56" s="416"/>
      <c r="F56" s="416"/>
      <c r="G56" s="416"/>
      <c r="H56" s="416"/>
      <c r="I56" s="416"/>
      <c r="J56" s="1201">
        <v>67</v>
      </c>
      <c r="K56" s="115"/>
      <c r="L56" s="1221">
        <f t="shared" si="0"/>
        <v>0.01</v>
      </c>
      <c r="M56" s="110"/>
      <c r="N56" s="453">
        <v>640</v>
      </c>
      <c r="O56" s="110"/>
      <c r="P56" s="1034">
        <v>6.9999999999999993E-2</v>
      </c>
      <c r="Q56" s="442"/>
    </row>
    <row r="57" spans="1:21" s="417" customFormat="1" ht="14.1" customHeight="1">
      <c r="A57" s="415"/>
      <c r="B57" s="416" t="s">
        <v>770</v>
      </c>
      <c r="C57" s="416"/>
      <c r="D57" s="416"/>
      <c r="E57" s="416"/>
      <c r="F57" s="416"/>
      <c r="G57" s="416"/>
      <c r="H57" s="416"/>
      <c r="I57" s="416"/>
      <c r="J57" s="1201">
        <v>49</v>
      </c>
      <c r="K57" s="115"/>
      <c r="L57" s="1221">
        <f t="shared" si="0"/>
        <v>0.01</v>
      </c>
      <c r="M57" s="110"/>
      <c r="N57" s="453">
        <v>4780</v>
      </c>
      <c r="O57" s="110"/>
      <c r="P57" s="1034">
        <v>0.53</v>
      </c>
      <c r="Q57" s="442"/>
    </row>
    <row r="58" spans="1:21" s="417" customFormat="1" ht="14.1" customHeight="1">
      <c r="A58" s="415"/>
      <c r="B58" s="416" t="s">
        <v>768</v>
      </c>
      <c r="C58" s="416"/>
      <c r="D58" s="416"/>
      <c r="E58" s="416"/>
      <c r="F58" s="416"/>
      <c r="G58" s="416"/>
      <c r="H58" s="416"/>
      <c r="I58" s="416"/>
      <c r="J58" s="1201">
        <v>141</v>
      </c>
      <c r="K58" s="115"/>
      <c r="L58" s="1221">
        <f>IF($J$59&gt;0,ROUND(J58/$J$59,4),0)*100</f>
        <v>0.01</v>
      </c>
      <c r="M58" s="110"/>
      <c r="N58" s="453">
        <v>129</v>
      </c>
      <c r="O58" s="110"/>
      <c r="P58" s="1034">
        <v>0.02</v>
      </c>
      <c r="Q58" s="442"/>
    </row>
    <row r="59" spans="1:21" s="425" customFormat="1" ht="13.5" thickBot="1">
      <c r="A59" s="426"/>
      <c r="B59" s="432"/>
      <c r="C59" s="432"/>
      <c r="D59" s="432"/>
      <c r="E59" s="432"/>
      <c r="F59" s="432"/>
      <c r="G59" s="432"/>
      <c r="H59" s="432"/>
      <c r="I59" s="432"/>
      <c r="J59" s="698">
        <f>SUM(J52:J58)</f>
        <v>970246</v>
      </c>
      <c r="K59" s="699"/>
      <c r="L59" s="1202">
        <f>SUM(L52:L58)</f>
        <v>100.00000000000001</v>
      </c>
      <c r="M59" s="433"/>
      <c r="N59" s="667">
        <f>SUM(N52:N58)</f>
        <v>899104</v>
      </c>
      <c r="O59" s="433"/>
      <c r="P59" s="1035">
        <f>SUM(P52:P58)</f>
        <v>100</v>
      </c>
      <c r="Q59" s="455"/>
      <c r="S59" s="452">
        <f>SOAL!F11-J59</f>
        <v>3816186.6707100002</v>
      </c>
      <c r="U59" s="452">
        <f>SOAL!H11-N59</f>
        <v>3658790</v>
      </c>
    </row>
    <row r="60" spans="1:21" ht="17.25" customHeight="1" thickTop="1">
      <c r="A60" s="415"/>
      <c r="B60" s="416"/>
      <c r="C60" s="416"/>
      <c r="D60" s="416"/>
      <c r="E60" s="416"/>
      <c r="F60" s="416"/>
      <c r="G60" s="416"/>
      <c r="H60" s="416"/>
      <c r="I60" s="416"/>
      <c r="J60" s="453"/>
      <c r="K60" s="110"/>
      <c r="L60" s="453"/>
      <c r="M60" s="110"/>
      <c r="N60" s="453"/>
      <c r="O60" s="110"/>
      <c r="P60" s="453"/>
    </row>
    <row r="61" spans="1:21" ht="12.75">
      <c r="A61" s="415"/>
      <c r="B61" s="2218" t="s">
        <v>1761</v>
      </c>
      <c r="C61" s="2123"/>
      <c r="D61" s="2123"/>
      <c r="E61" s="2123"/>
      <c r="F61" s="2123"/>
      <c r="G61" s="2123"/>
      <c r="H61" s="2123"/>
      <c r="I61" s="2123"/>
      <c r="J61" s="2123"/>
      <c r="K61" s="2123"/>
      <c r="L61" s="2123"/>
      <c r="M61" s="2123"/>
      <c r="N61" s="2123"/>
      <c r="O61" s="2123"/>
      <c r="P61" s="2123"/>
    </row>
    <row r="62" spans="1:21" ht="12.75">
      <c r="A62" s="415"/>
      <c r="B62" s="2123"/>
      <c r="C62" s="2123"/>
      <c r="D62" s="2123"/>
      <c r="E62" s="2123"/>
      <c r="F62" s="2123"/>
      <c r="G62" s="2123"/>
      <c r="H62" s="2123"/>
      <c r="I62" s="2123"/>
      <c r="J62" s="2123"/>
      <c r="K62" s="2123"/>
      <c r="L62" s="2123"/>
      <c r="M62" s="2123"/>
      <c r="N62" s="2123"/>
      <c r="O62" s="2123"/>
      <c r="P62" s="2123"/>
    </row>
    <row r="63" spans="1:21" ht="12.75">
      <c r="A63" s="415"/>
      <c r="B63" s="1239"/>
      <c r="C63" s="1239"/>
      <c r="D63" s="1239"/>
      <c r="E63" s="1239"/>
      <c r="F63" s="1239"/>
      <c r="G63" s="1239"/>
      <c r="H63" s="1239"/>
      <c r="I63" s="1239"/>
      <c r="J63" s="1239"/>
      <c r="K63" s="1239"/>
      <c r="L63" s="1239"/>
      <c r="M63" s="1239"/>
      <c r="N63" s="1239"/>
      <c r="O63" s="1239"/>
      <c r="P63" s="1239"/>
    </row>
    <row r="64" spans="1:21" ht="12.75">
      <c r="A64" s="415"/>
      <c r="B64" s="2219" t="s">
        <v>1513</v>
      </c>
      <c r="C64" s="2219"/>
      <c r="D64" s="2219"/>
      <c r="E64" s="2219"/>
      <c r="F64" s="2219"/>
      <c r="G64" s="2219"/>
      <c r="H64" s="2219"/>
      <c r="I64" s="2219"/>
      <c r="J64" s="2219"/>
      <c r="K64" s="2219"/>
      <c r="L64" s="2219"/>
      <c r="M64" s="2219"/>
      <c r="N64" s="2219"/>
      <c r="O64" s="2219"/>
      <c r="P64" s="2219"/>
    </row>
    <row r="65" spans="1:25" ht="12.75">
      <c r="A65" s="415"/>
      <c r="B65" s="2219"/>
      <c r="C65" s="2219"/>
      <c r="D65" s="2219"/>
      <c r="E65" s="2219"/>
      <c r="F65" s="2219"/>
      <c r="G65" s="2219"/>
      <c r="H65" s="2219"/>
      <c r="I65" s="2219"/>
      <c r="J65" s="2219"/>
      <c r="K65" s="2219"/>
      <c r="L65" s="2219"/>
      <c r="M65" s="2219"/>
      <c r="N65" s="2219"/>
      <c r="O65" s="2219"/>
      <c r="P65" s="2219"/>
    </row>
    <row r="66" spans="1:25" ht="12.75">
      <c r="A66" s="415"/>
      <c r="B66" s="2219"/>
      <c r="C66" s="2219"/>
      <c r="D66" s="2219"/>
      <c r="E66" s="2219"/>
      <c r="F66" s="2219"/>
      <c r="G66" s="2219"/>
      <c r="H66" s="2219"/>
      <c r="I66" s="2219"/>
      <c r="J66" s="2219"/>
      <c r="K66" s="2219"/>
      <c r="L66" s="2219"/>
      <c r="M66" s="2219"/>
      <c r="N66" s="2219"/>
      <c r="O66" s="2219"/>
      <c r="P66" s="2219"/>
    </row>
    <row r="67" spans="1:25" ht="12.75">
      <c r="A67" s="415"/>
      <c r="B67" s="2219"/>
      <c r="C67" s="2219"/>
      <c r="D67" s="2219"/>
      <c r="E67" s="2219"/>
      <c r="F67" s="2219"/>
      <c r="G67" s="2219"/>
      <c r="H67" s="2219"/>
      <c r="I67" s="2219"/>
      <c r="J67" s="2219"/>
      <c r="K67" s="2219"/>
      <c r="L67" s="2219"/>
      <c r="M67" s="2219"/>
      <c r="N67" s="2219"/>
      <c r="O67" s="2219"/>
      <c r="P67" s="2219"/>
    </row>
    <row r="68" spans="1:25" ht="12.75">
      <c r="A68" s="415"/>
      <c r="B68" s="1249"/>
      <c r="C68" s="1249"/>
      <c r="D68" s="1249"/>
      <c r="E68" s="1249"/>
      <c r="F68" s="1249"/>
      <c r="G68" s="1249"/>
      <c r="H68" s="1249"/>
      <c r="I68" s="1249"/>
      <c r="J68" s="1249"/>
      <c r="K68" s="1249"/>
      <c r="L68" s="1249"/>
      <c r="M68" s="1249"/>
      <c r="N68" s="1249"/>
      <c r="O68" s="1249"/>
      <c r="P68" s="1249"/>
    </row>
    <row r="69" spans="1:25" ht="12.75">
      <c r="A69" s="415"/>
      <c r="B69" s="414" t="s">
        <v>1219</v>
      </c>
      <c r="C69" s="414"/>
      <c r="D69" s="414"/>
      <c r="E69" s="414"/>
      <c r="F69" s="416"/>
      <c r="G69" s="416"/>
      <c r="H69" s="416"/>
      <c r="I69" s="416"/>
      <c r="J69" s="416"/>
      <c r="K69" s="416"/>
      <c r="L69" s="416"/>
      <c r="M69" s="416"/>
      <c r="N69" s="411"/>
      <c r="O69" s="411"/>
      <c r="P69" s="411"/>
    </row>
    <row r="70" spans="1:25" ht="12.75">
      <c r="A70" s="415"/>
      <c r="B70" s="416"/>
      <c r="C70" s="416"/>
      <c r="D70" s="416"/>
      <c r="E70" s="416"/>
      <c r="F70" s="416"/>
      <c r="G70" s="416"/>
      <c r="H70" s="416"/>
      <c r="I70" s="416"/>
      <c r="J70" s="416"/>
      <c r="K70" s="416"/>
      <c r="L70" s="416"/>
      <c r="M70" s="416"/>
      <c r="N70" s="411"/>
      <c r="O70" s="411"/>
      <c r="P70" s="411"/>
    </row>
    <row r="71" spans="1:25" ht="12.75">
      <c r="A71" s="415"/>
      <c r="B71" s="2203" t="s">
        <v>1514</v>
      </c>
      <c r="C71" s="2203"/>
      <c r="D71" s="2203"/>
      <c r="E71" s="2203"/>
      <c r="F71" s="2203"/>
      <c r="G71" s="2203"/>
      <c r="H71" s="2203"/>
      <c r="I71" s="2203"/>
      <c r="J71" s="2203"/>
      <c r="K71" s="2203"/>
      <c r="L71" s="2203"/>
      <c r="M71" s="2203"/>
      <c r="N71" s="2203"/>
      <c r="O71" s="2203"/>
      <c r="P71" s="2203"/>
      <c r="Q71" s="456"/>
      <c r="R71" s="456"/>
      <c r="S71" s="456"/>
      <c r="T71" s="456"/>
      <c r="U71" s="456"/>
      <c r="V71" s="456"/>
    </row>
    <row r="72" spans="1:25" ht="12.75">
      <c r="A72" s="415"/>
      <c r="B72" s="2203"/>
      <c r="C72" s="2203"/>
      <c r="D72" s="2203"/>
      <c r="E72" s="2203"/>
      <c r="F72" s="2203"/>
      <c r="G72" s="2203"/>
      <c r="H72" s="2203"/>
      <c r="I72" s="2203"/>
      <c r="J72" s="2203"/>
      <c r="K72" s="2203"/>
      <c r="L72" s="2203"/>
      <c r="M72" s="2203"/>
      <c r="N72" s="2203"/>
      <c r="O72" s="2203"/>
      <c r="P72" s="2203"/>
      <c r="Q72" s="456"/>
      <c r="R72" s="456"/>
      <c r="S72" s="456"/>
      <c r="T72" s="456"/>
      <c r="U72" s="456"/>
      <c r="V72" s="456"/>
    </row>
    <row r="73" spans="1:25" ht="12.75">
      <c r="A73" s="415"/>
      <c r="B73" s="2203"/>
      <c r="C73" s="2203"/>
      <c r="D73" s="2203"/>
      <c r="E73" s="2203"/>
      <c r="F73" s="2203"/>
      <c r="G73" s="2203"/>
      <c r="H73" s="2203"/>
      <c r="I73" s="2203"/>
      <c r="J73" s="2203"/>
      <c r="K73" s="2203"/>
      <c r="L73" s="2203"/>
      <c r="M73" s="2203"/>
      <c r="N73" s="2203"/>
      <c r="O73" s="2203"/>
      <c r="P73" s="2203"/>
      <c r="Q73" s="456"/>
      <c r="R73" s="456"/>
      <c r="S73" s="456"/>
      <c r="T73" s="456"/>
      <c r="U73" s="456"/>
      <c r="V73" s="456"/>
    </row>
    <row r="74" spans="1:25" ht="12.75">
      <c r="A74" s="415"/>
      <c r="B74" s="416"/>
      <c r="C74" s="416"/>
      <c r="D74" s="416"/>
      <c r="E74" s="416"/>
      <c r="F74" s="416"/>
      <c r="G74" s="416"/>
      <c r="H74" s="416"/>
      <c r="I74" s="416"/>
      <c r="J74" s="416"/>
      <c r="K74" s="416"/>
      <c r="L74" s="416"/>
      <c r="M74" s="416"/>
      <c r="N74" s="760"/>
      <c r="O74" s="760"/>
      <c r="P74" s="760"/>
      <c r="Q74" s="456"/>
      <c r="R74" s="456"/>
      <c r="S74" s="456"/>
      <c r="T74" s="456"/>
      <c r="U74" s="456"/>
      <c r="V74" s="456"/>
    </row>
    <row r="75" spans="1:25" s="417" customFormat="1" ht="12.75" hidden="1">
      <c r="A75" s="415"/>
      <c r="B75" s="416"/>
      <c r="C75" s="416"/>
      <c r="D75" s="416"/>
      <c r="E75" s="416"/>
      <c r="F75" s="416"/>
      <c r="G75" s="416"/>
      <c r="H75" s="416"/>
      <c r="I75" s="416"/>
      <c r="J75" s="2212" t="s">
        <v>1179</v>
      </c>
      <c r="K75" s="2213"/>
      <c r="L75" s="2213"/>
      <c r="M75" s="414"/>
      <c r="N75" s="2212" t="s">
        <v>1181</v>
      </c>
      <c r="O75" s="2213"/>
      <c r="P75" s="2213"/>
      <c r="Q75" s="457"/>
      <c r="R75" s="457"/>
      <c r="S75" s="457"/>
      <c r="T75" s="457"/>
      <c r="U75" s="457"/>
      <c r="V75" s="457"/>
      <c r="W75" s="457"/>
      <c r="X75" s="457"/>
      <c r="Y75" s="457"/>
    </row>
    <row r="76" spans="1:25" s="417" customFormat="1" ht="12.75" hidden="1">
      <c r="A76" s="415"/>
      <c r="B76" s="416"/>
      <c r="C76" s="416"/>
      <c r="D76" s="416"/>
      <c r="E76" s="416"/>
      <c r="F76" s="416"/>
      <c r="G76" s="416"/>
      <c r="H76" s="416"/>
      <c r="I76" s="416"/>
      <c r="J76" s="454" t="s">
        <v>1218</v>
      </c>
      <c r="K76" s="454"/>
      <c r="L76" s="454" t="s">
        <v>1029</v>
      </c>
      <c r="M76" s="454"/>
      <c r="N76" s="454" t="s">
        <v>1218</v>
      </c>
      <c r="O76" s="454"/>
      <c r="P76" s="454" t="s">
        <v>1029</v>
      </c>
      <c r="Q76" s="458"/>
    </row>
    <row r="77" spans="1:25" s="417" customFormat="1" ht="12.75" hidden="1">
      <c r="A77" s="415"/>
      <c r="B77" s="416"/>
      <c r="C77" s="416"/>
      <c r="D77" s="416"/>
      <c r="E77" s="416"/>
      <c r="F77" s="416"/>
      <c r="G77" s="416"/>
      <c r="H77" s="416"/>
      <c r="I77" s="416"/>
      <c r="J77" s="669"/>
      <c r="K77" s="414"/>
      <c r="L77" s="669"/>
      <c r="M77" s="414"/>
      <c r="N77" s="669"/>
      <c r="O77" s="414"/>
      <c r="P77" s="669"/>
      <c r="V77" s="417" t="e">
        <f>SOAL!F11+'5.1.2.1 - 5.1.7'!H71-'5.1.2.1 - 5.1.7'!H69+'5.1.2.1 - 5.1.7'!#REF!+'5.2 - 25'!J54+'5.2 - 25'!J57+'5.2 - 25'!#REF!</f>
        <v>#REF!</v>
      </c>
    </row>
    <row r="78" spans="1:25" s="417" customFormat="1" ht="12.75" hidden="1">
      <c r="A78" s="415"/>
      <c r="B78" s="416" t="s">
        <v>1220</v>
      </c>
      <c r="C78" s="416"/>
      <c r="D78" s="416"/>
      <c r="E78" s="416"/>
      <c r="F78" s="416"/>
      <c r="G78" s="416"/>
      <c r="H78" s="416"/>
      <c r="I78" s="416"/>
      <c r="J78" s="110" t="e">
        <f>SOAL!F11+'5.1.2.1 - 5.1.7'!H71-'5.1.2.1 - 5.1.7'!H69+'5.1.2.1 - 5.1.7'!#REF!+'5.2 - 25'!J54+'5.2 - 25'!J57+'5.2 - 25'!#REF!</f>
        <v>#REF!</v>
      </c>
      <c r="K78" s="110"/>
      <c r="L78" s="670" t="e">
        <f>ROUND(J78/$J$87,5)</f>
        <v>#REF!</v>
      </c>
      <c r="M78" s="110"/>
      <c r="N78" s="110">
        <v>921649</v>
      </c>
      <c r="O78" s="110"/>
      <c r="P78" s="670">
        <v>0.61839999999999995</v>
      </c>
      <c r="Q78" s="417" t="e">
        <f>SOAL!F11+'5.1.2.1 - 5.1.7'!H71-'5.1.2.1 - 5.1.7'!H69+'5.1.2.1 - 5.1.7'!H28+'5.2 - 25'!J54+'5.2 - 25'!J57+'5.2 - 25'!#REF!</f>
        <v>#REF!</v>
      </c>
      <c r="R78" s="458" t="str">
        <f>B78</f>
        <v>Commercial banks</v>
      </c>
    </row>
    <row r="79" spans="1:25" s="417" customFormat="1" ht="12.75" hidden="1">
      <c r="A79" s="415"/>
      <c r="B79" s="416" t="s">
        <v>1221</v>
      </c>
      <c r="C79" s="416"/>
      <c r="D79" s="416"/>
      <c r="E79" s="416"/>
      <c r="F79" s="416"/>
      <c r="G79" s="416"/>
      <c r="H79" s="416"/>
      <c r="I79" s="416"/>
      <c r="J79" s="419">
        <f>'5.1.2.1 - 5.1.7'!H110</f>
        <v>500.75808366663</v>
      </c>
      <c r="K79" s="110"/>
      <c r="L79" s="670" t="e">
        <f t="shared" ref="L79:L86" si="1">ROUND(J79/$J$87,5)</f>
        <v>#REF!</v>
      </c>
      <c r="M79" s="110"/>
      <c r="N79" s="110">
        <v>998</v>
      </c>
      <c r="O79" s="110"/>
      <c r="P79" s="670">
        <v>6.9999999999999999E-4</v>
      </c>
      <c r="Q79" s="417">
        <f>'5.1.2.1 - 5.1.7'!H110</f>
        <v>500.75808366663</v>
      </c>
      <c r="U79" s="417" t="s">
        <v>913</v>
      </c>
      <c r="V79" s="417">
        <f>SOAL!F11</f>
        <v>4786432.6707100002</v>
      </c>
    </row>
    <row r="80" spans="1:25" s="417" customFormat="1" ht="12.75" hidden="1">
      <c r="A80" s="415"/>
      <c r="B80" s="416" t="s">
        <v>1222</v>
      </c>
      <c r="C80" s="416"/>
      <c r="D80" s="416"/>
      <c r="E80" s="416"/>
      <c r="F80" s="416"/>
      <c r="G80" s="416"/>
      <c r="H80" s="416"/>
      <c r="I80" s="416"/>
      <c r="J80" s="110">
        <f>'5.1.2.1 - 5.1.7'!H106</f>
        <v>18399.993998769201</v>
      </c>
      <c r="K80" s="110"/>
      <c r="L80" s="670" t="e">
        <f t="shared" si="1"/>
        <v>#REF!</v>
      </c>
      <c r="M80" s="110"/>
      <c r="N80" s="110">
        <v>37966</v>
      </c>
      <c r="O80" s="110"/>
      <c r="P80" s="670">
        <v>2.5499999999999998E-2</v>
      </c>
      <c r="Q80" s="417">
        <f>'5.1.2.1 - 5.1.7'!H106</f>
        <v>18399.993998769201</v>
      </c>
      <c r="U80" s="417" t="s">
        <v>1223</v>
      </c>
      <c r="V80" s="417">
        <f>'5.1.2.1 - 5.1.7'!H71</f>
        <v>276076.21461100923</v>
      </c>
    </row>
    <row r="81" spans="1:22" s="417" customFormat="1" ht="12.75" hidden="1">
      <c r="A81" s="415"/>
      <c r="B81" s="416" t="s">
        <v>1224</v>
      </c>
      <c r="C81" s="416"/>
      <c r="D81" s="416"/>
      <c r="E81" s="416"/>
      <c r="F81" s="416"/>
      <c r="G81" s="416"/>
      <c r="H81" s="416"/>
      <c r="I81" s="416"/>
      <c r="J81" s="110">
        <f>'5.1.2.1 - 5.1.7'!H69</f>
        <v>72989.31187300921</v>
      </c>
      <c r="K81" s="110"/>
      <c r="L81" s="670" t="e">
        <f t="shared" si="1"/>
        <v>#REF!</v>
      </c>
      <c r="M81" s="110"/>
      <c r="N81" s="110">
        <v>100072</v>
      </c>
      <c r="O81" s="110"/>
      <c r="P81" s="670">
        <v>6.7100000000000007E-2</v>
      </c>
      <c r="Q81" s="417" t="e">
        <f>'5.1.2.1 - 5.1.7'!H69+'5.1.2.1 - 5.1.7'!#REF!+'5.1.2.1 - 5.1.7'!H114</f>
        <v>#REF!</v>
      </c>
      <c r="R81" s="417" t="s">
        <v>1225</v>
      </c>
      <c r="U81" s="417" t="s">
        <v>1226</v>
      </c>
      <c r="V81" s="417">
        <f>-'5.1.2.1 - 5.1.7'!H69</f>
        <v>-72989.31187300921</v>
      </c>
    </row>
    <row r="82" spans="1:22" s="417" customFormat="1" ht="12.75" hidden="1">
      <c r="A82" s="415"/>
      <c r="B82" s="416" t="s">
        <v>1087</v>
      </c>
      <c r="C82" s="416"/>
      <c r="D82" s="416"/>
      <c r="E82" s="416"/>
      <c r="F82" s="416"/>
      <c r="G82" s="416"/>
      <c r="H82" s="416"/>
      <c r="I82" s="416"/>
      <c r="J82" s="110" t="e">
        <f>+'5.1.2.1 - 5.1.7'!#REF!</f>
        <v>#REF!</v>
      </c>
      <c r="K82" s="110"/>
      <c r="L82" s="670" t="e">
        <f t="shared" si="1"/>
        <v>#REF!</v>
      </c>
      <c r="M82" s="110"/>
      <c r="N82" s="110">
        <v>125216</v>
      </c>
      <c r="O82" s="110"/>
      <c r="P82" s="670">
        <v>8.4000000000000005E-2</v>
      </c>
    </row>
    <row r="83" spans="1:22" s="417" customFormat="1" ht="12.75" hidden="1">
      <c r="A83" s="415"/>
      <c r="B83" s="416" t="s">
        <v>1227</v>
      </c>
      <c r="C83" s="416"/>
      <c r="D83" s="416"/>
      <c r="E83" s="416"/>
      <c r="F83" s="416"/>
      <c r="G83" s="416"/>
      <c r="H83" s="416"/>
      <c r="I83" s="416"/>
      <c r="J83" s="110">
        <f>+'5.2 - 25'!J67+'5.2 - 25'!J70+'5.2 - 25'!J71</f>
        <v>2500</v>
      </c>
      <c r="K83" s="110"/>
      <c r="L83" s="670" t="e">
        <f t="shared" si="1"/>
        <v>#REF!</v>
      </c>
      <c r="M83" s="110"/>
      <c r="N83" s="110">
        <v>11163</v>
      </c>
      <c r="O83" s="110"/>
      <c r="P83" s="670">
        <v>7.4999999999999997E-3</v>
      </c>
      <c r="Q83" s="417">
        <f>'5.1.2.1 - 5.1.7'!H63</f>
        <v>173093.92273799999</v>
      </c>
      <c r="R83" s="417" t="s">
        <v>1228</v>
      </c>
      <c r="T83" s="459"/>
      <c r="U83" s="417" t="s">
        <v>1229</v>
      </c>
      <c r="V83" s="417" t="e">
        <f>+'5.1.2.1 - 5.1.7'!#REF!</f>
        <v>#REF!</v>
      </c>
    </row>
    <row r="84" spans="1:22" s="417" customFormat="1" ht="12.75" hidden="1">
      <c r="A84" s="415"/>
      <c r="B84" s="416" t="s">
        <v>1230</v>
      </c>
      <c r="C84" s="416"/>
      <c r="D84" s="416"/>
      <c r="E84" s="416"/>
      <c r="F84" s="416"/>
      <c r="G84" s="416"/>
      <c r="H84" s="416"/>
      <c r="I84" s="416"/>
      <c r="J84" s="110">
        <f>'5.2 - 25'!J68</f>
        <v>200</v>
      </c>
      <c r="K84" s="110"/>
      <c r="L84" s="670" t="e">
        <f t="shared" si="1"/>
        <v>#REF!</v>
      </c>
      <c r="M84" s="110"/>
      <c r="N84" s="110">
        <v>200</v>
      </c>
      <c r="O84" s="110"/>
      <c r="P84" s="670">
        <v>1E-4</v>
      </c>
      <c r="Q84" s="417">
        <f>'5.2 - 25'!J60+'5.2 - 25'!J67+'5.2 - 25'!J70</f>
        <v>2865.4920000000002</v>
      </c>
      <c r="R84" s="417" t="s">
        <v>1231</v>
      </c>
      <c r="S84" s="417" t="e">
        <f>SOAL!#REF!</f>
        <v>#REF!</v>
      </c>
      <c r="T84" s="459">
        <f>'5.2 - 25'!$J$70</f>
        <v>0</v>
      </c>
      <c r="U84" s="417" t="s">
        <v>1232</v>
      </c>
      <c r="V84" s="417">
        <f>'5.2 - 25'!J54</f>
        <v>4200.0083699999996</v>
      </c>
    </row>
    <row r="85" spans="1:22" s="417" customFormat="1" ht="12.75" hidden="1">
      <c r="A85" s="415"/>
      <c r="B85" s="416" t="str">
        <f>SOAL!$A$13</f>
        <v>Receivable against margin trading system</v>
      </c>
      <c r="C85" s="416"/>
      <c r="D85" s="416"/>
      <c r="E85" s="416"/>
      <c r="F85" s="416"/>
      <c r="G85" s="416"/>
      <c r="H85" s="416"/>
      <c r="I85" s="416"/>
      <c r="J85" s="110">
        <f>+SOAL!F13+'5.2 - 25'!J60</f>
        <v>86363.846689999991</v>
      </c>
      <c r="K85" s="110"/>
      <c r="L85" s="670" t="e">
        <f t="shared" si="1"/>
        <v>#REF!</v>
      </c>
      <c r="M85" s="110"/>
      <c r="N85" s="110">
        <v>243075</v>
      </c>
      <c r="O85" s="110"/>
      <c r="P85" s="670">
        <v>0.16309999999999999</v>
      </c>
      <c r="S85" s="417" t="str">
        <f>'5.2 - 25'!$B$71</f>
        <v>Security Deposits Against MTS</v>
      </c>
      <c r="T85" s="459">
        <f>'5.2 - 25'!$J$71</f>
        <v>0</v>
      </c>
      <c r="U85" s="417" t="s">
        <v>1233</v>
      </c>
      <c r="V85" s="417">
        <f>+'5.2 - 25'!J57</f>
        <v>5259</v>
      </c>
    </row>
    <row r="86" spans="1:22" s="417" customFormat="1" ht="12.75" hidden="1">
      <c r="A86" s="415"/>
      <c r="B86" s="416" t="s">
        <v>1128</v>
      </c>
      <c r="C86" s="416"/>
      <c r="D86" s="416"/>
      <c r="E86" s="416"/>
      <c r="F86" s="416"/>
      <c r="G86" s="416"/>
      <c r="H86" s="416"/>
      <c r="I86" s="416"/>
      <c r="J86" s="110">
        <f>'5.2 - 25'!J73+'5.1.2.1 - 5.1.7'!H63+'5.1.2.1 - 5.1.7'!H114</f>
        <v>191539.76386422879</v>
      </c>
      <c r="K86" s="110"/>
      <c r="L86" s="670" t="e">
        <f t="shared" si="1"/>
        <v>#REF!</v>
      </c>
      <c r="M86" s="110"/>
      <c r="N86" s="110">
        <v>50005</v>
      </c>
      <c r="O86" s="110"/>
      <c r="P86" s="670">
        <v>3.3599999999999998E-2</v>
      </c>
      <c r="Q86" s="417">
        <f>'5.2 - 25'!J68</f>
        <v>200</v>
      </c>
      <c r="R86" s="417" t="s">
        <v>1234</v>
      </c>
      <c r="S86" s="417" t="str">
        <f>'5.2 - 25'!$B$67</f>
        <v>Security deposit with National Clearing Company of Pakistan Limited</v>
      </c>
      <c r="T86" s="459">
        <f>'5.2 - 25'!$J$67</f>
        <v>2500</v>
      </c>
      <c r="U86" s="417" t="s">
        <v>1235</v>
      </c>
      <c r="V86" s="417" t="e">
        <f>'5.2 - 25'!#REF!</f>
        <v>#REF!</v>
      </c>
    </row>
    <row r="87" spans="1:22" s="417" customFormat="1" ht="13.5" hidden="1" thickBot="1">
      <c r="A87" s="415"/>
      <c r="B87" s="416"/>
      <c r="C87" s="416"/>
      <c r="D87" s="416"/>
      <c r="E87" s="416"/>
      <c r="F87" s="416"/>
      <c r="G87" s="416"/>
      <c r="H87" s="416"/>
      <c r="I87" s="416"/>
      <c r="J87" s="671" t="e">
        <f>SUM(J78:J86)</f>
        <v>#REF!</v>
      </c>
      <c r="K87" s="110"/>
      <c r="L87" s="672" t="e">
        <f>SUM(L78:L86)</f>
        <v>#REF!</v>
      </c>
      <c r="M87" s="110"/>
      <c r="N87" s="671">
        <f>SUM(N78:N86)</f>
        <v>1490344</v>
      </c>
      <c r="O87" s="110"/>
      <c r="P87" s="672">
        <f>SUM(P78:P86)</f>
        <v>0.99999999999999989</v>
      </c>
      <c r="Q87" s="417">
        <f>+'5.2 - 25'!J72+'5.2 - 25'!J73</f>
        <v>4288.5504000000001</v>
      </c>
      <c r="R87" s="417" t="s">
        <v>1128</v>
      </c>
      <c r="T87" s="460">
        <f>SUM(T83:T86)</f>
        <v>2500</v>
      </c>
    </row>
    <row r="88" spans="1:22" s="417" customFormat="1" ht="13.5" hidden="1" thickTop="1">
      <c r="A88" s="415"/>
      <c r="B88" s="416"/>
      <c r="C88" s="416"/>
      <c r="D88" s="416"/>
      <c r="E88" s="416"/>
      <c r="F88" s="416"/>
      <c r="G88" s="416"/>
      <c r="H88" s="416"/>
      <c r="I88" s="416"/>
      <c r="J88" s="453"/>
      <c r="K88" s="110"/>
      <c r="L88" s="668"/>
      <c r="M88" s="110"/>
      <c r="N88" s="453"/>
      <c r="O88" s="110"/>
      <c r="P88" s="668"/>
      <c r="T88" s="708"/>
    </row>
    <row r="89" spans="1:22" s="417" customFormat="1" ht="12.75">
      <c r="A89" s="415"/>
      <c r="B89" s="416"/>
      <c r="C89" s="416"/>
      <c r="D89" s="416"/>
      <c r="E89" s="416"/>
      <c r="F89" s="416"/>
      <c r="G89" s="416"/>
      <c r="H89" s="416"/>
      <c r="I89" s="416"/>
      <c r="J89" s="453"/>
      <c r="K89" s="110"/>
      <c r="L89" s="668"/>
      <c r="M89" s="110"/>
      <c r="N89" s="453"/>
      <c r="O89" s="110"/>
      <c r="P89" s="668"/>
      <c r="T89" s="708"/>
    </row>
    <row r="90" spans="1:22" s="417" customFormat="1" ht="12.75">
      <c r="A90" s="415"/>
      <c r="B90" s="414" t="s">
        <v>1356</v>
      </c>
      <c r="C90" s="416"/>
      <c r="D90" s="416"/>
      <c r="E90" s="416"/>
      <c r="F90" s="416"/>
      <c r="G90" s="416"/>
      <c r="H90" s="416"/>
      <c r="I90" s="416"/>
      <c r="J90" s="453"/>
      <c r="K90" s="110"/>
      <c r="L90" s="668"/>
      <c r="M90" s="110"/>
      <c r="N90" s="453"/>
      <c r="O90" s="110"/>
      <c r="P90" s="668"/>
      <c r="T90" s="708"/>
    </row>
    <row r="91" spans="1:22" s="417" customFormat="1" ht="12.75">
      <c r="A91" s="415"/>
      <c r="B91" s="416"/>
      <c r="C91" s="416"/>
      <c r="D91" s="416"/>
      <c r="E91" s="416"/>
      <c r="F91" s="416"/>
      <c r="G91" s="416"/>
      <c r="H91" s="416"/>
      <c r="I91" s="416"/>
      <c r="J91" s="453"/>
      <c r="K91" s="110"/>
      <c r="L91" s="668"/>
      <c r="M91" s="110"/>
      <c r="N91" s="453"/>
      <c r="O91" s="110"/>
      <c r="P91" s="668"/>
      <c r="T91" s="708"/>
    </row>
    <row r="92" spans="1:22" s="417" customFormat="1" ht="12.75">
      <c r="A92" s="415"/>
      <c r="B92" s="2219" t="s">
        <v>1515</v>
      </c>
      <c r="C92" s="2219"/>
      <c r="D92" s="2219"/>
      <c r="E92" s="2219"/>
      <c r="F92" s="2219"/>
      <c r="G92" s="2219"/>
      <c r="H92" s="2219"/>
      <c r="I92" s="2219"/>
      <c r="J92" s="2219"/>
      <c r="K92" s="2219"/>
      <c r="L92" s="2219"/>
      <c r="M92" s="2219"/>
      <c r="N92" s="2219"/>
      <c r="O92" s="2219"/>
      <c r="P92" s="2219"/>
      <c r="T92" s="708"/>
    </row>
    <row r="93" spans="1:22" s="417" customFormat="1" ht="12.75">
      <c r="A93" s="415"/>
      <c r="B93" s="2219"/>
      <c r="C93" s="2219"/>
      <c r="D93" s="2219"/>
      <c r="E93" s="2219"/>
      <c r="F93" s="2219"/>
      <c r="G93" s="2219"/>
      <c r="H93" s="2219"/>
      <c r="I93" s="2219"/>
      <c r="J93" s="2219"/>
      <c r="K93" s="2219"/>
      <c r="L93" s="2219"/>
      <c r="M93" s="2219"/>
      <c r="N93" s="2219"/>
      <c r="O93" s="2219"/>
      <c r="P93" s="2219"/>
      <c r="T93" s="708"/>
    </row>
    <row r="94" spans="1:22" s="417" customFormat="1" ht="12.75" hidden="1">
      <c r="A94" s="415"/>
      <c r="B94" s="2219"/>
      <c r="C94" s="2219"/>
      <c r="D94" s="2219"/>
      <c r="E94" s="2219"/>
      <c r="F94" s="2219"/>
      <c r="G94" s="2219"/>
      <c r="H94" s="2219"/>
      <c r="I94" s="2219"/>
      <c r="J94" s="2219"/>
      <c r="K94" s="2219"/>
      <c r="L94" s="2219"/>
      <c r="M94" s="2219"/>
      <c r="N94" s="2219"/>
      <c r="O94" s="2219"/>
      <c r="P94" s="2219"/>
      <c r="T94" s="708"/>
    </row>
    <row r="95" spans="1:22" s="417" customFormat="1" ht="12.75">
      <c r="A95" s="415"/>
      <c r="B95" s="2219"/>
      <c r="C95" s="2219"/>
      <c r="D95" s="2219"/>
      <c r="E95" s="2219"/>
      <c r="F95" s="2219"/>
      <c r="G95" s="2219"/>
      <c r="H95" s="2219"/>
      <c r="I95" s="2219"/>
      <c r="J95" s="2219"/>
      <c r="K95" s="2219"/>
      <c r="L95" s="2219"/>
      <c r="M95" s="2219"/>
      <c r="N95" s="2219"/>
      <c r="O95" s="2219"/>
      <c r="P95" s="2219"/>
      <c r="T95" s="708"/>
    </row>
    <row r="96" spans="1:22" s="417" customFormat="1" ht="12.75">
      <c r="A96" s="415"/>
      <c r="B96" s="2219"/>
      <c r="C96" s="2219"/>
      <c r="D96" s="2219"/>
      <c r="E96" s="2219"/>
      <c r="F96" s="2219"/>
      <c r="G96" s="2219"/>
      <c r="H96" s="2219"/>
      <c r="I96" s="2219"/>
      <c r="J96" s="2219"/>
      <c r="K96" s="2219"/>
      <c r="L96" s="2219"/>
      <c r="M96" s="2219"/>
      <c r="N96" s="2219"/>
      <c r="O96" s="2219"/>
      <c r="P96" s="2219"/>
      <c r="T96" s="708"/>
    </row>
    <row r="97" spans="1:18" ht="12.75">
      <c r="A97" s="415"/>
      <c r="B97" s="416"/>
      <c r="C97" s="416"/>
      <c r="D97" s="416"/>
      <c r="E97" s="416"/>
      <c r="F97" s="416"/>
      <c r="G97" s="416"/>
      <c r="H97" s="416"/>
      <c r="I97" s="416"/>
      <c r="J97" s="416"/>
      <c r="K97" s="416"/>
      <c r="L97" s="416"/>
      <c r="M97" s="416"/>
      <c r="N97" s="411"/>
      <c r="O97" s="411"/>
      <c r="P97" s="411"/>
      <c r="Q97" s="412">
        <f>'1 - 4.2'!G128+'1 - 4.2'!G134+'5.2 - 25'!J59+'5.2 - 25'!J66</f>
        <v>1726481.5050300001</v>
      </c>
      <c r="R97" s="412" t="s">
        <v>1236</v>
      </c>
    </row>
    <row r="98" spans="1:18" ht="12.75">
      <c r="A98" s="415">
        <f>'19.1.3 - 19.3'!A9+0.1</f>
        <v>19.300000000000004</v>
      </c>
      <c r="B98" s="414" t="s">
        <v>1237</v>
      </c>
      <c r="C98" s="414"/>
      <c r="D98" s="414"/>
      <c r="E98" s="414"/>
      <c r="F98" s="416"/>
      <c r="G98" s="416"/>
      <c r="H98" s="416"/>
      <c r="I98" s="416"/>
      <c r="J98" s="673"/>
      <c r="K98" s="416"/>
      <c r="L98" s="416"/>
      <c r="M98" s="416"/>
      <c r="N98" s="411"/>
      <c r="O98" s="411"/>
      <c r="P98" s="411"/>
      <c r="Q98" s="412" t="e">
        <f>SUM(Q78:Q97)</f>
        <v>#REF!</v>
      </c>
    </row>
    <row r="99" spans="1:18" ht="12.75">
      <c r="A99" s="415"/>
      <c r="B99" s="416"/>
      <c r="C99" s="416"/>
      <c r="D99" s="416"/>
      <c r="E99" s="416"/>
      <c r="F99" s="416"/>
      <c r="G99" s="416"/>
      <c r="H99" s="416"/>
      <c r="I99" s="416"/>
      <c r="J99" s="416"/>
      <c r="K99" s="416"/>
      <c r="L99" s="416"/>
      <c r="M99" s="416"/>
      <c r="N99" s="411"/>
      <c r="O99" s="411"/>
      <c r="P99" s="411"/>
      <c r="Q99" s="412">
        <f>SOAL!F18</f>
        <v>9779499.0401096735</v>
      </c>
    </row>
    <row r="100" spans="1:18" ht="12.75" hidden="1">
      <c r="A100" s="415"/>
      <c r="B100" s="2230" t="s">
        <v>1451</v>
      </c>
      <c r="C100" s="2230"/>
      <c r="D100" s="2230"/>
      <c r="E100" s="2230"/>
      <c r="F100" s="2230"/>
      <c r="G100" s="2230"/>
      <c r="H100" s="2230"/>
      <c r="I100" s="2230"/>
      <c r="J100" s="2230"/>
      <c r="K100" s="2230"/>
      <c r="L100" s="2230"/>
      <c r="M100" s="2230"/>
      <c r="N100" s="2230"/>
      <c r="O100" s="2230"/>
      <c r="P100" s="2230"/>
    </row>
    <row r="101" spans="1:18" ht="12.75" hidden="1">
      <c r="A101" s="415"/>
      <c r="B101" s="2230"/>
      <c r="C101" s="2230"/>
      <c r="D101" s="2230"/>
      <c r="E101" s="2230"/>
      <c r="F101" s="2230"/>
      <c r="G101" s="2230"/>
      <c r="H101" s="2230"/>
      <c r="I101" s="2230"/>
      <c r="J101" s="2230"/>
      <c r="K101" s="2230"/>
      <c r="L101" s="2230"/>
      <c r="M101" s="2230"/>
      <c r="N101" s="2230"/>
      <c r="O101" s="2230"/>
      <c r="P101" s="2230"/>
    </row>
    <row r="102" spans="1:18" ht="12.75" hidden="1">
      <c r="A102" s="415"/>
      <c r="B102" s="416"/>
      <c r="C102" s="416"/>
      <c r="D102" s="416"/>
      <c r="E102" s="416"/>
      <c r="F102" s="416"/>
      <c r="G102" s="416"/>
      <c r="H102" s="416"/>
      <c r="I102" s="416"/>
      <c r="J102" s="416"/>
      <c r="K102" s="416"/>
      <c r="L102" s="416"/>
      <c r="M102" s="416"/>
      <c r="N102" s="411"/>
      <c r="O102" s="411"/>
      <c r="P102" s="411"/>
    </row>
    <row r="103" spans="1:18" ht="12.75">
      <c r="A103" s="415"/>
      <c r="B103" s="2230" t="s">
        <v>1516</v>
      </c>
      <c r="C103" s="2230"/>
      <c r="D103" s="2230"/>
      <c r="E103" s="2230"/>
      <c r="F103" s="2230"/>
      <c r="G103" s="2230"/>
      <c r="H103" s="2230"/>
      <c r="I103" s="2230"/>
      <c r="J103" s="2230"/>
      <c r="K103" s="2230"/>
      <c r="L103" s="2230"/>
      <c r="M103" s="2230"/>
      <c r="N103" s="2230"/>
      <c r="O103" s="2091"/>
      <c r="P103" s="2091"/>
    </row>
    <row r="104" spans="1:18" ht="12.75">
      <c r="A104" s="415"/>
      <c r="B104" s="2230"/>
      <c r="C104" s="2230"/>
      <c r="D104" s="2230"/>
      <c r="E104" s="2230"/>
      <c r="F104" s="2230"/>
      <c r="G104" s="2230"/>
      <c r="H104" s="2230"/>
      <c r="I104" s="2230"/>
      <c r="J104" s="2230"/>
      <c r="K104" s="2230"/>
      <c r="L104" s="2230"/>
      <c r="M104" s="2230"/>
      <c r="N104" s="2230"/>
      <c r="O104" s="2091"/>
      <c r="P104" s="2091"/>
    </row>
    <row r="105" spans="1:18" ht="12.75">
      <c r="A105" s="415"/>
      <c r="B105" s="2230"/>
      <c r="C105" s="2230"/>
      <c r="D105" s="2230"/>
      <c r="E105" s="2230"/>
      <c r="F105" s="2230"/>
      <c r="G105" s="2230"/>
      <c r="H105" s="2230"/>
      <c r="I105" s="2230"/>
      <c r="J105" s="2230"/>
      <c r="K105" s="2230"/>
      <c r="L105" s="2230"/>
      <c r="M105" s="2230"/>
      <c r="N105" s="2230"/>
      <c r="O105" s="2091"/>
      <c r="P105" s="2091"/>
    </row>
    <row r="106" spans="1:18" ht="12.75">
      <c r="A106" s="415"/>
      <c r="B106" s="2230"/>
      <c r="C106" s="2230"/>
      <c r="D106" s="2230"/>
      <c r="E106" s="2230"/>
      <c r="F106" s="2230"/>
      <c r="G106" s="2230"/>
      <c r="H106" s="2230"/>
      <c r="I106" s="2230"/>
      <c r="J106" s="2230"/>
      <c r="K106" s="2230"/>
      <c r="L106" s="2230"/>
      <c r="M106" s="2230"/>
      <c r="N106" s="2230"/>
      <c r="O106" s="2091"/>
      <c r="P106" s="2091"/>
    </row>
    <row r="107" spans="1:18" ht="12.75">
      <c r="A107" s="415"/>
      <c r="B107" s="2230"/>
      <c r="C107" s="2230"/>
      <c r="D107" s="2230"/>
      <c r="E107" s="2230"/>
      <c r="F107" s="2230"/>
      <c r="G107" s="2230"/>
      <c r="H107" s="2230"/>
      <c r="I107" s="2230"/>
      <c r="J107" s="2230"/>
      <c r="K107" s="2230"/>
      <c r="L107" s="2230"/>
      <c r="M107" s="2230"/>
      <c r="N107" s="2230"/>
      <c r="O107" s="2091"/>
      <c r="P107" s="2091"/>
    </row>
    <row r="108" spans="1:18" ht="12.75">
      <c r="A108" s="415"/>
      <c r="B108" s="416"/>
      <c r="C108" s="416"/>
      <c r="D108" s="416"/>
      <c r="E108" s="416"/>
      <c r="F108" s="416"/>
      <c r="G108" s="416"/>
      <c r="H108" s="416"/>
      <c r="I108" s="416"/>
      <c r="J108" s="416"/>
      <c r="K108" s="416"/>
      <c r="L108" s="416"/>
      <c r="M108" s="416"/>
      <c r="N108" s="411"/>
      <c r="O108" s="411"/>
      <c r="P108" s="411"/>
    </row>
    <row r="109" spans="1:18" ht="12.75">
      <c r="A109" s="415"/>
      <c r="B109" s="2230" t="s">
        <v>1517</v>
      </c>
      <c r="C109" s="2230"/>
      <c r="D109" s="2230"/>
      <c r="E109" s="2230"/>
      <c r="F109" s="2230"/>
      <c r="G109" s="2230"/>
      <c r="H109" s="2230"/>
      <c r="I109" s="2230"/>
      <c r="J109" s="2230"/>
      <c r="K109" s="2230"/>
      <c r="L109" s="2230"/>
      <c r="M109" s="2230"/>
      <c r="N109" s="2230"/>
      <c r="O109" s="2091"/>
      <c r="P109" s="2091"/>
    </row>
    <row r="110" spans="1:18" ht="12.75" hidden="1" customHeight="1">
      <c r="A110" s="415"/>
      <c r="B110" s="2230"/>
      <c r="C110" s="2230"/>
      <c r="D110" s="2230"/>
      <c r="E110" s="2230"/>
      <c r="F110" s="2230"/>
      <c r="G110" s="2230"/>
      <c r="H110" s="2230"/>
      <c r="I110" s="2230"/>
      <c r="J110" s="2230"/>
      <c r="K110" s="2230"/>
      <c r="L110" s="2230"/>
      <c r="M110" s="2230"/>
      <c r="N110" s="2230"/>
      <c r="O110" s="2091"/>
      <c r="P110" s="2091"/>
    </row>
    <row r="111" spans="1:18" ht="12.75" hidden="1" customHeight="1">
      <c r="A111" s="415"/>
      <c r="B111" s="2230"/>
      <c r="C111" s="2230"/>
      <c r="D111" s="2230"/>
      <c r="E111" s="2230"/>
      <c r="F111" s="2230"/>
      <c r="G111" s="2230"/>
      <c r="H111" s="2230"/>
      <c r="I111" s="2230"/>
      <c r="J111" s="2230"/>
      <c r="K111" s="2230"/>
      <c r="L111" s="2230"/>
      <c r="M111" s="2230"/>
      <c r="N111" s="2230"/>
      <c r="O111" s="2091"/>
      <c r="P111" s="2091"/>
    </row>
    <row r="112" spans="1:18" ht="12.75">
      <c r="A112" s="415"/>
      <c r="B112" s="2091"/>
      <c r="C112" s="2091"/>
      <c r="D112" s="2091"/>
      <c r="E112" s="2091"/>
      <c r="F112" s="2091"/>
      <c r="G112" s="2091"/>
      <c r="H112" s="2091"/>
      <c r="I112" s="2091"/>
      <c r="J112" s="2091"/>
      <c r="K112" s="2091"/>
      <c r="L112" s="2091"/>
      <c r="M112" s="2091"/>
      <c r="N112" s="2091"/>
      <c r="O112" s="2091"/>
      <c r="P112" s="2091"/>
    </row>
    <row r="113" spans="1:20" ht="15">
      <c r="A113" s="415"/>
      <c r="B113" s="1235"/>
      <c r="C113" s="1235"/>
      <c r="D113" s="1235"/>
      <c r="E113" s="1235"/>
      <c r="F113" s="1235"/>
      <c r="G113" s="1235"/>
      <c r="H113" s="1235"/>
      <c r="I113" s="1235"/>
      <c r="J113" s="1235"/>
      <c r="K113" s="1235"/>
      <c r="L113" s="1235"/>
      <c r="M113" s="1235"/>
      <c r="N113" s="1235"/>
      <c r="O113" s="1235"/>
      <c r="P113" s="1235"/>
      <c r="R113" s="412">
        <f>+'5.1.2.1 - 5.1.7'!H62</f>
        <v>29992.98</v>
      </c>
    </row>
    <row r="114" spans="1:20" ht="12.75">
      <c r="A114" s="415"/>
      <c r="B114" s="2230" t="s">
        <v>1518</v>
      </c>
      <c r="C114" s="2230"/>
      <c r="D114" s="2230"/>
      <c r="E114" s="2230"/>
      <c r="F114" s="2230"/>
      <c r="G114" s="2230"/>
      <c r="H114" s="2230"/>
      <c r="I114" s="2230"/>
      <c r="J114" s="2230"/>
      <c r="K114" s="2230"/>
      <c r="L114" s="2230"/>
      <c r="M114" s="2230"/>
      <c r="N114" s="2230"/>
      <c r="O114" s="2091"/>
      <c r="P114" s="2091"/>
    </row>
    <row r="115" spans="1:20" ht="12.75" hidden="1">
      <c r="A115" s="415"/>
      <c r="B115" s="2230"/>
      <c r="C115" s="2230"/>
      <c r="D115" s="2230"/>
      <c r="E115" s="2230"/>
      <c r="F115" s="2230"/>
      <c r="G115" s="2230"/>
      <c r="H115" s="2230"/>
      <c r="I115" s="2230"/>
      <c r="J115" s="2230"/>
      <c r="K115" s="2230"/>
      <c r="L115" s="2230"/>
      <c r="M115" s="2230"/>
      <c r="N115" s="2230"/>
      <c r="O115" s="2091"/>
      <c r="P115" s="2091"/>
    </row>
    <row r="116" spans="1:20" ht="12.75" hidden="1">
      <c r="A116" s="415"/>
      <c r="B116" s="2230"/>
      <c r="C116" s="2230"/>
      <c r="D116" s="2230"/>
      <c r="E116" s="2230"/>
      <c r="F116" s="2230"/>
      <c r="G116" s="2230"/>
      <c r="H116" s="2230"/>
      <c r="I116" s="2230"/>
      <c r="J116" s="2230"/>
      <c r="K116" s="2230"/>
      <c r="L116" s="2230"/>
      <c r="M116" s="2230"/>
      <c r="N116" s="2230"/>
      <c r="O116" s="2091"/>
      <c r="P116" s="2091"/>
    </row>
    <row r="117" spans="1:20" ht="12.75">
      <c r="A117" s="415"/>
      <c r="B117" s="2230"/>
      <c r="C117" s="2230"/>
      <c r="D117" s="2230"/>
      <c r="E117" s="2230"/>
      <c r="F117" s="2230"/>
      <c r="G117" s="2230"/>
      <c r="H117" s="2230"/>
      <c r="I117" s="2230"/>
      <c r="J117" s="2230"/>
      <c r="K117" s="2230"/>
      <c r="L117" s="2230"/>
      <c r="M117" s="2230"/>
      <c r="N117" s="2230"/>
      <c r="O117" s="2091"/>
      <c r="P117" s="2091"/>
    </row>
    <row r="118" spans="1:20" ht="12.75">
      <c r="A118" s="415"/>
      <c r="B118" s="2230"/>
      <c r="C118" s="2230"/>
      <c r="D118" s="2230"/>
      <c r="E118" s="2230"/>
      <c r="F118" s="2230"/>
      <c r="G118" s="2230"/>
      <c r="H118" s="2230"/>
      <c r="I118" s="2230"/>
      <c r="J118" s="2230"/>
      <c r="K118" s="2230"/>
      <c r="L118" s="2230"/>
      <c r="M118" s="2230"/>
      <c r="N118" s="2230"/>
      <c r="O118" s="2091"/>
      <c r="P118" s="2091"/>
      <c r="R118" s="412">
        <f>'1 - 4.2'!G128</f>
        <v>1718737.5</v>
      </c>
    </row>
    <row r="119" spans="1:20" ht="12.75">
      <c r="A119" s="415"/>
      <c r="B119" s="416"/>
      <c r="C119" s="416"/>
      <c r="D119" s="416"/>
      <c r="E119" s="416"/>
      <c r="F119" s="416"/>
      <c r="G119" s="416"/>
      <c r="H119" s="416"/>
      <c r="I119" s="416"/>
      <c r="J119" s="416"/>
      <c r="K119" s="416"/>
      <c r="L119" s="416"/>
      <c r="M119" s="416"/>
      <c r="N119" s="411"/>
      <c r="O119" s="411"/>
      <c r="P119" s="411"/>
      <c r="R119" s="412">
        <f>+'1 - 4.2'!G134</f>
        <v>0</v>
      </c>
    </row>
    <row r="120" spans="1:20" ht="15">
      <c r="A120" s="415"/>
      <c r="B120" s="2230"/>
      <c r="C120" s="2230"/>
      <c r="D120" s="2230"/>
      <c r="E120" s="2230"/>
      <c r="F120" s="2230"/>
      <c r="G120" s="2230"/>
      <c r="H120" s="2230"/>
      <c r="I120" s="2230"/>
      <c r="J120" s="2230"/>
      <c r="K120" s="2230"/>
      <c r="L120" s="2230"/>
      <c r="M120" s="2230"/>
      <c r="N120" s="2230"/>
      <c r="O120" s="2091"/>
      <c r="P120" s="2091"/>
      <c r="R120" s="412" t="e">
        <f>+'5 - 5.1.2'!#REF!</f>
        <v>#REF!</v>
      </c>
    </row>
    <row r="121" spans="1:20" ht="12.75">
      <c r="A121" s="411"/>
      <c r="B121" s="411"/>
      <c r="C121" s="411"/>
      <c r="D121" s="411"/>
      <c r="E121" s="411"/>
      <c r="F121" s="411"/>
      <c r="G121" s="411"/>
      <c r="H121" s="411"/>
      <c r="I121" s="411"/>
      <c r="J121" s="411"/>
      <c r="K121" s="411"/>
      <c r="L121" s="411"/>
      <c r="M121" s="411"/>
      <c r="N121" s="411"/>
      <c r="O121" s="411"/>
      <c r="P121" s="411"/>
      <c r="R121" s="412" t="e">
        <f>+'5.1.2.1 - 5.1.7'!#REF!</f>
        <v>#REF!</v>
      </c>
    </row>
    <row r="122" spans="1:20" s="898" customFormat="1" ht="12.75">
      <c r="A122" s="676"/>
      <c r="B122" s="894"/>
      <c r="C122" s="678"/>
      <c r="D122" s="678"/>
      <c r="E122" s="678"/>
      <c r="F122" s="895" t="s">
        <v>1238</v>
      </c>
      <c r="G122" s="679"/>
      <c r="H122" s="896" t="s">
        <v>1332</v>
      </c>
      <c r="I122" s="896"/>
      <c r="J122" s="896" t="s">
        <v>1333</v>
      </c>
      <c r="K122" s="896"/>
      <c r="L122" s="896" t="s">
        <v>1334</v>
      </c>
      <c r="M122" s="674"/>
      <c r="N122" s="896" t="s">
        <v>1239</v>
      </c>
      <c r="O122" s="897"/>
      <c r="P122" s="680"/>
      <c r="R122" s="898">
        <v>898</v>
      </c>
    </row>
    <row r="123" spans="1:20" s="898" customFormat="1" ht="12.75">
      <c r="A123" s="676"/>
      <c r="B123" s="899" t="s">
        <v>1536</v>
      </c>
      <c r="C123" s="678"/>
      <c r="D123" s="678"/>
      <c r="E123" s="678"/>
      <c r="F123" s="900" t="s">
        <v>1240</v>
      </c>
      <c r="G123" s="901"/>
      <c r="H123" s="900" t="s">
        <v>1241</v>
      </c>
      <c r="I123" s="901"/>
      <c r="J123" s="902" t="s">
        <v>1241</v>
      </c>
      <c r="K123" s="901"/>
      <c r="L123" s="902" t="s">
        <v>1242</v>
      </c>
      <c r="M123" s="674"/>
      <c r="N123" s="902" t="s">
        <v>1243</v>
      </c>
      <c r="O123" s="902"/>
      <c r="P123" s="903" t="s">
        <v>783</v>
      </c>
      <c r="R123" s="898" t="e">
        <f>SUM(R118:R122)</f>
        <v>#REF!</v>
      </c>
    </row>
    <row r="124" spans="1:20" s="898" customFormat="1" ht="12.75">
      <c r="A124" s="676"/>
      <c r="B124" s="904"/>
      <c r="C124" s="678"/>
      <c r="D124" s="678"/>
      <c r="E124" s="678"/>
      <c r="F124" s="2221" t="s">
        <v>1244</v>
      </c>
      <c r="G124" s="2221"/>
      <c r="H124" s="2221"/>
      <c r="I124" s="2221"/>
      <c r="J124" s="2221"/>
      <c r="K124" s="2221"/>
      <c r="L124" s="2221"/>
      <c r="M124" s="2221"/>
      <c r="N124" s="2221"/>
      <c r="O124" s="2221"/>
      <c r="P124" s="2221"/>
    </row>
    <row r="125" spans="1:20" s="898" customFormat="1" ht="12" customHeight="1">
      <c r="A125" s="676"/>
      <c r="B125" s="905" t="s">
        <v>1005</v>
      </c>
      <c r="C125" s="678"/>
      <c r="D125" s="678"/>
      <c r="E125" s="678"/>
      <c r="F125" s="679"/>
      <c r="G125" s="679"/>
      <c r="H125" s="679"/>
      <c r="I125" s="679"/>
      <c r="J125" s="679"/>
      <c r="K125" s="679"/>
      <c r="L125" s="679"/>
      <c r="M125" s="674"/>
      <c r="N125" s="674"/>
      <c r="O125" s="679"/>
      <c r="P125" s="680"/>
    </row>
    <row r="126" spans="1:20" s="898" customFormat="1" ht="12" customHeight="1">
      <c r="A126" s="676"/>
      <c r="B126" s="430" t="s">
        <v>913</v>
      </c>
      <c r="C126" s="678"/>
      <c r="D126" s="678"/>
      <c r="E126" s="678"/>
      <c r="F126" s="1182">
        <f>'18'!F38</f>
        <v>4786432.6707100002</v>
      </c>
      <c r="G126" s="913"/>
      <c r="H126" s="1182">
        <v>0</v>
      </c>
      <c r="I126" s="913"/>
      <c r="J126" s="1182">
        <v>0</v>
      </c>
      <c r="K126" s="913"/>
      <c r="L126" s="1182">
        <v>0</v>
      </c>
      <c r="M126" s="914"/>
      <c r="N126" s="1182">
        <v>0</v>
      </c>
      <c r="O126" s="913"/>
      <c r="P126" s="1182">
        <f>SUM(F126:N126)</f>
        <v>4786432.6707100002</v>
      </c>
    </row>
    <row r="127" spans="1:20" s="898" customFormat="1" ht="12" customHeight="1">
      <c r="A127" s="676"/>
      <c r="B127" s="430" t="s">
        <v>915</v>
      </c>
      <c r="C127" s="678"/>
      <c r="D127" s="678"/>
      <c r="E127" s="678"/>
      <c r="F127" s="1183">
        <v>0</v>
      </c>
      <c r="G127" s="913"/>
      <c r="H127" s="1183" t="e">
        <f>'5 - 5.1.2'!I23+'5.1.2.1 - 5.1.7'!#REF!</f>
        <v>#REF!</v>
      </c>
      <c r="I127" s="913"/>
      <c r="J127" s="1183" t="e">
        <f>'5 - 5.1.2'!#REF!+'5.1.2.1 - 5.1.7'!#REF!</f>
        <v>#REF!</v>
      </c>
      <c r="K127" s="913"/>
      <c r="L127" s="1183" t="e">
        <f>'5.1.2.1 - 5.1.7'!#REF!+'5.1.2.1 - 5.1.7'!#REF!+'5.1.2.1 - 5.1.7'!#REF!+'5.1.2.1 - 5.1.7'!H106+'5.1.2.1 - 5.1.7'!H110+'5.1.2.1 - 5.1.7'!H114+'5.1.2.1 - 5.1.7'!H69</f>
        <v>#REF!</v>
      </c>
      <c r="M127" s="914"/>
      <c r="N127" s="1183" t="e">
        <f>'5.1.2.1 - 5.1.7'!#REF!+'5.1.2.1 - 5.1.7'!#REF!+'5.1.2.1 - 5.1.7'!H63+'5.1.2.1 - 5.1.7'!#REF!+'5.1.2.1 - 5.1.7'!H62</f>
        <v>#REF!</v>
      </c>
      <c r="O127" s="913"/>
      <c r="P127" s="1183" t="e">
        <f>SUM(F127:N127)</f>
        <v>#REF!</v>
      </c>
      <c r="Q127" s="1295">
        <f>'1 - 4.2'!G136</f>
        <v>4191776.3090396738</v>
      </c>
      <c r="R127" s="1295" t="e">
        <f>Q127-P127</f>
        <v>#REF!</v>
      </c>
      <c r="T127" s="898" t="e">
        <f>'5 - 5.1.2'!#REF!</f>
        <v>#REF!</v>
      </c>
    </row>
    <row r="128" spans="1:20" s="898" customFormat="1" ht="12" customHeight="1">
      <c r="A128" s="676"/>
      <c r="B128" s="430" t="s">
        <v>917</v>
      </c>
      <c r="C128" s="678"/>
      <c r="D128" s="678"/>
      <c r="E128" s="678"/>
      <c r="F128" s="1183">
        <f>'18'!F39</f>
        <v>13382.02053</v>
      </c>
      <c r="G128" s="913"/>
      <c r="H128" s="1183">
        <v>0</v>
      </c>
      <c r="I128" s="913"/>
      <c r="J128" s="1183">
        <v>0</v>
      </c>
      <c r="K128" s="913"/>
      <c r="L128" s="1183">
        <v>0</v>
      </c>
      <c r="M128" s="914"/>
      <c r="N128" s="1183">
        <v>0</v>
      </c>
      <c r="O128" s="913"/>
      <c r="P128" s="1183">
        <f>SUM(F128:N128)</f>
        <v>13382.02053</v>
      </c>
      <c r="R128" s="898" t="e">
        <f>'5 - 5.1.2'!#REF!</f>
        <v>#REF!</v>
      </c>
      <c r="T128" s="1220" t="e">
        <f>'5.1.2.1 - 5.1.7'!#REF!</f>
        <v>#REF!</v>
      </c>
    </row>
    <row r="129" spans="1:20" s="898" customFormat="1" ht="12" customHeight="1">
      <c r="A129" s="676"/>
      <c r="B129" s="430" t="s">
        <v>1760</v>
      </c>
      <c r="C129" s="678"/>
      <c r="D129" s="678"/>
      <c r="E129" s="678"/>
      <c r="F129" s="1183"/>
      <c r="G129" s="913"/>
      <c r="H129" s="1183"/>
      <c r="I129" s="913"/>
      <c r="J129" s="1183"/>
      <c r="K129" s="913"/>
      <c r="L129" s="1183"/>
      <c r="M129" s="914"/>
      <c r="N129" s="1183"/>
      <c r="O129" s="913"/>
      <c r="P129" s="1183"/>
      <c r="T129" s="1220"/>
    </row>
    <row r="130" spans="1:20" s="898" customFormat="1" ht="12" customHeight="1">
      <c r="A130" s="676"/>
      <c r="B130" s="1296" t="s">
        <v>1759</v>
      </c>
      <c r="C130" s="678"/>
      <c r="D130" s="678"/>
      <c r="E130" s="678"/>
      <c r="F130" s="1184">
        <f>'18'!F40</f>
        <v>6752.9219300000004</v>
      </c>
      <c r="G130" s="913"/>
      <c r="H130" s="1184">
        <v>0</v>
      </c>
      <c r="I130" s="913"/>
      <c r="J130" s="1184">
        <v>0</v>
      </c>
      <c r="K130" s="913"/>
      <c r="L130" s="1184">
        <v>0</v>
      </c>
      <c r="M130" s="914"/>
      <c r="N130" s="1184">
        <v>0</v>
      </c>
      <c r="O130" s="913"/>
      <c r="P130" s="1184">
        <f>SUM(F130:N130)</f>
        <v>6752.9219300000004</v>
      </c>
      <c r="R130" s="898" t="e">
        <f>+'5.1.2.1 - 5.1.7'!#REF!</f>
        <v>#REF!</v>
      </c>
      <c r="T130" s="898" t="e">
        <f>+'5.1.2.1 - 5.1.7'!#REF!</f>
        <v>#REF!</v>
      </c>
    </row>
    <row r="131" spans="1:20" s="898" customFormat="1" ht="12.75">
      <c r="A131" s="676"/>
      <c r="B131" s="430"/>
      <c r="C131" s="678"/>
      <c r="D131" s="678"/>
      <c r="E131" s="678"/>
      <c r="F131" s="913">
        <f>SUM(F126:F130)</f>
        <v>4806567.6131700007</v>
      </c>
      <c r="G131" s="913"/>
      <c r="H131" s="913" t="e">
        <f>SUM(H126:H130)</f>
        <v>#REF!</v>
      </c>
      <c r="I131" s="913"/>
      <c r="J131" s="913" t="e">
        <f>SUM(J126:J130)</f>
        <v>#REF!</v>
      </c>
      <c r="K131" s="913"/>
      <c r="L131" s="913" t="e">
        <f>SUM(L126:L130)</f>
        <v>#REF!</v>
      </c>
      <c r="M131" s="914"/>
      <c r="N131" s="913" t="e">
        <f>SUM(N126:N130)</f>
        <v>#REF!</v>
      </c>
      <c r="O131" s="913"/>
      <c r="P131" s="913" t="e">
        <f>SUM(P126:P130)</f>
        <v>#REF!</v>
      </c>
    </row>
    <row r="132" spans="1:20" s="898" customFormat="1" ht="12" customHeight="1">
      <c r="A132" s="676"/>
      <c r="B132" s="905"/>
      <c r="C132" s="678"/>
      <c r="D132" s="678"/>
      <c r="E132" s="678"/>
      <c r="F132" s="913"/>
      <c r="G132" s="913"/>
      <c r="H132" s="913"/>
      <c r="I132" s="913"/>
      <c r="J132" s="913"/>
      <c r="K132" s="913"/>
      <c r="L132" s="913"/>
      <c r="M132" s="914"/>
      <c r="N132" s="913"/>
      <c r="O132" s="913"/>
      <c r="P132" s="913"/>
    </row>
    <row r="133" spans="1:20" s="920" customFormat="1" ht="12" customHeight="1">
      <c r="A133" s="676"/>
      <c r="B133" s="919" t="s">
        <v>1207</v>
      </c>
      <c r="C133" s="678"/>
      <c r="D133" s="678"/>
      <c r="E133" s="678"/>
      <c r="F133" s="913"/>
      <c r="G133" s="913"/>
      <c r="H133" s="913"/>
      <c r="I133" s="913"/>
      <c r="J133" s="913"/>
      <c r="K133" s="913"/>
      <c r="L133" s="913"/>
      <c r="M133" s="960"/>
      <c r="N133" s="913"/>
      <c r="O133" s="913"/>
      <c r="P133" s="913"/>
    </row>
    <row r="134" spans="1:20" s="898" customFormat="1" ht="25.5" customHeight="1">
      <c r="A134" s="676"/>
      <c r="B134" s="2227" t="s">
        <v>1525</v>
      </c>
      <c r="C134" s="1913"/>
      <c r="D134" s="1913"/>
      <c r="E134" s="2228"/>
      <c r="F134" s="1182">
        <f>'18'!F46</f>
        <v>4438.4719399999994</v>
      </c>
      <c r="G134" s="913"/>
      <c r="H134" s="1182">
        <v>0</v>
      </c>
      <c r="I134" s="913"/>
      <c r="J134" s="1182">
        <v>0</v>
      </c>
      <c r="K134" s="913"/>
      <c r="L134" s="1182">
        <v>0</v>
      </c>
      <c r="M134" s="914"/>
      <c r="N134" s="1182">
        <v>0</v>
      </c>
      <c r="O134" s="913"/>
      <c r="P134" s="1182">
        <f>SUM(F134:N134)</f>
        <v>4438.4719399999994</v>
      </c>
    </row>
    <row r="135" spans="1:20" s="898" customFormat="1" ht="12" customHeight="1">
      <c r="A135" s="676"/>
      <c r="B135" s="918" t="s">
        <v>1316</v>
      </c>
      <c r="C135" s="678"/>
      <c r="D135" s="678"/>
      <c r="E135" s="678"/>
      <c r="F135" s="1183">
        <f>'18'!F47</f>
        <v>124.44373</v>
      </c>
      <c r="G135" s="913"/>
      <c r="H135" s="1183">
        <v>0</v>
      </c>
      <c r="I135" s="913"/>
      <c r="J135" s="1183">
        <v>0</v>
      </c>
      <c r="K135" s="913"/>
      <c r="L135" s="1183">
        <v>0</v>
      </c>
      <c r="M135" s="914"/>
      <c r="N135" s="1183">
        <v>0</v>
      </c>
      <c r="O135" s="913"/>
      <c r="P135" s="1183">
        <f>SUM(F135:N135)</f>
        <v>124.44373</v>
      </c>
    </row>
    <row r="136" spans="1:20" s="898" customFormat="1" ht="25.5" customHeight="1">
      <c r="A136" s="676"/>
      <c r="B136" s="2229" t="s">
        <v>1526</v>
      </c>
      <c r="C136" s="1913"/>
      <c r="D136" s="1913"/>
      <c r="E136" s="2228"/>
      <c r="F136" s="1183">
        <f>'18'!F48</f>
        <v>47.22307</v>
      </c>
      <c r="G136" s="913"/>
      <c r="H136" s="1183">
        <v>0</v>
      </c>
      <c r="I136" s="913"/>
      <c r="J136" s="1183">
        <v>0</v>
      </c>
      <c r="K136" s="913"/>
      <c r="L136" s="1183">
        <v>0</v>
      </c>
      <c r="M136" s="914"/>
      <c r="N136" s="1183">
        <v>0</v>
      </c>
      <c r="O136" s="913"/>
      <c r="P136" s="1183">
        <f>SUM(F136:N136)</f>
        <v>47.22307</v>
      </c>
    </row>
    <row r="137" spans="1:20" s="898" customFormat="1" ht="26.25" customHeight="1">
      <c r="A137" s="676"/>
      <c r="B137" s="2229" t="s">
        <v>1527</v>
      </c>
      <c r="C137" s="1913"/>
      <c r="D137" s="1913"/>
      <c r="E137" s="2228"/>
      <c r="F137" s="1184">
        <f>'18'!F50</f>
        <v>14846.93736</v>
      </c>
      <c r="G137" s="913"/>
      <c r="H137" s="1184">
        <v>0</v>
      </c>
      <c r="I137" s="913"/>
      <c r="J137" s="1184">
        <v>0</v>
      </c>
      <c r="K137" s="913"/>
      <c r="L137" s="1184">
        <v>0</v>
      </c>
      <c r="M137" s="914"/>
      <c r="N137" s="1184">
        <v>0</v>
      </c>
      <c r="O137" s="913"/>
      <c r="P137" s="1184">
        <f>SUM(F137:N137)</f>
        <v>14846.93736</v>
      </c>
    </row>
    <row r="138" spans="1:20" s="898" customFormat="1" ht="12.75">
      <c r="A138" s="676"/>
      <c r="B138" s="908"/>
      <c r="C138" s="678"/>
      <c r="D138" s="678"/>
      <c r="E138" s="678"/>
      <c r="F138" s="913">
        <f>SUM(F133:F137)</f>
        <v>19457.076099999998</v>
      </c>
      <c r="G138" s="960"/>
      <c r="H138" s="913">
        <f>SUM(H133:H137)</f>
        <v>0</v>
      </c>
      <c r="I138" s="960"/>
      <c r="J138" s="913">
        <f>SUM(J133:J137)</f>
        <v>0</v>
      </c>
      <c r="K138" s="913"/>
      <c r="L138" s="913">
        <f>SUM(L133:L137)</f>
        <v>0</v>
      </c>
      <c r="M138" s="914"/>
      <c r="N138" s="913">
        <f>SUM(N133:N137)</f>
        <v>0</v>
      </c>
      <c r="O138" s="913"/>
      <c r="P138" s="913">
        <f>SUM(P133:P137)</f>
        <v>19457.076099999998</v>
      </c>
    </row>
    <row r="139" spans="1:20" s="898" customFormat="1" ht="6" customHeight="1">
      <c r="A139" s="676"/>
      <c r="B139" s="908"/>
      <c r="C139" s="678"/>
      <c r="D139" s="678"/>
      <c r="E139" s="678"/>
      <c r="F139" s="906"/>
      <c r="G139" s="909"/>
      <c r="H139" s="906"/>
      <c r="I139" s="909"/>
      <c r="J139" s="906"/>
      <c r="K139" s="906"/>
      <c r="L139" s="906"/>
      <c r="M139" s="907"/>
      <c r="N139" s="906"/>
      <c r="O139" s="906"/>
      <c r="P139" s="906"/>
    </row>
    <row r="140" spans="1:20" s="915" customFormat="1" ht="13.5" thickBot="1">
      <c r="A140" s="910"/>
      <c r="B140" s="911"/>
      <c r="C140" s="677"/>
      <c r="D140" s="677"/>
      <c r="E140" s="677"/>
      <c r="F140" s="912">
        <f>F131-F138</f>
        <v>4787110.5370700005</v>
      </c>
      <c r="G140" s="913"/>
      <c r="H140" s="912" t="e">
        <f>H131-H138</f>
        <v>#REF!</v>
      </c>
      <c r="I140" s="913"/>
      <c r="J140" s="912" t="e">
        <f>J131-J138</f>
        <v>#REF!</v>
      </c>
      <c r="K140" s="913"/>
      <c r="L140" s="912" t="e">
        <f>L131-L138</f>
        <v>#REF!</v>
      </c>
      <c r="M140" s="914"/>
      <c r="N140" s="912" t="e">
        <f>N131-N138</f>
        <v>#REF!</v>
      </c>
      <c r="O140" s="913"/>
      <c r="P140" s="912" t="e">
        <f>P131-P138</f>
        <v>#REF!</v>
      </c>
    </row>
    <row r="141" spans="1:20" s="898" customFormat="1" ht="3.75" customHeight="1" thickTop="1">
      <c r="A141" s="676"/>
      <c r="B141" s="677"/>
      <c r="C141" s="678"/>
      <c r="D141" s="678"/>
      <c r="E141" s="678"/>
      <c r="F141" s="675"/>
      <c r="G141" s="675"/>
      <c r="H141" s="679"/>
      <c r="I141" s="679"/>
      <c r="J141" s="679"/>
      <c r="K141" s="679"/>
      <c r="L141" s="679"/>
      <c r="M141" s="679"/>
      <c r="N141" s="679"/>
      <c r="O141" s="679"/>
      <c r="P141" s="679"/>
    </row>
    <row r="142" spans="1:20" s="898" customFormat="1" ht="12.75">
      <c r="A142" s="676"/>
      <c r="B142" s="677"/>
      <c r="C142" s="678"/>
      <c r="D142" s="678"/>
      <c r="E142" s="678"/>
      <c r="F142" s="675"/>
      <c r="G142" s="675"/>
      <c r="H142" s="679"/>
      <c r="I142" s="679"/>
      <c r="J142" s="679"/>
      <c r="K142" s="679"/>
      <c r="L142" s="679"/>
      <c r="M142" s="679"/>
      <c r="N142" s="679"/>
      <c r="O142" s="679"/>
      <c r="P142" s="679"/>
    </row>
    <row r="143" spans="1:20" s="898" customFormat="1" ht="12.75">
      <c r="A143" s="676"/>
      <c r="B143" s="894"/>
      <c r="C143" s="678"/>
      <c r="D143" s="678"/>
      <c r="E143" s="678"/>
      <c r="F143" s="895" t="s">
        <v>1238</v>
      </c>
      <c r="G143" s="679"/>
      <c r="H143" s="896" t="s">
        <v>1332</v>
      </c>
      <c r="I143" s="896"/>
      <c r="J143" s="896" t="s">
        <v>1333</v>
      </c>
      <c r="K143" s="896"/>
      <c r="L143" s="896" t="s">
        <v>1334</v>
      </c>
      <c r="M143" s="674"/>
      <c r="N143" s="896" t="s">
        <v>1239</v>
      </c>
      <c r="O143" s="897"/>
      <c r="P143" s="680"/>
    </row>
    <row r="144" spans="1:20" s="898" customFormat="1" ht="12.75">
      <c r="A144" s="676"/>
      <c r="B144" s="899" t="s">
        <v>1179</v>
      </c>
      <c r="C144" s="678"/>
      <c r="D144" s="678"/>
      <c r="E144" s="678"/>
      <c r="F144" s="900" t="s">
        <v>1240</v>
      </c>
      <c r="G144" s="901"/>
      <c r="H144" s="900" t="s">
        <v>1241</v>
      </c>
      <c r="I144" s="901"/>
      <c r="J144" s="902" t="s">
        <v>1241</v>
      </c>
      <c r="K144" s="901"/>
      <c r="L144" s="902" t="s">
        <v>1242</v>
      </c>
      <c r="M144" s="674"/>
      <c r="N144" s="902" t="s">
        <v>1243</v>
      </c>
      <c r="O144" s="902"/>
      <c r="P144" s="903" t="s">
        <v>783</v>
      </c>
    </row>
    <row r="145" spans="1:16" s="898" customFormat="1" ht="12.75">
      <c r="A145" s="676"/>
      <c r="B145" s="904"/>
      <c r="C145" s="678"/>
      <c r="D145" s="678"/>
      <c r="E145" s="678"/>
      <c r="F145" s="2221" t="s">
        <v>1244</v>
      </c>
      <c r="G145" s="2221"/>
      <c r="H145" s="2221"/>
      <c r="I145" s="2221"/>
      <c r="J145" s="2221"/>
      <c r="K145" s="2221"/>
      <c r="L145" s="2221"/>
      <c r="M145" s="2221"/>
      <c r="N145" s="2221"/>
      <c r="O145" s="2221"/>
      <c r="P145" s="2221"/>
    </row>
    <row r="146" spans="1:16" s="898" customFormat="1" ht="12.75">
      <c r="A146" s="676"/>
      <c r="B146" s="905" t="s">
        <v>1005</v>
      </c>
      <c r="C146" s="678"/>
      <c r="D146" s="678"/>
      <c r="E146" s="678"/>
      <c r="F146" s="679"/>
      <c r="G146" s="679"/>
      <c r="H146" s="679"/>
      <c r="I146" s="679"/>
      <c r="J146" s="679"/>
      <c r="K146" s="679"/>
      <c r="L146" s="679"/>
      <c r="M146" s="674"/>
      <c r="N146" s="674"/>
      <c r="O146" s="679"/>
      <c r="P146" s="680"/>
    </row>
    <row r="147" spans="1:16" s="898" customFormat="1" ht="12.75">
      <c r="A147" s="676"/>
      <c r="B147" s="430" t="s">
        <v>913</v>
      </c>
      <c r="C147" s="678"/>
      <c r="D147" s="678"/>
      <c r="E147" s="678"/>
      <c r="F147" s="1185">
        <v>899104</v>
      </c>
      <c r="G147" s="906"/>
      <c r="H147" s="1185">
        <v>0</v>
      </c>
      <c r="I147" s="906"/>
      <c r="J147" s="1185">
        <v>0</v>
      </c>
      <c r="K147" s="906"/>
      <c r="L147" s="1185">
        <v>0</v>
      </c>
      <c r="M147" s="907"/>
      <c r="N147" s="1185">
        <v>0</v>
      </c>
      <c r="O147" s="906"/>
      <c r="P147" s="1185">
        <f>SUM(F147:N147)</f>
        <v>899104</v>
      </c>
    </row>
    <row r="148" spans="1:16" s="898" customFormat="1" ht="12.75">
      <c r="A148" s="676"/>
      <c r="B148" s="430" t="s">
        <v>915</v>
      </c>
      <c r="C148" s="678"/>
      <c r="D148" s="678"/>
      <c r="E148" s="678"/>
      <c r="F148" s="1186">
        <v>0</v>
      </c>
      <c r="G148" s="906"/>
      <c r="H148" s="1186">
        <v>0</v>
      </c>
      <c r="I148" s="906"/>
      <c r="J148" s="1186">
        <v>0</v>
      </c>
      <c r="K148" s="906"/>
      <c r="L148" s="1186">
        <v>338498.76729999995</v>
      </c>
      <c r="M148" s="907"/>
      <c r="N148" s="1186">
        <v>153840.31362700003</v>
      </c>
      <c r="O148" s="906"/>
      <c r="P148" s="1186">
        <f>SUM(F148:N148)</f>
        <v>492339.08092699997</v>
      </c>
    </row>
    <row r="149" spans="1:16" s="898" customFormat="1" ht="29.25" customHeight="1">
      <c r="A149" s="676"/>
      <c r="B149" s="2229" t="s">
        <v>1466</v>
      </c>
      <c r="C149" s="1913"/>
      <c r="D149" s="1913"/>
      <c r="E149" s="2228"/>
      <c r="F149" s="1186">
        <v>0</v>
      </c>
      <c r="G149" s="906"/>
      <c r="H149" s="1186">
        <v>0</v>
      </c>
      <c r="I149" s="906"/>
      <c r="J149" s="1186">
        <v>0</v>
      </c>
      <c r="K149" s="906"/>
      <c r="L149" s="1186">
        <v>0</v>
      </c>
      <c r="M149" s="907"/>
      <c r="N149" s="1186">
        <v>0</v>
      </c>
      <c r="O149" s="906"/>
      <c r="P149" s="1186">
        <f>SUM(F149:N149)</f>
        <v>0</v>
      </c>
    </row>
    <row r="150" spans="1:16" s="898" customFormat="1" ht="12.75">
      <c r="A150" s="676"/>
      <c r="B150" s="430" t="s">
        <v>917</v>
      </c>
      <c r="C150" s="678"/>
      <c r="D150" s="678"/>
      <c r="E150" s="678"/>
      <c r="F150" s="1186">
        <v>19976</v>
      </c>
      <c r="G150" s="906"/>
      <c r="H150" s="1186">
        <v>0</v>
      </c>
      <c r="I150" s="906"/>
      <c r="J150" s="1186">
        <v>0</v>
      </c>
      <c r="K150" s="906"/>
      <c r="L150" s="1186">
        <v>0</v>
      </c>
      <c r="M150" s="907"/>
      <c r="N150" s="1186">
        <v>0</v>
      </c>
      <c r="O150" s="906"/>
      <c r="P150" s="1186">
        <f>SUM(F150:N150)</f>
        <v>19976</v>
      </c>
    </row>
    <row r="151" spans="1:16" s="898" customFormat="1" ht="15">
      <c r="A151" s="676"/>
      <c r="B151" s="2229" t="s">
        <v>1727</v>
      </c>
      <c r="C151" s="1913"/>
      <c r="D151" s="1913"/>
      <c r="E151" s="2228"/>
      <c r="F151" s="1187">
        <v>11370</v>
      </c>
      <c r="G151" s="906"/>
      <c r="H151" s="1187">
        <v>0</v>
      </c>
      <c r="I151" s="906"/>
      <c r="J151" s="1187">
        <v>0</v>
      </c>
      <c r="K151" s="906"/>
      <c r="L151" s="1187">
        <v>0</v>
      </c>
      <c r="M151" s="907"/>
      <c r="N151" s="1187">
        <v>0</v>
      </c>
      <c r="O151" s="906"/>
      <c r="P151" s="1187">
        <f>SUM(F151:N151)</f>
        <v>11370</v>
      </c>
    </row>
    <row r="152" spans="1:16" s="898" customFormat="1" ht="12.75">
      <c r="A152" s="676"/>
      <c r="B152" s="916"/>
      <c r="C152" s="678"/>
      <c r="D152" s="678"/>
      <c r="E152" s="678"/>
      <c r="F152" s="906">
        <f>SUM(F147:F151)</f>
        <v>930450</v>
      </c>
      <c r="G152" s="906"/>
      <c r="H152" s="906">
        <f>SUM(H147:H151)</f>
        <v>0</v>
      </c>
      <c r="I152" s="906"/>
      <c r="J152" s="906">
        <f>SUM(J147:J151)</f>
        <v>0</v>
      </c>
      <c r="K152" s="906"/>
      <c r="L152" s="906">
        <f>SUM(L147:L151)</f>
        <v>338498.76729999995</v>
      </c>
      <c r="M152" s="907"/>
      <c r="N152" s="906">
        <f>SUM(N147:N151)</f>
        <v>153840.31362700003</v>
      </c>
      <c r="O152" s="906"/>
      <c r="P152" s="906">
        <f>SUM(P147:P151)</f>
        <v>1422789.0809269999</v>
      </c>
    </row>
    <row r="153" spans="1:16" s="898" customFormat="1" ht="12.75">
      <c r="A153" s="676"/>
      <c r="B153" s="905"/>
      <c r="C153" s="678"/>
      <c r="D153" s="678"/>
      <c r="E153" s="678"/>
      <c r="F153" s="906"/>
      <c r="G153" s="906"/>
      <c r="H153" s="906"/>
      <c r="I153" s="906"/>
      <c r="J153" s="906"/>
      <c r="K153" s="906"/>
      <c r="L153" s="906"/>
      <c r="M153" s="907"/>
      <c r="N153" s="906"/>
      <c r="O153" s="906"/>
      <c r="P153" s="906"/>
    </row>
    <row r="154" spans="1:16" s="898" customFormat="1" ht="12.75">
      <c r="A154" s="676"/>
      <c r="B154" s="905" t="s">
        <v>1207</v>
      </c>
      <c r="C154" s="678"/>
      <c r="D154" s="678"/>
      <c r="E154" s="678"/>
      <c r="F154" s="906"/>
      <c r="G154" s="906"/>
      <c r="H154" s="906"/>
      <c r="I154" s="906"/>
      <c r="J154" s="906"/>
      <c r="K154" s="906"/>
      <c r="L154" s="906"/>
      <c r="M154" s="909"/>
      <c r="N154" s="906"/>
      <c r="O154" s="906"/>
      <c r="P154" s="906"/>
    </row>
    <row r="155" spans="1:16" s="898" customFormat="1" ht="28.5" customHeight="1">
      <c r="A155" s="676"/>
      <c r="B155" s="2227" t="s">
        <v>1528</v>
      </c>
      <c r="C155" s="1913"/>
      <c r="D155" s="1913"/>
      <c r="E155" s="2228"/>
      <c r="F155" s="1185">
        <v>1583</v>
      </c>
      <c r="G155" s="906"/>
      <c r="H155" s="1185">
        <v>0</v>
      </c>
      <c r="I155" s="906"/>
      <c r="J155" s="1185">
        <v>0</v>
      </c>
      <c r="K155" s="906"/>
      <c r="L155" s="1185">
        <v>0</v>
      </c>
      <c r="M155" s="907"/>
      <c r="N155" s="1185">
        <v>0</v>
      </c>
      <c r="O155" s="906"/>
      <c r="P155" s="1185">
        <f>SUM(F155:N155)</f>
        <v>1583</v>
      </c>
    </row>
    <row r="156" spans="1:16" s="898" customFormat="1" ht="12.75">
      <c r="A156" s="676"/>
      <c r="B156" s="918" t="s">
        <v>1316</v>
      </c>
      <c r="C156" s="678"/>
      <c r="D156" s="678"/>
      <c r="E156" s="678"/>
      <c r="F156" s="1186">
        <v>169</v>
      </c>
      <c r="G156" s="906"/>
      <c r="H156" s="1186">
        <v>0</v>
      </c>
      <c r="I156" s="906"/>
      <c r="J156" s="1186">
        <v>0</v>
      </c>
      <c r="K156" s="906"/>
      <c r="L156" s="1186">
        <v>0</v>
      </c>
      <c r="M156" s="907"/>
      <c r="N156" s="1186">
        <v>0</v>
      </c>
      <c r="O156" s="906"/>
      <c r="P156" s="1186">
        <f>SUM(F156:N156)</f>
        <v>169</v>
      </c>
    </row>
    <row r="157" spans="1:16" s="898" customFormat="1" ht="25.5" customHeight="1">
      <c r="A157" s="676"/>
      <c r="B157" s="2229" t="s">
        <v>1529</v>
      </c>
      <c r="C157" s="1913"/>
      <c r="D157" s="1913"/>
      <c r="E157" s="2228"/>
      <c r="F157" s="1186">
        <v>47</v>
      </c>
      <c r="G157" s="906"/>
      <c r="H157" s="1186">
        <v>0</v>
      </c>
      <c r="I157" s="906"/>
      <c r="J157" s="1186">
        <v>0</v>
      </c>
      <c r="K157" s="906"/>
      <c r="L157" s="1186">
        <v>0</v>
      </c>
      <c r="M157" s="907"/>
      <c r="N157" s="1186">
        <v>0</v>
      </c>
      <c r="O157" s="906"/>
      <c r="P157" s="1186">
        <f>SUM(F157:N157)</f>
        <v>47</v>
      </c>
    </row>
    <row r="158" spans="1:16" s="898" customFormat="1" ht="26.25" customHeight="1">
      <c r="A158" s="676"/>
      <c r="B158" s="2229" t="s">
        <v>1527</v>
      </c>
      <c r="C158" s="1913"/>
      <c r="D158" s="1913"/>
      <c r="E158" s="2228"/>
      <c r="F158" s="1187">
        <v>2100</v>
      </c>
      <c r="G158" s="906"/>
      <c r="H158" s="1187">
        <v>0</v>
      </c>
      <c r="I158" s="906"/>
      <c r="J158" s="1187">
        <v>0</v>
      </c>
      <c r="K158" s="906"/>
      <c r="L158" s="1187">
        <v>0</v>
      </c>
      <c r="M158" s="907"/>
      <c r="N158" s="1187">
        <v>0</v>
      </c>
      <c r="O158" s="906"/>
      <c r="P158" s="1187">
        <f>SUM(F158:N158)</f>
        <v>2100</v>
      </c>
    </row>
    <row r="159" spans="1:16" s="898" customFormat="1" ht="12.75">
      <c r="A159" s="676"/>
      <c r="B159" s="908"/>
      <c r="C159" s="678"/>
      <c r="D159" s="678"/>
      <c r="E159" s="678"/>
      <c r="F159" s="906">
        <f>SUM(F154:F158)</f>
        <v>3899</v>
      </c>
      <c r="G159" s="909"/>
      <c r="H159" s="906">
        <f>SUM(H154:H158)</f>
        <v>0</v>
      </c>
      <c r="I159" s="909"/>
      <c r="J159" s="906">
        <f>SUM(J154:J158)</f>
        <v>0</v>
      </c>
      <c r="K159" s="906"/>
      <c r="L159" s="906">
        <f>SUM(L154:L158)</f>
        <v>0</v>
      </c>
      <c r="M159" s="907"/>
      <c r="N159" s="906">
        <f>SUM(N154:N158)</f>
        <v>0</v>
      </c>
      <c r="O159" s="906"/>
      <c r="P159" s="906">
        <f>SUM(P154:P158)</f>
        <v>3899</v>
      </c>
    </row>
    <row r="160" spans="1:16" s="898" customFormat="1" ht="5.25" customHeight="1">
      <c r="A160" s="676"/>
      <c r="B160" s="908"/>
      <c r="C160" s="678"/>
      <c r="D160" s="678"/>
      <c r="E160" s="678"/>
      <c r="F160" s="906"/>
      <c r="G160" s="909"/>
      <c r="H160" s="906"/>
      <c r="I160" s="909"/>
      <c r="J160" s="906"/>
      <c r="K160" s="906"/>
      <c r="L160" s="906"/>
      <c r="M160" s="907"/>
      <c r="N160" s="906"/>
      <c r="O160" s="906"/>
      <c r="P160" s="906"/>
    </row>
    <row r="161" spans="1:16" s="915" customFormat="1" ht="13.5" thickBot="1">
      <c r="A161" s="910"/>
      <c r="B161" s="911"/>
      <c r="C161" s="677"/>
      <c r="D161" s="677"/>
      <c r="E161" s="677"/>
      <c r="F161" s="1188">
        <f>ROUND(F152-F159,0)</f>
        <v>926551</v>
      </c>
      <c r="G161" s="906"/>
      <c r="H161" s="1188">
        <f>ROUND(H152-H159,0)</f>
        <v>0</v>
      </c>
      <c r="I161" s="906"/>
      <c r="J161" s="1188">
        <f>ROUND(J152-J159,0)</f>
        <v>0</v>
      </c>
      <c r="K161" s="906"/>
      <c r="L161" s="1188">
        <f>ROUND(L152-L159,0)</f>
        <v>338499</v>
      </c>
      <c r="M161" s="907"/>
      <c r="N161" s="1188">
        <f>ROUND(N152-N159,0)</f>
        <v>153840</v>
      </c>
      <c r="O161" s="906"/>
      <c r="P161" s="1188">
        <f>ROUND(P152-P159,0)</f>
        <v>1418890</v>
      </c>
    </row>
    <row r="162" spans="1:16" s="462" customFormat="1" ht="13.5" thickTop="1">
      <c r="A162" s="676"/>
      <c r="B162" s="677"/>
      <c r="C162" s="678"/>
      <c r="D162" s="678"/>
      <c r="E162" s="678"/>
      <c r="F162" s="675"/>
      <c r="G162" s="675"/>
      <c r="H162" s="679"/>
      <c r="I162" s="679"/>
      <c r="J162" s="679"/>
      <c r="K162" s="679"/>
      <c r="L162" s="679"/>
      <c r="M162" s="679"/>
      <c r="N162" s="679"/>
      <c r="O162" s="679"/>
      <c r="P162" s="680"/>
    </row>
    <row r="163" spans="1:16" s="462" customFormat="1" ht="12.75">
      <c r="A163" s="676"/>
      <c r="B163" s="677"/>
      <c r="C163" s="678"/>
      <c r="D163" s="678"/>
      <c r="E163" s="678"/>
      <c r="F163" s="675"/>
      <c r="G163" s="675"/>
      <c r="H163" s="679"/>
      <c r="I163" s="679"/>
      <c r="J163" s="679"/>
      <c r="K163" s="679"/>
      <c r="L163" s="679"/>
      <c r="M163" s="679"/>
      <c r="N163" s="679"/>
      <c r="O163" s="679"/>
      <c r="P163" s="680"/>
    </row>
    <row r="164" spans="1:16" ht="12.75" hidden="1">
      <c r="A164" s="921">
        <v>19.399999999999999</v>
      </c>
      <c r="B164" s="922" t="s">
        <v>1452</v>
      </c>
      <c r="C164" s="922"/>
      <c r="D164" s="922"/>
      <c r="E164" s="923"/>
      <c r="F164" s="924"/>
      <c r="G164" s="924"/>
      <c r="H164" s="923"/>
      <c r="I164" s="924"/>
      <c r="J164" s="923"/>
      <c r="K164" s="924"/>
      <c r="L164" s="925"/>
      <c r="M164" s="924"/>
      <c r="N164" s="925"/>
    </row>
    <row r="165" spans="1:16" ht="12.75" hidden="1">
      <c r="A165" s="921"/>
      <c r="B165" s="922"/>
      <c r="C165" s="922"/>
      <c r="D165" s="922"/>
      <c r="E165" s="923"/>
      <c r="F165" s="924"/>
      <c r="G165" s="924"/>
      <c r="H165" s="923"/>
      <c r="I165" s="924"/>
      <c r="J165" s="923"/>
      <c r="K165" s="924"/>
      <c r="L165" s="925"/>
      <c r="M165" s="924"/>
      <c r="N165" s="925"/>
    </row>
    <row r="166" spans="1:16" ht="12.75" hidden="1">
      <c r="A166" s="921"/>
      <c r="B166" s="2225" t="s">
        <v>1453</v>
      </c>
      <c r="C166" s="2225"/>
      <c r="D166" s="2225"/>
      <c r="E166" s="2225"/>
      <c r="F166" s="2225"/>
      <c r="G166" s="2225"/>
      <c r="H166" s="2225"/>
      <c r="I166" s="2225"/>
      <c r="J166" s="2225"/>
      <c r="K166" s="2225"/>
      <c r="L166" s="2225"/>
      <c r="M166" s="2225"/>
      <c r="N166" s="2225"/>
      <c r="O166" s="2225"/>
      <c r="P166" s="2225"/>
    </row>
    <row r="167" spans="1:16" ht="12.75" hidden="1">
      <c r="A167" s="921"/>
      <c r="B167" s="2225"/>
      <c r="C167" s="2225"/>
      <c r="D167" s="2225"/>
      <c r="E167" s="2225"/>
      <c r="F167" s="2225"/>
      <c r="G167" s="2225"/>
      <c r="H167" s="2225"/>
      <c r="I167" s="2225"/>
      <c r="J167" s="2225"/>
      <c r="K167" s="2225"/>
      <c r="L167" s="2225"/>
      <c r="M167" s="2225"/>
      <c r="N167" s="2225"/>
      <c r="O167" s="2225"/>
      <c r="P167" s="2225"/>
    </row>
    <row r="168" spans="1:16" ht="12.75" hidden="1">
      <c r="A168" s="921"/>
      <c r="B168" s="2225"/>
      <c r="C168" s="2225"/>
      <c r="D168" s="2225"/>
      <c r="E168" s="2225"/>
      <c r="F168" s="2225"/>
      <c r="G168" s="2225"/>
      <c r="H168" s="2225"/>
      <c r="I168" s="2225"/>
      <c r="J168" s="2225"/>
      <c r="K168" s="2225"/>
      <c r="L168" s="2225"/>
      <c r="M168" s="2225"/>
      <c r="N168" s="2225"/>
      <c r="O168" s="2225"/>
      <c r="P168" s="2225"/>
    </row>
    <row r="169" spans="1:16" ht="12.75" hidden="1">
      <c r="A169" s="926"/>
      <c r="B169" s="924"/>
      <c r="C169" s="924"/>
      <c r="D169" s="922"/>
      <c r="E169" s="923"/>
      <c r="F169" s="924"/>
      <c r="G169" s="924"/>
      <c r="H169" s="923"/>
      <c r="I169" s="924"/>
      <c r="J169" s="923"/>
      <c r="K169" s="924"/>
      <c r="L169" s="925"/>
      <c r="M169" s="924"/>
      <c r="N169" s="925"/>
    </row>
    <row r="170" spans="1:16" ht="12.75" hidden="1">
      <c r="A170" s="923"/>
      <c r="B170" s="923"/>
      <c r="C170" s="923"/>
      <c r="D170" s="923"/>
      <c r="E170" s="923"/>
      <c r="F170" s="923"/>
      <c r="G170" s="924"/>
      <c r="H170" s="924"/>
      <c r="I170" s="2226" t="s">
        <v>1179</v>
      </c>
      <c r="J170" s="2226"/>
      <c r="K170" s="2226"/>
      <c r="L170" s="2226"/>
      <c r="M170" s="2226"/>
      <c r="N170" s="2226"/>
      <c r="O170" s="2226"/>
      <c r="P170" s="2226"/>
    </row>
    <row r="171" spans="1:16" ht="51" hidden="1">
      <c r="A171" s="921"/>
      <c r="B171" s="927"/>
      <c r="C171" s="927"/>
      <c r="D171" s="927"/>
      <c r="E171" s="923"/>
      <c r="F171" s="923"/>
      <c r="G171" s="923"/>
      <c r="H171" s="924"/>
      <c r="I171" s="924"/>
      <c r="J171" s="928" t="s">
        <v>1454</v>
      </c>
      <c r="K171" s="929"/>
      <c r="L171" s="930" t="s">
        <v>1455</v>
      </c>
      <c r="M171" s="929"/>
      <c r="N171" s="931" t="s">
        <v>1456</v>
      </c>
      <c r="O171" s="929"/>
      <c r="P171" s="928" t="s">
        <v>783</v>
      </c>
    </row>
    <row r="172" spans="1:16" ht="12.75" hidden="1">
      <c r="A172" s="921"/>
      <c r="B172" s="923"/>
      <c r="C172" s="923"/>
      <c r="D172" s="923"/>
      <c r="E172" s="923"/>
      <c r="F172" s="923"/>
      <c r="G172" s="923"/>
      <c r="H172" s="924"/>
      <c r="I172" s="924"/>
      <c r="J172" s="2222" t="s">
        <v>1457</v>
      </c>
      <c r="K172" s="2222"/>
      <c r="L172" s="2222"/>
      <c r="M172" s="2222"/>
      <c r="N172" s="2222"/>
      <c r="O172" s="2222"/>
      <c r="P172" s="2222"/>
    </row>
    <row r="173" spans="1:16" ht="12.75" hidden="1">
      <c r="A173" s="924"/>
      <c r="B173" s="932" t="s">
        <v>1458</v>
      </c>
      <c r="C173" s="932"/>
      <c r="D173" s="932"/>
      <c r="E173" s="923"/>
      <c r="F173" s="923"/>
      <c r="G173" s="923"/>
      <c r="H173" s="924"/>
      <c r="I173" s="924"/>
      <c r="J173" s="923"/>
      <c r="K173" s="924"/>
      <c r="L173" s="923"/>
      <c r="M173" s="924"/>
      <c r="N173" s="925"/>
      <c r="O173" s="924"/>
      <c r="P173" s="925"/>
    </row>
    <row r="174" spans="1:16" ht="12.75" hidden="1">
      <c r="A174" s="924"/>
      <c r="B174" s="918" t="s">
        <v>913</v>
      </c>
      <c r="C174" s="923"/>
      <c r="D174" s="923"/>
      <c r="E174" s="923"/>
      <c r="F174" s="923"/>
      <c r="G174" s="923"/>
      <c r="H174" s="924"/>
      <c r="I174" s="924"/>
      <c r="J174" s="933">
        <v>0</v>
      </c>
      <c r="K174" s="933"/>
      <c r="L174" s="933">
        <v>0</v>
      </c>
      <c r="M174" s="933"/>
      <c r="N174" s="934">
        <f>F126</f>
        <v>4786432.6707100002</v>
      </c>
      <c r="O174" s="933"/>
      <c r="P174" s="934">
        <f>SUM(J174:N174)</f>
        <v>4786432.6707100002</v>
      </c>
    </row>
    <row r="175" spans="1:16" ht="12.75" hidden="1">
      <c r="A175" s="924"/>
      <c r="B175" s="923" t="s">
        <v>1459</v>
      </c>
      <c r="C175" s="923"/>
      <c r="D175" s="923"/>
      <c r="E175" s="923"/>
      <c r="F175" s="923"/>
      <c r="G175" s="923"/>
      <c r="H175" s="924"/>
      <c r="I175" s="924"/>
      <c r="J175" s="933" t="e">
        <f>P127</f>
        <v>#REF!</v>
      </c>
      <c r="K175" s="933"/>
      <c r="L175" s="933">
        <f>'[42]19.1.2-19.3'!O152</f>
        <v>0</v>
      </c>
      <c r="M175" s="933"/>
      <c r="N175" s="934">
        <f>F127</f>
        <v>0</v>
      </c>
      <c r="O175" s="933"/>
      <c r="P175" s="934" t="e">
        <f>SUM(J175:N175)</f>
        <v>#REF!</v>
      </c>
    </row>
    <row r="176" spans="1:16" ht="12.75" hidden="1">
      <c r="A176" s="924"/>
      <c r="B176" s="923" t="s">
        <v>917</v>
      </c>
      <c r="C176" s="923"/>
      <c r="D176" s="923"/>
      <c r="E176" s="923"/>
      <c r="F176" s="923"/>
      <c r="G176" s="923"/>
      <c r="H176" s="924"/>
      <c r="I176" s="924"/>
      <c r="J176" s="933">
        <v>0</v>
      </c>
      <c r="K176" s="933"/>
      <c r="L176" s="933">
        <v>0</v>
      </c>
      <c r="M176" s="933"/>
      <c r="N176" s="934">
        <f>F128</f>
        <v>13382.02053</v>
      </c>
      <c r="O176" s="933"/>
      <c r="P176" s="934">
        <f>SUM(J176:N176)</f>
        <v>13382.02053</v>
      </c>
    </row>
    <row r="177" spans="1:16" ht="12.75" hidden="1">
      <c r="A177" s="924"/>
      <c r="B177" s="923" t="s">
        <v>919</v>
      </c>
      <c r="C177" s="923"/>
      <c r="D177" s="923"/>
      <c r="E177" s="923"/>
      <c r="F177" s="923"/>
      <c r="G177" s="923"/>
      <c r="H177" s="924"/>
      <c r="I177" s="924"/>
      <c r="J177" s="933">
        <v>0</v>
      </c>
      <c r="K177" s="933"/>
      <c r="L177" s="933">
        <v>0</v>
      </c>
      <c r="M177" s="933"/>
      <c r="N177" s="934">
        <f>F130</f>
        <v>6752.9219300000004</v>
      </c>
      <c r="O177" s="933"/>
      <c r="P177" s="934">
        <f>SUM(J177:N177)</f>
        <v>6752.9219300000004</v>
      </c>
    </row>
    <row r="178" spans="1:16" ht="13.5" hidden="1" thickBot="1">
      <c r="A178" s="927"/>
      <c r="B178" s="924"/>
      <c r="C178" s="924"/>
      <c r="D178" s="927"/>
      <c r="E178" s="923"/>
      <c r="F178" s="923"/>
      <c r="G178" s="923"/>
      <c r="H178" s="924"/>
      <c r="I178" s="924"/>
      <c r="J178" s="935" t="e">
        <f>SUM(J174:J177)</f>
        <v>#REF!</v>
      </c>
      <c r="K178" s="933"/>
      <c r="L178" s="935">
        <f>SUM(L174:L177)</f>
        <v>0</v>
      </c>
      <c r="M178" s="933"/>
      <c r="N178" s="935">
        <f>SUM(N174:N177)</f>
        <v>4806567.6131700007</v>
      </c>
      <c r="O178" s="933"/>
      <c r="P178" s="935" t="e">
        <f>SUM(P174:P177)</f>
        <v>#REF!</v>
      </c>
    </row>
    <row r="179" spans="1:16" ht="13.5" hidden="1" thickTop="1">
      <c r="A179" s="936"/>
      <c r="B179" s="924"/>
      <c r="C179" s="924"/>
      <c r="D179" s="936"/>
      <c r="E179" s="936"/>
      <c r="F179" s="936"/>
      <c r="G179" s="936"/>
      <c r="H179" s="924"/>
      <c r="I179" s="924"/>
      <c r="J179" s="937"/>
      <c r="K179" s="938"/>
      <c r="L179" s="937"/>
      <c r="M179" s="938"/>
      <c r="N179" s="939"/>
      <c r="O179" s="938"/>
      <c r="P179" s="939"/>
    </row>
    <row r="180" spans="1:16" ht="12.75" hidden="1">
      <c r="A180" s="924"/>
      <c r="B180" s="940" t="s">
        <v>1460</v>
      </c>
      <c r="C180" s="940"/>
      <c r="D180" s="940"/>
      <c r="E180" s="923"/>
      <c r="F180" s="923"/>
      <c r="G180" s="923"/>
      <c r="H180" s="924"/>
      <c r="I180" s="924"/>
      <c r="J180" s="941"/>
      <c r="K180" s="924"/>
      <c r="L180" s="941"/>
      <c r="M180" s="924"/>
      <c r="N180" s="942"/>
      <c r="O180" s="924"/>
      <c r="P180" s="942"/>
    </row>
    <row r="181" spans="1:16" ht="12.75" hidden="1">
      <c r="A181" s="924"/>
      <c r="B181" s="923" t="s">
        <v>1315</v>
      </c>
      <c r="C181" s="923"/>
      <c r="D181" s="923"/>
      <c r="E181" s="923"/>
      <c r="F181" s="923"/>
      <c r="G181" s="923"/>
      <c r="H181" s="924"/>
      <c r="I181" s="924"/>
      <c r="J181" s="943">
        <v>0</v>
      </c>
      <c r="K181" s="924"/>
      <c r="L181" s="943">
        <v>0</v>
      </c>
      <c r="M181" s="944"/>
      <c r="N181" s="945">
        <f>F134</f>
        <v>4438.4719399999994</v>
      </c>
      <c r="O181" s="944"/>
      <c r="P181" s="945">
        <f>N181+L181</f>
        <v>4438.4719399999994</v>
      </c>
    </row>
    <row r="182" spans="1:16" ht="12.75" hidden="1">
      <c r="A182" s="924"/>
      <c r="B182" s="923" t="s">
        <v>1316</v>
      </c>
      <c r="C182" s="923"/>
      <c r="D182" s="923"/>
      <c r="E182" s="923"/>
      <c r="F182" s="923"/>
      <c r="G182" s="923"/>
      <c r="H182" s="924"/>
      <c r="I182" s="924"/>
      <c r="J182" s="943">
        <v>0</v>
      </c>
      <c r="K182" s="924"/>
      <c r="L182" s="943">
        <v>0</v>
      </c>
      <c r="M182" s="944"/>
      <c r="N182" s="945">
        <f>F135</f>
        <v>124.44373</v>
      </c>
      <c r="O182" s="944"/>
      <c r="P182" s="945">
        <f>N182+L182</f>
        <v>124.44373</v>
      </c>
    </row>
    <row r="183" spans="1:16" ht="12.75" hidden="1">
      <c r="A183" s="924"/>
      <c r="B183" s="923" t="s">
        <v>1461</v>
      </c>
      <c r="C183" s="923"/>
      <c r="D183" s="923"/>
      <c r="E183" s="923"/>
      <c r="F183" s="923"/>
      <c r="G183" s="923"/>
      <c r="H183" s="924"/>
      <c r="I183" s="924"/>
      <c r="J183" s="943">
        <v>0</v>
      </c>
      <c r="K183" s="924"/>
      <c r="L183" s="943">
        <v>0</v>
      </c>
      <c r="M183" s="944"/>
      <c r="N183" s="945">
        <f>F136</f>
        <v>47.22307</v>
      </c>
      <c r="O183" s="944"/>
      <c r="P183" s="945">
        <f>N183+L183</f>
        <v>47.22307</v>
      </c>
    </row>
    <row r="184" spans="1:16" ht="12.75" hidden="1">
      <c r="A184" s="924"/>
      <c r="B184" s="923" t="s">
        <v>1462</v>
      </c>
      <c r="C184" s="923"/>
      <c r="D184" s="923"/>
      <c r="E184" s="923"/>
      <c r="F184" s="923"/>
      <c r="G184" s="923"/>
      <c r="H184" s="924"/>
      <c r="I184" s="924"/>
      <c r="J184" s="943">
        <v>0</v>
      </c>
      <c r="K184" s="924"/>
      <c r="L184" s="943">
        <v>0</v>
      </c>
      <c r="M184" s="944"/>
      <c r="N184" s="945">
        <f>F137</f>
        <v>14846.93736</v>
      </c>
      <c r="O184" s="944"/>
      <c r="P184" s="945">
        <f>N184+L184</f>
        <v>14846.93736</v>
      </c>
    </row>
    <row r="185" spans="1:16" ht="13.5" hidden="1" thickBot="1">
      <c r="A185" s="946"/>
      <c r="B185" s="924"/>
      <c r="C185" s="924"/>
      <c r="D185" s="946"/>
      <c r="E185" s="923"/>
      <c r="F185" s="923"/>
      <c r="G185" s="923"/>
      <c r="H185" s="924"/>
      <c r="I185" s="924"/>
      <c r="J185" s="947">
        <f>SUM(J181:J184)</f>
        <v>0</v>
      </c>
      <c r="K185" s="938"/>
      <c r="L185" s="947">
        <f>SUM(L181:L184)</f>
        <v>0</v>
      </c>
      <c r="M185" s="944"/>
      <c r="N185" s="947">
        <f>SUM(N181:N184)</f>
        <v>19457.076099999998</v>
      </c>
      <c r="O185" s="944"/>
      <c r="P185" s="947">
        <f>SUM(P181:P184)</f>
        <v>19457.076099999998</v>
      </c>
    </row>
    <row r="186" spans="1:16" ht="13.5" hidden="1" thickTop="1">
      <c r="A186" s="924"/>
      <c r="B186" s="924"/>
      <c r="C186" s="924"/>
      <c r="D186" s="924"/>
      <c r="E186" s="924"/>
      <c r="F186" s="924"/>
      <c r="G186" s="924"/>
      <c r="H186" s="924"/>
      <c r="I186" s="924"/>
      <c r="J186" s="924"/>
      <c r="K186" s="924"/>
      <c r="L186" s="924"/>
      <c r="M186" s="924"/>
      <c r="N186" s="924"/>
      <c r="O186" s="924"/>
      <c r="P186" s="924"/>
    </row>
    <row r="187" spans="1:16" ht="12.75" hidden="1">
      <c r="A187" s="924"/>
      <c r="B187" s="924"/>
      <c r="C187" s="924"/>
      <c r="D187" s="924"/>
      <c r="E187" s="924"/>
      <c r="F187" s="924"/>
      <c r="G187" s="924"/>
      <c r="H187" s="924"/>
      <c r="I187" s="924"/>
      <c r="J187" s="2223" t="s">
        <v>1181</v>
      </c>
      <c r="K187" s="2223"/>
      <c r="L187" s="2223"/>
      <c r="M187" s="2223"/>
      <c r="N187" s="2223"/>
      <c r="O187" s="2223"/>
      <c r="P187" s="2223"/>
    </row>
    <row r="188" spans="1:16" ht="63.75" hidden="1">
      <c r="A188" s="924"/>
      <c r="B188" s="924"/>
      <c r="C188" s="924"/>
      <c r="D188" s="924"/>
      <c r="E188" s="924"/>
      <c r="F188" s="924"/>
      <c r="G188" s="924"/>
      <c r="H188" s="924"/>
      <c r="I188" s="924"/>
      <c r="J188" s="948" t="s">
        <v>1463</v>
      </c>
      <c r="K188" s="949"/>
      <c r="L188" s="950" t="s">
        <v>1464</v>
      </c>
      <c r="M188" s="929"/>
      <c r="N188" s="951" t="s">
        <v>1465</v>
      </c>
      <c r="O188" s="929"/>
      <c r="P188" s="951" t="s">
        <v>783</v>
      </c>
    </row>
    <row r="189" spans="1:16" ht="12.75" hidden="1">
      <c r="A189" s="924"/>
      <c r="B189" s="924"/>
      <c r="C189" s="924"/>
      <c r="D189" s="924"/>
      <c r="E189" s="924"/>
      <c r="F189" s="924"/>
      <c r="G189" s="924"/>
      <c r="H189" s="924"/>
      <c r="I189" s="924"/>
      <c r="J189" s="2224" t="s">
        <v>1457</v>
      </c>
      <c r="K189" s="2224"/>
      <c r="L189" s="2224"/>
      <c r="M189" s="2224"/>
      <c r="N189" s="2224"/>
      <c r="O189" s="2224"/>
      <c r="P189" s="2224"/>
    </row>
    <row r="190" spans="1:16" ht="12.75" hidden="1">
      <c r="A190" s="924"/>
      <c r="B190" s="932" t="s">
        <v>1458</v>
      </c>
      <c r="C190" s="932"/>
      <c r="D190" s="932"/>
      <c r="E190" s="923"/>
      <c r="F190" s="923"/>
      <c r="G190" s="923"/>
      <c r="H190" s="924"/>
      <c r="I190" s="924"/>
      <c r="J190" s="952"/>
      <c r="K190" s="924"/>
      <c r="L190" s="952"/>
      <c r="M190" s="924"/>
      <c r="N190" s="953"/>
      <c r="O190" s="924"/>
      <c r="P190" s="942"/>
    </row>
    <row r="191" spans="1:16" ht="12.75" hidden="1">
      <c r="A191" s="924"/>
      <c r="B191" s="918" t="s">
        <v>913</v>
      </c>
      <c r="C191" s="923"/>
      <c r="D191" s="923"/>
      <c r="E191" s="923"/>
      <c r="F191" s="923"/>
      <c r="G191" s="923"/>
      <c r="H191" s="924"/>
      <c r="I191" s="924"/>
      <c r="J191" s="954">
        <v>0</v>
      </c>
      <c r="K191" s="954"/>
      <c r="L191" s="954">
        <v>0</v>
      </c>
      <c r="M191" s="954"/>
      <c r="N191" s="954">
        <v>616913</v>
      </c>
      <c r="O191" s="954"/>
      <c r="P191" s="955">
        <f>SUM(J191:N191)</f>
        <v>616913</v>
      </c>
    </row>
    <row r="192" spans="1:16" ht="12.75" hidden="1">
      <c r="A192" s="924"/>
      <c r="B192" s="923" t="s">
        <v>1459</v>
      </c>
      <c r="C192" s="923"/>
      <c r="D192" s="923"/>
      <c r="E192" s="923"/>
      <c r="F192" s="923"/>
      <c r="G192" s="923"/>
      <c r="H192" s="924"/>
      <c r="I192" s="924"/>
      <c r="J192" s="954">
        <v>573194</v>
      </c>
      <c r="K192" s="954"/>
      <c r="L192" s="954">
        <v>7462</v>
      </c>
      <c r="M192" s="954"/>
      <c r="N192" s="955">
        <v>0</v>
      </c>
      <c r="O192" s="954"/>
      <c r="P192" s="955">
        <f>SUM(J192:N192)</f>
        <v>580656</v>
      </c>
    </row>
    <row r="193" spans="1:16" ht="12.75" hidden="1">
      <c r="A193" s="924"/>
      <c r="B193" s="923" t="s">
        <v>1466</v>
      </c>
      <c r="C193" s="923"/>
      <c r="D193" s="923"/>
      <c r="E193" s="923"/>
      <c r="F193" s="923"/>
      <c r="G193" s="923"/>
      <c r="H193" s="924"/>
      <c r="I193" s="924"/>
      <c r="J193" s="954">
        <v>0</v>
      </c>
      <c r="K193" s="954"/>
      <c r="L193" s="954">
        <v>0</v>
      </c>
      <c r="M193" s="954"/>
      <c r="N193" s="955">
        <v>242107</v>
      </c>
      <c r="O193" s="954"/>
      <c r="P193" s="955">
        <f>SUM(J193:N193)</f>
        <v>242107</v>
      </c>
    </row>
    <row r="194" spans="1:16" ht="12.75" hidden="1">
      <c r="A194" s="924"/>
      <c r="B194" s="923" t="s">
        <v>917</v>
      </c>
      <c r="C194" s="923"/>
      <c r="D194" s="923"/>
      <c r="E194" s="923"/>
      <c r="F194" s="923"/>
      <c r="G194" s="923"/>
      <c r="H194" s="924"/>
      <c r="I194" s="924"/>
      <c r="J194" s="954">
        <v>0</v>
      </c>
      <c r="K194" s="954"/>
      <c r="L194" s="954">
        <v>0</v>
      </c>
      <c r="M194" s="954"/>
      <c r="N194" s="954">
        <v>17401</v>
      </c>
      <c r="O194" s="954"/>
      <c r="P194" s="955">
        <f>SUM(J194:N194)</f>
        <v>17401</v>
      </c>
    </row>
    <row r="195" spans="1:16" ht="12.75" hidden="1">
      <c r="A195" s="924"/>
      <c r="B195" s="923" t="s">
        <v>919</v>
      </c>
      <c r="C195" s="923"/>
      <c r="D195" s="923"/>
      <c r="E195" s="923"/>
      <c r="F195" s="923"/>
      <c r="G195" s="923"/>
      <c r="H195" s="924"/>
      <c r="I195" s="924"/>
      <c r="J195" s="954">
        <v>0</v>
      </c>
      <c r="K195" s="954"/>
      <c r="L195" s="954">
        <v>0</v>
      </c>
      <c r="M195" s="954"/>
      <c r="N195" s="954">
        <v>76378</v>
      </c>
      <c r="O195" s="954"/>
      <c r="P195" s="955">
        <f>SUM(J195:N195)</f>
        <v>76378</v>
      </c>
    </row>
    <row r="196" spans="1:16" ht="13.5" hidden="1" thickBot="1">
      <c r="A196" s="956"/>
      <c r="B196" s="924"/>
      <c r="C196" s="924"/>
      <c r="D196" s="956"/>
      <c r="E196" s="923"/>
      <c r="F196" s="923"/>
      <c r="G196" s="923"/>
      <c r="H196" s="924"/>
      <c r="I196" s="924"/>
      <c r="J196" s="957">
        <f>SUM(J191:J195)</f>
        <v>573194</v>
      </c>
      <c r="K196" s="954"/>
      <c r="L196" s="957">
        <f>SUM(L191:L195)</f>
        <v>7462</v>
      </c>
      <c r="M196" s="954"/>
      <c r="N196" s="957">
        <f>SUM(N191:N195)</f>
        <v>952799</v>
      </c>
      <c r="O196" s="954"/>
      <c r="P196" s="957">
        <f>SUM(P191:P195)</f>
        <v>1533455</v>
      </c>
    </row>
    <row r="197" spans="1:16" ht="13.5" hidden="1" thickTop="1">
      <c r="A197" s="956"/>
      <c r="B197" s="924"/>
      <c r="C197" s="924"/>
      <c r="D197" s="956"/>
      <c r="E197" s="923"/>
      <c r="F197" s="923"/>
      <c r="G197" s="923"/>
      <c r="H197" s="924"/>
      <c r="I197" s="924"/>
      <c r="J197" s="941"/>
      <c r="K197" s="924"/>
      <c r="L197" s="941"/>
      <c r="M197" s="924"/>
      <c r="N197" s="942"/>
      <c r="O197" s="924"/>
      <c r="P197" s="942"/>
    </row>
    <row r="198" spans="1:16" ht="12.75" hidden="1">
      <c r="A198" s="924"/>
      <c r="B198" s="940" t="s">
        <v>1460</v>
      </c>
      <c r="C198" s="940"/>
      <c r="D198" s="940"/>
      <c r="E198" s="923"/>
      <c r="F198" s="923"/>
      <c r="G198" s="923"/>
      <c r="H198" s="924"/>
      <c r="I198" s="924"/>
      <c r="J198" s="941"/>
      <c r="K198" s="924"/>
      <c r="L198" s="941"/>
      <c r="M198" s="924"/>
      <c r="N198" s="942"/>
      <c r="O198" s="924"/>
      <c r="P198" s="942"/>
    </row>
    <row r="199" spans="1:16" ht="12.75" hidden="1">
      <c r="A199" s="924"/>
      <c r="B199" s="923" t="s">
        <v>1315</v>
      </c>
      <c r="C199" s="923"/>
      <c r="D199" s="923"/>
      <c r="E199" s="923"/>
      <c r="F199" s="923"/>
      <c r="G199" s="923"/>
      <c r="H199" s="924"/>
      <c r="I199" s="924"/>
      <c r="J199" s="954">
        <v>0</v>
      </c>
      <c r="K199" s="924"/>
      <c r="L199" s="954">
        <v>0</v>
      </c>
      <c r="M199" s="958"/>
      <c r="N199" s="925">
        <v>1287</v>
      </c>
      <c r="O199" s="958"/>
      <c r="P199" s="925">
        <f>SUM(L199:N199)</f>
        <v>1287</v>
      </c>
    </row>
    <row r="200" spans="1:16" ht="12.75" hidden="1">
      <c r="A200" s="924"/>
      <c r="B200" s="923" t="s">
        <v>1316</v>
      </c>
      <c r="C200" s="923"/>
      <c r="D200" s="923"/>
      <c r="E200" s="923"/>
      <c r="F200" s="923"/>
      <c r="G200" s="923"/>
      <c r="H200" s="924"/>
      <c r="I200" s="924"/>
      <c r="J200" s="954">
        <v>0</v>
      </c>
      <c r="K200" s="924"/>
      <c r="L200" s="954">
        <v>0</v>
      </c>
      <c r="M200" s="958"/>
      <c r="N200" s="925">
        <v>175</v>
      </c>
      <c r="O200" s="958"/>
      <c r="P200" s="925">
        <f>SUM(L200:N200)</f>
        <v>175</v>
      </c>
    </row>
    <row r="201" spans="1:16" ht="12.75" hidden="1">
      <c r="A201" s="924"/>
      <c r="B201" s="946" t="s">
        <v>1461</v>
      </c>
      <c r="C201" s="946"/>
      <c r="D201" s="923"/>
      <c r="E201" s="923"/>
      <c r="F201" s="923"/>
      <c r="G201" s="923"/>
      <c r="H201" s="924"/>
      <c r="I201" s="924"/>
      <c r="J201" s="954">
        <v>0</v>
      </c>
      <c r="K201" s="924"/>
      <c r="L201" s="954">
        <v>0</v>
      </c>
      <c r="M201" s="958"/>
      <c r="N201" s="925">
        <v>47</v>
      </c>
      <c r="O201" s="958"/>
      <c r="P201" s="925">
        <f>SUM(L201:N201)</f>
        <v>47</v>
      </c>
    </row>
    <row r="202" spans="1:16" ht="12.75" hidden="1">
      <c r="A202" s="924"/>
      <c r="B202" s="946" t="s">
        <v>1462</v>
      </c>
      <c r="C202" s="946"/>
      <c r="D202" s="923"/>
      <c r="E202" s="923"/>
      <c r="F202" s="923"/>
      <c r="G202" s="923"/>
      <c r="H202" s="924"/>
      <c r="I202" s="924"/>
      <c r="J202" s="954">
        <v>0</v>
      </c>
      <c r="K202" s="924"/>
      <c r="L202" s="954">
        <v>0</v>
      </c>
      <c r="M202" s="958"/>
      <c r="N202" s="925">
        <v>1195</v>
      </c>
      <c r="O202" s="958"/>
      <c r="P202" s="925">
        <f>SUM(L202:N202)</f>
        <v>1195</v>
      </c>
    </row>
    <row r="203" spans="1:16" ht="13.5" hidden="1" thickBot="1">
      <c r="A203" s="923"/>
      <c r="B203" s="924"/>
      <c r="C203" s="924"/>
      <c r="D203" s="923"/>
      <c r="E203" s="923"/>
      <c r="F203" s="923"/>
      <c r="G203" s="923"/>
      <c r="H203" s="924"/>
      <c r="I203" s="924"/>
      <c r="J203" s="957">
        <f>SUM(J199:J202)</f>
        <v>0</v>
      </c>
      <c r="K203" s="924"/>
      <c r="L203" s="957">
        <f>SUM(L199:L202)</f>
        <v>0</v>
      </c>
      <c r="M203" s="958"/>
      <c r="N203" s="959">
        <f>SUM(N199:N202)</f>
        <v>2704</v>
      </c>
      <c r="O203" s="958"/>
      <c r="P203" s="959">
        <f>SUM(P199:P202)</f>
        <v>2704</v>
      </c>
    </row>
    <row r="204" spans="1:16" ht="13.5" hidden="1" thickTop="1">
      <c r="A204" s="924"/>
      <c r="B204" s="924"/>
      <c r="C204" s="924"/>
      <c r="D204" s="924"/>
      <c r="E204" s="924"/>
      <c r="F204" s="924"/>
      <c r="G204" s="924"/>
      <c r="H204" s="924"/>
      <c r="I204" s="924"/>
      <c r="J204" s="924"/>
      <c r="K204" s="924"/>
      <c r="L204" s="924"/>
      <c r="M204" s="924"/>
      <c r="N204" s="924"/>
      <c r="O204" s="924"/>
      <c r="P204" s="924"/>
    </row>
    <row r="205" spans="1:16" hidden="1"/>
    <row r="210" spans="1:33" ht="12.75">
      <c r="A210" s="427"/>
      <c r="B210" s="414" t="s">
        <v>1249</v>
      </c>
      <c r="C210" s="414"/>
      <c r="D210" s="414"/>
      <c r="E210" s="414"/>
      <c r="F210" s="414"/>
      <c r="G210" s="414"/>
      <c r="H210" s="1240"/>
      <c r="I210" s="1240"/>
      <c r="J210" s="1240"/>
      <c r="K210" s="1240"/>
      <c r="L210" s="1240"/>
      <c r="M210" s="1240"/>
      <c r="N210" s="1240"/>
      <c r="O210" s="1240"/>
      <c r="P210" s="1240"/>
      <c r="R210" s="465"/>
      <c r="S210" s="465"/>
    </row>
    <row r="211" spans="1:33" ht="12.75">
      <c r="A211" s="415"/>
      <c r="B211" s="1238"/>
      <c r="C211" s="1238"/>
      <c r="D211" s="1238"/>
      <c r="E211" s="1238"/>
      <c r="F211" s="1238"/>
      <c r="G211" s="1238"/>
      <c r="H211" s="1240"/>
      <c r="I211" s="1240"/>
      <c r="J211" s="1240"/>
      <c r="K211" s="1240"/>
      <c r="L211" s="1240"/>
      <c r="M211" s="1240"/>
      <c r="N211" s="1240"/>
      <c r="O211" s="1240"/>
      <c r="P211" s="1240"/>
      <c r="R211" s="465"/>
      <c r="S211" s="465"/>
    </row>
    <row r="212" spans="1:33" ht="12.75">
      <c r="A212" s="415"/>
      <c r="B212" s="2220" t="s">
        <v>1413</v>
      </c>
      <c r="C212" s="2061"/>
      <c r="D212" s="2061"/>
      <c r="E212" s="2061"/>
      <c r="F212" s="2061"/>
      <c r="G212" s="2061"/>
      <c r="H212" s="2061"/>
      <c r="I212" s="2061"/>
      <c r="J212" s="2061"/>
      <c r="K212" s="2061"/>
      <c r="L212" s="2061"/>
      <c r="M212" s="2061"/>
      <c r="N212" s="2061"/>
      <c r="O212" s="2061"/>
      <c r="P212" s="2061"/>
      <c r="Q212" s="466"/>
      <c r="R212" s="467"/>
      <c r="S212" s="467"/>
      <c r="T212" s="1241"/>
      <c r="U212" s="1241"/>
      <c r="V212" s="1241"/>
      <c r="W212" s="1241"/>
      <c r="X212" s="1241"/>
      <c r="Y212" s="1241"/>
      <c r="Z212" s="1241"/>
      <c r="AA212" s="1241"/>
      <c r="AB212" s="1241"/>
      <c r="AC212" s="1241"/>
      <c r="AD212" s="1241"/>
      <c r="AE212" s="1241"/>
      <c r="AF212" s="1241"/>
      <c r="AG212" s="1241"/>
    </row>
    <row r="213" spans="1:33" ht="12.75">
      <c r="A213" s="415"/>
      <c r="B213" s="2220"/>
      <c r="C213" s="2061"/>
      <c r="D213" s="2061"/>
      <c r="E213" s="2061"/>
      <c r="F213" s="2061"/>
      <c r="G213" s="2061"/>
      <c r="H213" s="2061"/>
      <c r="I213" s="2061"/>
      <c r="J213" s="2061"/>
      <c r="K213" s="2061"/>
      <c r="L213" s="2061"/>
      <c r="M213" s="2061"/>
      <c r="N213" s="2061"/>
      <c r="O213" s="2061"/>
      <c r="P213" s="2061"/>
      <c r="Q213" s="466"/>
      <c r="R213" s="467"/>
      <c r="S213" s="467"/>
      <c r="T213" s="1241"/>
      <c r="U213" s="1241"/>
      <c r="V213" s="1241"/>
      <c r="W213" s="1241"/>
      <c r="X213" s="1241"/>
      <c r="Y213" s="1241"/>
      <c r="Z213" s="1241"/>
      <c r="AA213" s="1241"/>
      <c r="AB213" s="1241"/>
      <c r="AC213" s="1241"/>
      <c r="AD213" s="1241"/>
      <c r="AE213" s="1241"/>
      <c r="AF213" s="1241"/>
      <c r="AG213" s="1241"/>
    </row>
    <row r="214" spans="1:33" ht="12.75">
      <c r="A214" s="415"/>
      <c r="B214" s="2220"/>
      <c r="C214" s="2061"/>
      <c r="D214" s="2061"/>
      <c r="E214" s="2061"/>
      <c r="F214" s="2061"/>
      <c r="G214" s="2061"/>
      <c r="H214" s="2061"/>
      <c r="I214" s="2061"/>
      <c r="J214" s="2061"/>
      <c r="K214" s="2061"/>
      <c r="L214" s="2061"/>
      <c r="M214" s="2061"/>
      <c r="N214" s="2061"/>
      <c r="O214" s="2061"/>
      <c r="P214" s="2061"/>
      <c r="Q214" s="466"/>
      <c r="R214" s="467"/>
      <c r="S214" s="467"/>
      <c r="T214" s="1241"/>
      <c r="U214" s="1241"/>
      <c r="V214" s="1241"/>
      <c r="W214" s="1241"/>
      <c r="X214" s="1241"/>
      <c r="Y214" s="1241"/>
      <c r="Z214" s="1241"/>
      <c r="AA214" s="1241"/>
      <c r="AB214" s="1241"/>
      <c r="AC214" s="1241"/>
      <c r="AD214" s="1241"/>
      <c r="AE214" s="1241"/>
      <c r="AF214" s="1241"/>
      <c r="AG214" s="1241"/>
    </row>
    <row r="215" spans="1:33" ht="12.75">
      <c r="A215" s="415"/>
      <c r="B215" s="696"/>
      <c r="C215" s="434"/>
      <c r="D215" s="434"/>
      <c r="E215" s="434"/>
      <c r="F215" s="434"/>
      <c r="G215" s="434"/>
      <c r="H215" s="434"/>
      <c r="I215" s="434"/>
      <c r="J215" s="434"/>
      <c r="K215" s="434"/>
      <c r="L215" s="434"/>
      <c r="M215" s="434"/>
      <c r="N215" s="434"/>
      <c r="O215" s="434"/>
      <c r="P215" s="434"/>
      <c r="Q215" s="466"/>
      <c r="R215" s="467"/>
      <c r="S215" s="467"/>
      <c r="T215" s="1241"/>
      <c r="U215" s="1241"/>
      <c r="V215" s="1241"/>
      <c r="W215" s="1241"/>
      <c r="X215" s="1241"/>
      <c r="Y215" s="1241"/>
      <c r="Z215" s="1241"/>
      <c r="AA215" s="1241"/>
      <c r="AB215" s="1241"/>
      <c r="AC215" s="1241"/>
      <c r="AD215" s="1241"/>
      <c r="AE215" s="1241"/>
      <c r="AF215" s="1241"/>
      <c r="AG215" s="1241"/>
    </row>
    <row r="216" spans="1:33" ht="12.75">
      <c r="A216" s="415"/>
      <c r="B216" s="2220" t="s">
        <v>1414</v>
      </c>
      <c r="C216" s="2061"/>
      <c r="D216" s="2061"/>
      <c r="E216" s="2061"/>
      <c r="F216" s="2061"/>
      <c r="G216" s="2061"/>
      <c r="H216" s="2061"/>
      <c r="I216" s="2061"/>
      <c r="J216" s="2061"/>
      <c r="K216" s="2061"/>
      <c r="L216" s="2061"/>
      <c r="M216" s="2061"/>
      <c r="N216" s="2061"/>
      <c r="O216" s="2061"/>
      <c r="P216" s="2061"/>
      <c r="Q216" s="466"/>
      <c r="R216" s="467"/>
      <c r="S216" s="467"/>
      <c r="T216" s="1241"/>
      <c r="U216" s="1241"/>
      <c r="V216" s="1241"/>
      <c r="W216" s="1241"/>
      <c r="X216" s="1241"/>
      <c r="Y216" s="1241"/>
      <c r="Z216" s="1241"/>
      <c r="AA216" s="1241"/>
      <c r="AB216" s="1241"/>
      <c r="AC216" s="1241"/>
      <c r="AD216" s="1241"/>
      <c r="AE216" s="1241"/>
      <c r="AF216" s="1241"/>
      <c r="AG216" s="1241"/>
    </row>
    <row r="217" spans="1:33" ht="12.75">
      <c r="A217" s="415"/>
      <c r="B217" s="2220"/>
      <c r="C217" s="2061"/>
      <c r="D217" s="2061"/>
      <c r="E217" s="2061"/>
      <c r="F217" s="2061"/>
      <c r="G217" s="2061"/>
      <c r="H217" s="2061"/>
      <c r="I217" s="2061"/>
      <c r="J217" s="2061"/>
      <c r="K217" s="2061"/>
      <c r="L217" s="2061"/>
      <c r="M217" s="2061"/>
      <c r="N217" s="2061"/>
      <c r="O217" s="2061"/>
      <c r="P217" s="2061"/>
      <c r="Q217" s="466"/>
      <c r="R217" s="467"/>
      <c r="S217" s="467"/>
      <c r="T217" s="1241"/>
      <c r="U217" s="1241"/>
      <c r="V217" s="1241"/>
      <c r="W217" s="1241"/>
      <c r="X217" s="1241"/>
      <c r="Y217" s="1241"/>
      <c r="Z217" s="1241"/>
      <c r="AA217" s="1241"/>
      <c r="AB217" s="1241"/>
      <c r="AC217" s="1241"/>
      <c r="AD217" s="1241"/>
      <c r="AE217" s="1241"/>
      <c r="AF217" s="1241"/>
      <c r="AG217" s="1241"/>
    </row>
    <row r="218" spans="1:33" ht="12.75">
      <c r="A218" s="415"/>
      <c r="B218" s="2220"/>
      <c r="C218" s="2061"/>
      <c r="D218" s="2061"/>
      <c r="E218" s="2061"/>
      <c r="F218" s="2061"/>
      <c r="G218" s="2061"/>
      <c r="H218" s="2061"/>
      <c r="I218" s="2061"/>
      <c r="J218" s="2061"/>
      <c r="K218" s="2061"/>
      <c r="L218" s="2061"/>
      <c r="M218" s="2061"/>
      <c r="N218" s="2061"/>
      <c r="O218" s="2061"/>
      <c r="P218" s="2061"/>
      <c r="Q218" s="466"/>
      <c r="R218" s="467"/>
      <c r="S218" s="467"/>
      <c r="T218" s="1241"/>
      <c r="U218" s="1241"/>
      <c r="V218" s="1241"/>
      <c r="W218" s="1241"/>
      <c r="X218" s="1241"/>
      <c r="Y218" s="1241"/>
      <c r="Z218" s="1241"/>
      <c r="AA218" s="1241"/>
      <c r="AB218" s="1241"/>
      <c r="AC218" s="1241"/>
      <c r="AD218" s="1241"/>
      <c r="AE218" s="1241"/>
      <c r="AF218" s="1241"/>
      <c r="AG218" s="1241"/>
    </row>
    <row r="219" spans="1:33" ht="12.75">
      <c r="A219" s="415"/>
      <c r="B219" s="2061"/>
      <c r="C219" s="2061"/>
      <c r="D219" s="2061"/>
      <c r="E219" s="2061"/>
      <c r="F219" s="2061"/>
      <c r="G219" s="2061"/>
      <c r="H219" s="2061"/>
      <c r="I219" s="2061"/>
      <c r="J219" s="2061"/>
      <c r="K219" s="2061"/>
      <c r="L219" s="2061"/>
      <c r="M219" s="2061"/>
      <c r="N219" s="2061"/>
      <c r="O219" s="2061"/>
      <c r="P219" s="2061"/>
      <c r="Q219" s="466"/>
      <c r="R219" s="467"/>
      <c r="S219" s="467"/>
      <c r="T219" s="1241"/>
      <c r="U219" s="1241"/>
      <c r="V219" s="1241"/>
      <c r="W219" s="1241"/>
      <c r="X219" s="1241"/>
      <c r="Y219" s="1241"/>
      <c r="Z219" s="1241"/>
      <c r="AA219" s="1241"/>
      <c r="AB219" s="1241"/>
      <c r="AC219" s="1241"/>
      <c r="AD219" s="1241"/>
      <c r="AE219" s="1241"/>
      <c r="AF219" s="1241"/>
      <c r="AG219" s="1241"/>
    </row>
    <row r="220" spans="1:33">
      <c r="Q220" s="466"/>
      <c r="R220" s="466"/>
      <c r="S220" s="466"/>
    </row>
    <row r="221" spans="1:33">
      <c r="Q221" s="466"/>
      <c r="R221" s="466"/>
      <c r="S221" s="466"/>
    </row>
    <row r="222" spans="1:33">
      <c r="Q222" s="466"/>
      <c r="R222" s="466"/>
      <c r="S222" s="466"/>
    </row>
    <row r="223" spans="1:33">
      <c r="Q223" s="466"/>
      <c r="R223" s="466"/>
      <c r="S223" s="466"/>
    </row>
    <row r="224" spans="1:33" s="417" customFormat="1" ht="22.5">
      <c r="Q224" s="468" t="s">
        <v>1252</v>
      </c>
      <c r="R224" s="2209" t="s">
        <v>1253</v>
      </c>
      <c r="S224" s="2210"/>
      <c r="T224" s="2211"/>
    </row>
    <row r="225" spans="1:22" s="417" customFormat="1" thickBot="1">
      <c r="Q225" s="469"/>
      <c r="R225" s="470"/>
      <c r="S225" s="470"/>
    </row>
    <row r="226" spans="1:22" s="417" customFormat="1" ht="15" customHeight="1" thickBot="1">
      <c r="Q226" s="472">
        <v>21</v>
      </c>
      <c r="R226" s="473" t="s">
        <v>1256</v>
      </c>
      <c r="S226" s="474"/>
      <c r="V226" s="1297" t="s">
        <v>1449</v>
      </c>
    </row>
    <row r="227" spans="1:22" s="417" customFormat="1" ht="15" customHeight="1" thickBot="1">
      <c r="Q227" s="472">
        <v>15</v>
      </c>
      <c r="R227" s="473" t="s">
        <v>1257</v>
      </c>
      <c r="S227" s="474"/>
      <c r="V227" s="1298" t="s">
        <v>1340</v>
      </c>
    </row>
    <row r="228" spans="1:22" s="417" customFormat="1" ht="15" customHeight="1" thickBot="1">
      <c r="Q228" s="472">
        <v>7</v>
      </c>
      <c r="R228" s="473" t="s">
        <v>1259</v>
      </c>
      <c r="S228" s="474"/>
      <c r="V228" s="1298" t="s">
        <v>1341</v>
      </c>
    </row>
    <row r="229" spans="1:22" s="417" customFormat="1" ht="15" customHeight="1" thickBot="1">
      <c r="Q229" s="472">
        <v>13</v>
      </c>
      <c r="R229" s="473" t="s">
        <v>1258</v>
      </c>
      <c r="S229" s="474"/>
      <c r="V229" s="1298" t="s">
        <v>1342</v>
      </c>
    </row>
    <row r="230" spans="1:22" s="417" customFormat="1" ht="12.75" thickBot="1">
      <c r="Q230" s="472"/>
      <c r="R230" s="473"/>
      <c r="S230" s="474"/>
      <c r="V230" s="1298" t="s">
        <v>1343</v>
      </c>
    </row>
    <row r="231" spans="1:22" s="417" customFormat="1" ht="12.75" thickBot="1">
      <c r="Q231" s="472"/>
      <c r="R231" s="473"/>
      <c r="S231" s="474"/>
      <c r="V231" s="1298" t="s">
        <v>1344</v>
      </c>
    </row>
    <row r="232" spans="1:22" s="417" customFormat="1" ht="11.25">
      <c r="Q232" s="472">
        <v>15</v>
      </c>
      <c r="R232" s="475" t="s">
        <v>1260</v>
      </c>
      <c r="S232" s="474"/>
    </row>
    <row r="233" spans="1:22" s="417" customFormat="1" ht="11.25">
      <c r="Q233" s="440"/>
      <c r="R233" s="441"/>
      <c r="S233" s="441"/>
    </row>
    <row r="234" spans="1:22">
      <c r="Q234" s="466"/>
      <c r="R234" s="466"/>
      <c r="S234" s="466"/>
    </row>
    <row r="235" spans="1:22" ht="12.75">
      <c r="A235" s="477"/>
      <c r="B235" s="416"/>
      <c r="C235" s="416"/>
      <c r="D235" s="416"/>
      <c r="E235" s="416"/>
      <c r="F235" s="416"/>
      <c r="G235" s="416"/>
      <c r="H235" s="416"/>
      <c r="I235" s="416"/>
      <c r="J235" s="416"/>
      <c r="K235" s="416"/>
      <c r="L235" s="416"/>
      <c r="M235" s="416"/>
      <c r="N235" s="416"/>
      <c r="O235" s="416"/>
      <c r="P235" s="416"/>
      <c r="Q235" s="466"/>
      <c r="R235" s="466"/>
      <c r="S235" s="466"/>
    </row>
    <row r="236" spans="1:22" ht="12.75">
      <c r="A236" s="410" t="s">
        <v>1415</v>
      </c>
      <c r="B236" s="414" t="s">
        <v>1261</v>
      </c>
      <c r="C236" s="411"/>
      <c r="D236" s="411"/>
      <c r="E236" s="411"/>
      <c r="F236" s="411"/>
      <c r="G236" s="411"/>
      <c r="H236" s="411"/>
      <c r="I236" s="411"/>
      <c r="J236" s="411"/>
      <c r="K236" s="411"/>
      <c r="L236" s="411"/>
      <c r="M236" s="411"/>
      <c r="N236" s="411"/>
      <c r="O236" s="411"/>
      <c r="P236" s="416"/>
      <c r="Q236" s="466"/>
      <c r="R236" s="466"/>
      <c r="S236" s="466"/>
    </row>
    <row r="237" spans="1:22" ht="12.75">
      <c r="A237" s="413"/>
      <c r="B237" s="414"/>
      <c r="C237" s="411"/>
      <c r="D237" s="411"/>
      <c r="E237" s="411"/>
      <c r="F237" s="411"/>
      <c r="G237" s="411"/>
      <c r="H237" s="411"/>
      <c r="I237" s="411"/>
      <c r="J237" s="411"/>
      <c r="K237" s="411"/>
      <c r="L237" s="411"/>
      <c r="M237" s="411"/>
      <c r="N237" s="411"/>
      <c r="O237" s="411"/>
      <c r="P237" s="416"/>
      <c r="Q237" s="466"/>
      <c r="R237" s="466"/>
      <c r="S237" s="466"/>
    </row>
    <row r="238" spans="1:22" ht="12.75">
      <c r="A238" s="413"/>
      <c r="B238" s="478" t="s">
        <v>1335</v>
      </c>
      <c r="C238" s="411"/>
      <c r="D238" s="411"/>
      <c r="E238" s="411"/>
      <c r="F238" s="411"/>
      <c r="G238" s="411"/>
      <c r="H238" s="411"/>
      <c r="I238" s="411"/>
      <c r="J238" s="411"/>
      <c r="K238" s="411"/>
      <c r="L238" s="411"/>
      <c r="M238" s="411"/>
      <c r="N238" s="411"/>
      <c r="O238" s="411"/>
      <c r="P238" s="416"/>
      <c r="Q238" s="466"/>
      <c r="R238" s="466"/>
      <c r="S238" s="466"/>
    </row>
    <row r="239" spans="1:22" ht="12.75">
      <c r="A239" s="413"/>
      <c r="B239" s="479"/>
      <c r="C239" s="411"/>
      <c r="D239" s="411"/>
      <c r="E239" s="411"/>
      <c r="F239" s="411"/>
      <c r="G239" s="411"/>
      <c r="H239" s="411"/>
      <c r="I239" s="411"/>
      <c r="J239" s="411"/>
      <c r="K239" s="411"/>
      <c r="L239" s="411"/>
      <c r="M239" s="411"/>
      <c r="N239" s="411"/>
      <c r="O239" s="411"/>
      <c r="P239" s="416"/>
      <c r="Q239" s="466"/>
      <c r="R239" s="466"/>
      <c r="S239" s="466"/>
    </row>
    <row r="240" spans="1:22" s="485" customFormat="1" ht="12.75">
      <c r="A240" s="480"/>
      <c r="B240" s="481" t="s">
        <v>1250</v>
      </c>
      <c r="C240" s="2174" t="s">
        <v>971</v>
      </c>
      <c r="D240" s="2175"/>
      <c r="E240" s="2175"/>
      <c r="F240" s="2175"/>
      <c r="G240" s="2175"/>
      <c r="H240" s="2173"/>
      <c r="I240" s="2173"/>
      <c r="J240" s="2173"/>
      <c r="K240" s="2173"/>
      <c r="L240" s="2173"/>
      <c r="M240" s="2173"/>
      <c r="N240" s="2173"/>
      <c r="O240" s="917"/>
      <c r="P240" s="482" t="s">
        <v>1263</v>
      </c>
      <c r="Q240" s="483"/>
      <c r="R240" s="631" t="s">
        <v>1320</v>
      </c>
      <c r="S240" s="484" t="s">
        <v>1327</v>
      </c>
      <c r="T240" s="485" t="s">
        <v>1328</v>
      </c>
    </row>
    <row r="241" spans="1:20" ht="12.75">
      <c r="A241" s="448"/>
      <c r="B241" s="486"/>
      <c r="C241" s="487"/>
      <c r="D241" s="487"/>
      <c r="E241" s="487"/>
      <c r="F241" s="487"/>
      <c r="G241" s="487"/>
      <c r="H241" s="487"/>
      <c r="I241" s="487"/>
      <c r="J241" s="487"/>
      <c r="K241" s="487"/>
      <c r="L241" s="487"/>
      <c r="M241" s="487"/>
      <c r="N241" s="487"/>
      <c r="O241" s="487"/>
      <c r="P241" s="488"/>
      <c r="Q241" s="489"/>
      <c r="R241" s="632" t="s">
        <v>1321</v>
      </c>
      <c r="S241" s="634">
        <v>31288</v>
      </c>
      <c r="T241" s="636">
        <f t="shared" ref="T241:T246" si="2">ROUND(S241/$S$247,5)</f>
        <v>0.49058000000000002</v>
      </c>
    </row>
    <row r="242" spans="1:20" s="562" customFormat="1" ht="12.75">
      <c r="A242" s="477"/>
      <c r="D242" s="414"/>
      <c r="E242" s="414"/>
      <c r="F242" s="414"/>
      <c r="G242" s="414"/>
      <c r="H242" s="414"/>
      <c r="I242" s="414"/>
      <c r="J242" s="414"/>
      <c r="K242" s="414"/>
      <c r="L242" s="414"/>
      <c r="M242" s="414"/>
      <c r="N242" s="414"/>
      <c r="O242" s="414"/>
      <c r="Q242" s="621"/>
      <c r="R242" s="633" t="s">
        <v>1322</v>
      </c>
      <c r="S242" s="635">
        <v>12788</v>
      </c>
      <c r="T242" s="636">
        <f t="shared" si="2"/>
        <v>0.20050999999999999</v>
      </c>
    </row>
    <row r="243" spans="1:20" s="562" customFormat="1" ht="12.75">
      <c r="A243" s="477"/>
      <c r="D243" s="414"/>
      <c r="E243" s="414"/>
      <c r="F243" s="414"/>
      <c r="G243" s="414"/>
      <c r="H243" s="414"/>
      <c r="I243" s="414"/>
      <c r="J243" s="414"/>
      <c r="K243" s="414"/>
      <c r="L243" s="414"/>
      <c r="M243" s="414"/>
      <c r="N243" s="414"/>
      <c r="O243" s="414"/>
      <c r="Q243" s="621"/>
      <c r="R243" s="633" t="s">
        <v>1323</v>
      </c>
      <c r="S243" s="635">
        <v>7276</v>
      </c>
      <c r="T243" s="636">
        <f t="shared" si="2"/>
        <v>0.11408</v>
      </c>
    </row>
    <row r="244" spans="1:20" s="562" customFormat="1" ht="12.75">
      <c r="A244" s="477"/>
      <c r="D244" s="414"/>
      <c r="E244" s="414"/>
      <c r="F244" s="414"/>
      <c r="G244" s="414"/>
      <c r="H244" s="414"/>
      <c r="I244" s="414"/>
      <c r="J244" s="414"/>
      <c r="K244" s="414"/>
      <c r="L244" s="414"/>
      <c r="M244" s="414"/>
      <c r="N244" s="414"/>
      <c r="O244" s="414"/>
      <c r="Q244" s="621"/>
      <c r="R244" s="633" t="s">
        <v>1324</v>
      </c>
      <c r="S244" s="635">
        <v>6949</v>
      </c>
      <c r="T244" s="636">
        <f t="shared" si="2"/>
        <v>0.10896</v>
      </c>
    </row>
    <row r="245" spans="1:20" s="562" customFormat="1" ht="12.75">
      <c r="A245" s="477"/>
      <c r="D245" s="414"/>
      <c r="E245" s="414"/>
      <c r="F245" s="414"/>
      <c r="G245" s="414"/>
      <c r="H245" s="414"/>
      <c r="I245" s="414"/>
      <c r="J245" s="414"/>
      <c r="K245" s="414"/>
      <c r="L245" s="414"/>
      <c r="M245" s="414"/>
      <c r="N245" s="414"/>
      <c r="O245" s="414"/>
      <c r="Q245" s="621"/>
      <c r="R245" s="633" t="s">
        <v>1325</v>
      </c>
      <c r="S245" s="635">
        <v>5152</v>
      </c>
      <c r="T245" s="636">
        <f t="shared" si="2"/>
        <v>8.0780000000000005E-2</v>
      </c>
    </row>
    <row r="246" spans="1:20" s="562" customFormat="1" ht="12.75">
      <c r="A246" s="477"/>
      <c r="D246" s="414"/>
      <c r="E246" s="414"/>
      <c r="F246" s="414"/>
      <c r="G246" s="414"/>
      <c r="H246" s="414"/>
      <c r="I246" s="414"/>
      <c r="J246" s="414"/>
      <c r="K246" s="414"/>
      <c r="L246" s="414"/>
      <c r="M246" s="414"/>
      <c r="N246" s="414"/>
      <c r="O246" s="414"/>
      <c r="Q246" s="621"/>
      <c r="R246" s="633" t="s">
        <v>1326</v>
      </c>
      <c r="S246" s="635">
        <v>325</v>
      </c>
      <c r="T246" s="636">
        <f t="shared" si="2"/>
        <v>5.1000000000000004E-3</v>
      </c>
    </row>
    <row r="247" spans="1:20" s="562" customFormat="1" ht="12.75">
      <c r="A247" s="477"/>
      <c r="D247" s="414"/>
      <c r="E247" s="414"/>
      <c r="F247" s="414"/>
      <c r="G247" s="414"/>
      <c r="H247" s="414"/>
      <c r="I247" s="414"/>
      <c r="J247" s="414"/>
      <c r="K247" s="414"/>
      <c r="L247" s="414"/>
      <c r="M247" s="414"/>
      <c r="N247" s="414"/>
      <c r="O247" s="414"/>
      <c r="Q247" s="621"/>
      <c r="R247" s="622"/>
      <c r="S247" s="702">
        <f>SUM(S241:S246)</f>
        <v>63778</v>
      </c>
    </row>
    <row r="248" spans="1:20" ht="12.75">
      <c r="A248" s="448"/>
      <c r="B248" s="411"/>
      <c r="C248" s="411"/>
      <c r="D248" s="411"/>
      <c r="E248" s="411"/>
      <c r="F248" s="411"/>
      <c r="G248" s="411"/>
      <c r="H248" s="411"/>
      <c r="I248" s="411"/>
      <c r="J248" s="411"/>
      <c r="K248" s="411"/>
      <c r="L248" s="411"/>
      <c r="M248" s="411"/>
      <c r="N248" s="411"/>
      <c r="O248" s="411"/>
      <c r="P248" s="411"/>
    </row>
    <row r="249" spans="1:20" ht="12.75">
      <c r="A249" s="413"/>
      <c r="B249" s="478" t="s">
        <v>1262</v>
      </c>
      <c r="C249" s="411"/>
      <c r="D249" s="411"/>
      <c r="E249" s="411"/>
      <c r="F249" s="411"/>
      <c r="G249" s="411"/>
      <c r="H249" s="411"/>
      <c r="I249" s="411"/>
      <c r="J249" s="411"/>
      <c r="K249" s="411"/>
      <c r="L249" s="411"/>
      <c r="M249" s="411"/>
      <c r="N249" s="411"/>
      <c r="O249" s="411"/>
      <c r="P249" s="491"/>
      <c r="Q249" s="492"/>
      <c r="R249" s="493"/>
      <c r="S249" s="493"/>
    </row>
    <row r="250" spans="1:20" ht="12.75">
      <c r="A250" s="413"/>
      <c r="B250" s="479"/>
      <c r="C250" s="411"/>
      <c r="D250" s="411"/>
      <c r="E250" s="411"/>
      <c r="F250" s="411"/>
      <c r="G250" s="411"/>
      <c r="H250" s="411"/>
      <c r="I250" s="411"/>
      <c r="J250" s="411"/>
      <c r="K250" s="411"/>
      <c r="L250" s="411"/>
      <c r="M250" s="411"/>
      <c r="N250" s="411"/>
      <c r="O250" s="411"/>
      <c r="P250" s="491"/>
      <c r="Q250" s="492"/>
      <c r="R250" s="493"/>
      <c r="S250" s="493"/>
    </row>
    <row r="251" spans="1:20" s="485" customFormat="1" ht="12.75">
      <c r="A251" s="494"/>
      <c r="B251" s="1242" t="s">
        <v>1250</v>
      </c>
      <c r="C251" s="2171" t="s">
        <v>971</v>
      </c>
      <c r="D251" s="2172"/>
      <c r="E251" s="2172"/>
      <c r="F251" s="2172"/>
      <c r="G251" s="2172"/>
      <c r="H251" s="2173"/>
      <c r="I251" s="2173"/>
      <c r="J251" s="2173"/>
      <c r="K251" s="2173"/>
      <c r="L251" s="2173"/>
      <c r="M251" s="2173"/>
      <c r="N251" s="2173"/>
      <c r="O251" s="917"/>
      <c r="P251" s="495" t="s">
        <v>1263</v>
      </c>
      <c r="Q251" s="489"/>
      <c r="R251" s="496"/>
      <c r="S251" s="496"/>
    </row>
    <row r="252" spans="1:20" ht="12.75">
      <c r="A252" s="755"/>
      <c r="B252" s="486"/>
      <c r="C252" s="487"/>
      <c r="D252" s="487"/>
      <c r="E252" s="487"/>
      <c r="F252" s="487"/>
      <c r="G252" s="487"/>
      <c r="H252" s="487"/>
      <c r="I252" s="487"/>
      <c r="J252" s="487"/>
      <c r="K252" s="487"/>
      <c r="L252" s="487"/>
      <c r="M252" s="487"/>
      <c r="N252" s="487"/>
      <c r="O252" s="487"/>
      <c r="P252" s="488"/>
      <c r="Q252" s="489"/>
      <c r="R252" s="490"/>
      <c r="S252" s="490"/>
    </row>
    <row r="253" spans="1:20" ht="12.75">
      <c r="A253" s="755"/>
      <c r="D253" s="416"/>
      <c r="E253" s="416"/>
      <c r="F253" s="416"/>
      <c r="G253" s="416"/>
      <c r="H253" s="416"/>
      <c r="I253" s="416"/>
      <c r="J253" s="416"/>
      <c r="K253" s="416"/>
      <c r="L253" s="416"/>
      <c r="M253" s="416"/>
      <c r="N253" s="416"/>
      <c r="O253" s="416"/>
      <c r="Q253" s="497"/>
      <c r="R253" s="498"/>
      <c r="S253" s="498"/>
    </row>
    <row r="254" spans="1:20" ht="12.75">
      <c r="A254" s="755"/>
      <c r="D254" s="416"/>
      <c r="E254" s="416"/>
      <c r="F254" s="416"/>
      <c r="G254" s="416"/>
      <c r="H254" s="416"/>
      <c r="I254" s="416"/>
      <c r="J254" s="416"/>
      <c r="K254" s="416"/>
      <c r="L254" s="416"/>
      <c r="M254" s="416"/>
      <c r="N254" s="416"/>
      <c r="O254" s="416"/>
      <c r="Q254" s="497"/>
      <c r="R254" s="498"/>
      <c r="S254" s="498"/>
    </row>
    <row r="255" spans="1:20" ht="12.75">
      <c r="A255" s="755"/>
      <c r="D255" s="416"/>
      <c r="E255" s="416"/>
      <c r="F255" s="416"/>
      <c r="G255" s="416"/>
      <c r="H255" s="416"/>
      <c r="I255" s="416"/>
      <c r="J255" s="416"/>
      <c r="K255" s="416"/>
      <c r="L255" s="416"/>
      <c r="M255" s="416"/>
      <c r="N255" s="416"/>
      <c r="O255" s="416"/>
      <c r="Q255" s="497"/>
      <c r="R255" s="498"/>
      <c r="S255" s="498"/>
    </row>
    <row r="256" spans="1:20" ht="12.75">
      <c r="A256" s="755"/>
      <c r="D256" s="416"/>
      <c r="E256" s="416"/>
      <c r="F256" s="416"/>
      <c r="G256" s="416"/>
      <c r="H256" s="416"/>
      <c r="I256" s="416"/>
      <c r="J256" s="416"/>
      <c r="K256" s="416"/>
      <c r="L256" s="416"/>
      <c r="M256" s="416"/>
      <c r="N256" s="416"/>
      <c r="O256" s="416"/>
      <c r="Q256" s="497"/>
      <c r="R256" s="498"/>
      <c r="S256" s="498"/>
    </row>
    <row r="257" spans="1:21" ht="12.75">
      <c r="A257" s="755"/>
      <c r="D257" s="416"/>
      <c r="E257" s="416"/>
      <c r="F257" s="416"/>
      <c r="G257" s="416"/>
      <c r="H257" s="416"/>
      <c r="I257" s="416"/>
      <c r="J257" s="416"/>
      <c r="K257" s="416"/>
      <c r="L257" s="416"/>
      <c r="M257" s="416"/>
      <c r="N257" s="416"/>
      <c r="O257" s="416"/>
      <c r="Q257" s="497"/>
      <c r="R257" s="498"/>
      <c r="S257" s="498"/>
    </row>
    <row r="258" spans="1:21" ht="12.75">
      <c r="A258" s="755"/>
      <c r="D258" s="416"/>
      <c r="E258" s="416"/>
      <c r="F258" s="416"/>
      <c r="G258" s="416"/>
      <c r="H258" s="416"/>
      <c r="I258" s="416"/>
      <c r="J258" s="416"/>
      <c r="K258" s="416"/>
      <c r="L258" s="416"/>
      <c r="M258" s="416"/>
      <c r="N258" s="416"/>
      <c r="O258" s="416"/>
      <c r="Q258" s="497"/>
      <c r="R258" s="498"/>
      <c r="S258" s="498"/>
    </row>
    <row r="259" spans="1:21" ht="12.75">
      <c r="A259" s="755"/>
      <c r="D259" s="416"/>
      <c r="E259" s="416"/>
      <c r="F259" s="416"/>
      <c r="G259" s="416"/>
      <c r="H259" s="416"/>
      <c r="I259" s="416"/>
      <c r="J259" s="416"/>
      <c r="K259" s="416"/>
      <c r="L259" s="416"/>
      <c r="M259" s="416"/>
      <c r="N259" s="416"/>
      <c r="O259" s="416"/>
      <c r="Q259" s="497"/>
      <c r="R259" s="498"/>
      <c r="S259" s="498"/>
    </row>
    <row r="260" spans="1:21" ht="12.75">
      <c r="A260" s="755"/>
      <c r="D260" s="416"/>
      <c r="E260" s="416"/>
      <c r="F260" s="416"/>
      <c r="G260" s="416"/>
      <c r="H260" s="416"/>
      <c r="I260" s="416"/>
      <c r="J260" s="416"/>
      <c r="K260" s="416"/>
      <c r="L260" s="416"/>
      <c r="M260" s="416"/>
      <c r="N260" s="416"/>
      <c r="O260" s="416"/>
      <c r="Q260" s="497"/>
      <c r="R260" s="498"/>
      <c r="S260" s="498"/>
    </row>
    <row r="261" spans="1:21" ht="12.75">
      <c r="A261" s="755"/>
      <c r="D261" s="416"/>
      <c r="E261" s="416"/>
      <c r="F261" s="416"/>
      <c r="G261" s="416"/>
      <c r="H261" s="416"/>
      <c r="I261" s="416"/>
      <c r="J261" s="416"/>
      <c r="K261" s="416"/>
      <c r="L261" s="416"/>
      <c r="M261" s="416"/>
      <c r="N261" s="416"/>
      <c r="O261" s="416"/>
      <c r="Q261" s="497"/>
      <c r="R261" s="498"/>
      <c r="S261" s="498"/>
    </row>
    <row r="262" spans="1:21" ht="12.75">
      <c r="A262" s="755"/>
      <c r="D262" s="416"/>
      <c r="E262" s="416"/>
      <c r="F262" s="416"/>
      <c r="G262" s="416"/>
      <c r="H262" s="416"/>
      <c r="I262" s="416"/>
      <c r="J262" s="416"/>
      <c r="K262" s="416"/>
      <c r="L262" s="416"/>
      <c r="M262" s="416"/>
      <c r="N262" s="416"/>
      <c r="O262" s="416"/>
      <c r="Q262" s="497"/>
      <c r="R262" s="498"/>
      <c r="S262" s="498"/>
    </row>
    <row r="263" spans="1:21" ht="12.75">
      <c r="A263" s="755"/>
      <c r="B263" s="476"/>
      <c r="C263" s="416"/>
      <c r="D263" s="416"/>
      <c r="E263" s="416"/>
      <c r="F263" s="416"/>
      <c r="G263" s="416"/>
      <c r="H263" s="416"/>
      <c r="I263" s="416"/>
      <c r="J263" s="416"/>
      <c r="K263" s="416"/>
      <c r="L263" s="416"/>
      <c r="M263" s="416"/>
      <c r="N263" s="416"/>
      <c r="O263" s="416"/>
      <c r="P263" s="499"/>
      <c r="Q263" s="500"/>
      <c r="R263" s="501"/>
      <c r="S263" s="501"/>
    </row>
    <row r="264" spans="1:21" ht="12.75">
      <c r="A264" s="755"/>
      <c r="B264" s="416"/>
      <c r="C264" s="416"/>
      <c r="D264" s="416"/>
      <c r="E264" s="416"/>
      <c r="F264" s="416"/>
      <c r="G264" s="416"/>
      <c r="H264" s="416"/>
      <c r="I264" s="416"/>
      <c r="J264" s="416"/>
      <c r="K264" s="416"/>
      <c r="L264" s="416"/>
      <c r="M264" s="416"/>
      <c r="N264" s="159"/>
      <c r="O264" s="159"/>
      <c r="P264" s="208"/>
      <c r="Q264" s="199"/>
      <c r="R264" s="199"/>
      <c r="S264" s="199"/>
      <c r="T264" s="461"/>
      <c r="U264" s="461"/>
    </row>
    <row r="265" spans="1:21" ht="12.75">
      <c r="C265" s="414"/>
      <c r="D265" s="414"/>
      <c r="E265" s="414"/>
      <c r="F265" s="414"/>
      <c r="G265" s="414"/>
      <c r="H265" s="416"/>
      <c r="I265" s="416"/>
      <c r="J265" s="416"/>
      <c r="K265" s="416"/>
      <c r="L265" s="416"/>
      <c r="M265" s="416"/>
      <c r="N265" s="159"/>
      <c r="O265" s="159"/>
      <c r="P265" s="411"/>
    </row>
    <row r="266" spans="1:21" ht="12.75">
      <c r="A266" s="413"/>
      <c r="B266" s="414"/>
      <c r="C266" s="414"/>
      <c r="D266" s="414"/>
      <c r="E266" s="414"/>
      <c r="F266" s="414"/>
      <c r="G266" s="414"/>
      <c r="H266" s="416"/>
      <c r="I266" s="416"/>
      <c r="J266" s="416"/>
      <c r="K266" s="416"/>
      <c r="L266" s="416"/>
      <c r="M266" s="416"/>
      <c r="N266" s="159"/>
      <c r="O266" s="159"/>
      <c r="P266" s="411"/>
    </row>
    <row r="267" spans="1:21" ht="12.75">
      <c r="A267" s="413"/>
      <c r="B267" s="109" t="s">
        <v>1264</v>
      </c>
      <c r="C267" s="414"/>
      <c r="D267" s="414"/>
      <c r="E267" s="414"/>
      <c r="F267" s="414"/>
      <c r="G267" s="414"/>
      <c r="H267" s="416"/>
      <c r="I267" s="416"/>
      <c r="J267" s="416"/>
      <c r="K267" s="416"/>
      <c r="L267" s="416"/>
      <c r="M267" s="416"/>
      <c r="N267" s="159"/>
      <c r="O267" s="159"/>
      <c r="P267" s="411"/>
    </row>
    <row r="268" spans="1:21" ht="12.75">
      <c r="A268" s="413"/>
      <c r="B268" s="414"/>
      <c r="C268" s="414"/>
      <c r="D268" s="414"/>
      <c r="E268" s="414"/>
      <c r="F268" s="414"/>
      <c r="G268" s="414"/>
      <c r="H268" s="416"/>
      <c r="I268" s="416"/>
      <c r="J268" s="416"/>
      <c r="K268" s="416"/>
      <c r="L268" s="416"/>
      <c r="M268" s="416"/>
      <c r="N268" s="159"/>
      <c r="O268" s="159"/>
      <c r="P268" s="411"/>
    </row>
    <row r="269" spans="1:21" s="504" customFormat="1" ht="12.75">
      <c r="A269" s="494"/>
      <c r="B269" s="2193" t="s">
        <v>1265</v>
      </c>
      <c r="C269" s="2194"/>
      <c r="D269" s="2194"/>
      <c r="E269" s="2194"/>
      <c r="F269" s="2194"/>
      <c r="G269" s="2194"/>
      <c r="H269" s="2194"/>
      <c r="I269" s="2195"/>
      <c r="J269" s="2188" t="s">
        <v>1027</v>
      </c>
      <c r="K269" s="2189"/>
      <c r="L269" s="2189"/>
      <c r="M269" s="2189"/>
      <c r="N269" s="2189"/>
      <c r="O269" s="2189"/>
      <c r="P269" s="2190"/>
      <c r="Q269" s="502"/>
      <c r="R269" s="503"/>
      <c r="S269" s="503"/>
    </row>
    <row r="270" spans="1:21" s="504" customFormat="1" ht="12.75">
      <c r="A270" s="494"/>
      <c r="B270" s="2196"/>
      <c r="C270" s="2197"/>
      <c r="D270" s="2197"/>
      <c r="E270" s="2197"/>
      <c r="F270" s="2197"/>
      <c r="G270" s="2197"/>
      <c r="H270" s="2197"/>
      <c r="I270" s="2198"/>
      <c r="J270" s="2164" t="s">
        <v>1266</v>
      </c>
      <c r="K270" s="2165"/>
      <c r="L270" s="2164" t="s">
        <v>1267</v>
      </c>
      <c r="M270" s="2165"/>
      <c r="N270" s="2164" t="s">
        <v>1268</v>
      </c>
      <c r="O270" s="2165"/>
      <c r="P270" s="2170" t="s">
        <v>1269</v>
      </c>
      <c r="Q270" s="505"/>
      <c r="R270" s="506"/>
      <c r="S270" s="506"/>
    </row>
    <row r="271" spans="1:21" s="504" customFormat="1" ht="12.75">
      <c r="A271" s="494"/>
      <c r="B271" s="2196"/>
      <c r="C271" s="2197"/>
      <c r="D271" s="2197"/>
      <c r="E271" s="2197"/>
      <c r="F271" s="2197"/>
      <c r="G271" s="2197"/>
      <c r="H271" s="2197"/>
      <c r="I271" s="2198"/>
      <c r="J271" s="2166"/>
      <c r="K271" s="2167"/>
      <c r="L271" s="2166"/>
      <c r="M271" s="2167"/>
      <c r="N271" s="2166"/>
      <c r="O271" s="2167"/>
      <c r="P271" s="2170"/>
      <c r="Q271" s="505"/>
      <c r="R271" s="506"/>
      <c r="S271" s="506"/>
    </row>
    <row r="272" spans="1:21" s="504" customFormat="1" ht="12.75">
      <c r="A272" s="494"/>
      <c r="B272" s="2196"/>
      <c r="C272" s="2197"/>
      <c r="D272" s="2197"/>
      <c r="E272" s="2197"/>
      <c r="F272" s="2197"/>
      <c r="G272" s="2197"/>
      <c r="H272" s="2197"/>
      <c r="I272" s="2198"/>
      <c r="J272" s="2166"/>
      <c r="K272" s="2167"/>
      <c r="L272" s="2166"/>
      <c r="M272" s="2167"/>
      <c r="N272" s="2166"/>
      <c r="O272" s="2167"/>
      <c r="P272" s="2170"/>
      <c r="Q272" s="505"/>
      <c r="R272" s="506"/>
      <c r="S272" s="506"/>
    </row>
    <row r="273" spans="1:21" s="504" customFormat="1" ht="12.75">
      <c r="A273" s="494"/>
      <c r="B273" s="2199"/>
      <c r="C273" s="2200"/>
      <c r="D273" s="2200"/>
      <c r="E273" s="2200"/>
      <c r="F273" s="2200"/>
      <c r="G273" s="2200"/>
      <c r="H273" s="2200"/>
      <c r="I273" s="2201"/>
      <c r="J273" s="2168"/>
      <c r="K273" s="2169"/>
      <c r="L273" s="2168"/>
      <c r="M273" s="2169"/>
      <c r="N273" s="2168"/>
      <c r="O273" s="2169"/>
      <c r="P273" s="2170"/>
      <c r="Q273" s="505"/>
      <c r="R273" s="506"/>
      <c r="S273" s="506"/>
    </row>
    <row r="274" spans="1:21" s="504" customFormat="1" ht="12.75">
      <c r="A274" s="494"/>
      <c r="B274" s="507"/>
      <c r="C274" s="507"/>
      <c r="D274" s="507"/>
      <c r="E274" s="507"/>
      <c r="F274" s="507"/>
      <c r="G274" s="507"/>
      <c r="H274" s="507"/>
      <c r="I274" s="507"/>
      <c r="J274" s="507"/>
      <c r="K274" s="507"/>
      <c r="L274" s="507"/>
      <c r="M274" s="507"/>
      <c r="N274" s="508"/>
      <c r="O274" s="508"/>
      <c r="P274" s="208"/>
      <c r="Q274" s="509"/>
      <c r="R274" s="509"/>
      <c r="S274" s="509"/>
    </row>
    <row r="275" spans="1:21" s="417" customFormat="1" ht="12.75">
      <c r="A275" s="755"/>
      <c r="B275" s="416"/>
      <c r="C275" s="416"/>
      <c r="D275" s="416"/>
      <c r="E275" s="416"/>
      <c r="F275" s="416"/>
      <c r="G275" s="416"/>
      <c r="H275" s="416"/>
      <c r="I275" s="416"/>
      <c r="J275" s="510"/>
      <c r="K275" s="510"/>
      <c r="L275" s="476"/>
      <c r="M275" s="476"/>
      <c r="N275" s="159"/>
      <c r="O275" s="159"/>
      <c r="P275" s="208"/>
      <c r="Q275" s="509"/>
      <c r="R275" s="509"/>
      <c r="S275" s="509"/>
    </row>
    <row r="276" spans="1:21" s="417" customFormat="1" ht="12.75">
      <c r="A276" s="755"/>
      <c r="C276" s="416"/>
      <c r="D276" s="416"/>
      <c r="E276" s="416"/>
      <c r="F276" s="416"/>
      <c r="G276" s="416"/>
      <c r="H276" s="416"/>
      <c r="I276" s="416"/>
      <c r="Q276" s="511" t="e">
        <f>'5.2 - 25'!#REF!*SOAL!$F$43/1000</f>
        <v>#REF!</v>
      </c>
      <c r="R276" s="512"/>
      <c r="S276" s="513"/>
    </row>
    <row r="277" spans="1:21" s="417" customFormat="1" ht="12.75">
      <c r="A277" s="755"/>
      <c r="C277" s="416"/>
      <c r="D277" s="416"/>
      <c r="E277" s="416"/>
      <c r="F277" s="416"/>
      <c r="G277" s="416"/>
      <c r="H277" s="416"/>
      <c r="I277" s="416"/>
      <c r="Q277" s="511" t="e">
        <f>'5.2 - 25'!#REF!*SOAL!$F$43/1000</f>
        <v>#REF!</v>
      </c>
      <c r="R277" s="512"/>
      <c r="S277" s="513"/>
    </row>
    <row r="278" spans="1:21" s="417" customFormat="1" ht="12.75">
      <c r="A278" s="755"/>
      <c r="C278" s="416"/>
      <c r="D278" s="416"/>
      <c r="E278" s="416"/>
      <c r="F278" s="416"/>
      <c r="G278" s="416"/>
      <c r="H278" s="416"/>
      <c r="I278" s="416"/>
      <c r="Q278" s="511" t="e">
        <f>'5.2 - 25'!#REF!*SOAL!$F$43/1000</f>
        <v>#REF!</v>
      </c>
      <c r="R278" s="512"/>
      <c r="S278" s="513"/>
    </row>
    <row r="279" spans="1:21" s="417" customFormat="1" ht="12.75">
      <c r="A279" s="755"/>
      <c r="C279" s="416"/>
      <c r="D279" s="416"/>
      <c r="E279" s="416"/>
      <c r="F279" s="416"/>
      <c r="G279" s="416"/>
      <c r="H279" s="416"/>
      <c r="I279" s="416"/>
      <c r="Q279" s="511" t="e">
        <f>'5.2 - 25'!#REF!*SOAL!$F$43/1000</f>
        <v>#REF!</v>
      </c>
      <c r="R279" s="512"/>
      <c r="S279" s="513"/>
      <c r="T279" s="459">
        <f>SOAL!F39</f>
        <v>150958902.46880001</v>
      </c>
      <c r="U279" s="459" t="e">
        <f>'5.2 - 25'!#REF!-T279</f>
        <v>#REF!</v>
      </c>
    </row>
    <row r="280" spans="1:21" s="417" customFormat="1" ht="12.75">
      <c r="A280" s="755"/>
      <c r="B280" s="416"/>
      <c r="C280" s="416"/>
      <c r="D280" s="416"/>
      <c r="E280" s="416"/>
      <c r="F280" s="416"/>
      <c r="G280" s="416"/>
      <c r="H280" s="416"/>
      <c r="I280" s="416"/>
      <c r="Q280" s="514" t="e">
        <f>'5.2 - 25'!#REF!-SOAL!F39</f>
        <v>#REF!</v>
      </c>
      <c r="R280" s="515" t="e">
        <f>'5.2 - 25'!#REF!-SOAL!F31</f>
        <v>#REF!</v>
      </c>
      <c r="S280" s="516"/>
      <c r="T280" s="459">
        <f>SOAL!F33</f>
        <v>8363685</v>
      </c>
      <c r="U280" s="459" t="e">
        <f>'5.2 - 25'!#REF!-T280</f>
        <v>#REF!</v>
      </c>
    </row>
    <row r="281" spans="1:21" s="417" customFormat="1" ht="12.75">
      <c r="A281" s="755"/>
      <c r="B281" s="416"/>
      <c r="C281" s="416"/>
      <c r="D281" s="416"/>
      <c r="E281" s="416"/>
      <c r="F281" s="416"/>
      <c r="G281" s="416"/>
      <c r="H281" s="416"/>
      <c r="I281" s="416"/>
      <c r="J281" s="416"/>
      <c r="K281" s="416"/>
      <c r="L281" s="416"/>
      <c r="M281" s="416"/>
      <c r="N281" s="159"/>
      <c r="O281" s="159"/>
      <c r="P281" s="208"/>
      <c r="Q281" s="509"/>
      <c r="R281" s="509"/>
      <c r="S281" s="509"/>
      <c r="T281" s="459"/>
      <c r="U281" s="459"/>
    </row>
    <row r="282" spans="1:21" s="417" customFormat="1" ht="12.75">
      <c r="A282" s="755"/>
      <c r="B282" s="2193" t="s">
        <v>1265</v>
      </c>
      <c r="C282" s="2194"/>
      <c r="D282" s="2194"/>
      <c r="E282" s="2194"/>
      <c r="F282" s="2194"/>
      <c r="G282" s="2194"/>
      <c r="H282" s="2194"/>
      <c r="I282" s="2195"/>
      <c r="J282" s="2188" t="s">
        <v>1211</v>
      </c>
      <c r="K282" s="2189"/>
      <c r="L282" s="2189"/>
      <c r="M282" s="2189"/>
      <c r="N282" s="2189"/>
      <c r="O282" s="2189"/>
      <c r="P282" s="2190"/>
      <c r="Q282" s="502"/>
      <c r="R282" s="503"/>
      <c r="S282" s="503"/>
      <c r="T282" s="459"/>
      <c r="U282" s="459"/>
    </row>
    <row r="283" spans="1:21" s="417" customFormat="1" ht="12.75">
      <c r="A283" s="755"/>
      <c r="B283" s="2196"/>
      <c r="C283" s="2197"/>
      <c r="D283" s="2197"/>
      <c r="E283" s="2197"/>
      <c r="F283" s="2197"/>
      <c r="G283" s="2197"/>
      <c r="H283" s="2197"/>
      <c r="I283" s="2198"/>
      <c r="J283" s="2164" t="s">
        <v>1266</v>
      </c>
      <c r="K283" s="2165"/>
      <c r="L283" s="2164" t="s">
        <v>1267</v>
      </c>
      <c r="M283" s="2165"/>
      <c r="N283" s="2164" t="s">
        <v>1268</v>
      </c>
      <c r="O283" s="2165"/>
      <c r="P283" s="2170" t="s">
        <v>1269</v>
      </c>
      <c r="Q283" s="505"/>
      <c r="R283" s="506"/>
      <c r="S283" s="506"/>
      <c r="T283" s="459"/>
      <c r="U283" s="459"/>
    </row>
    <row r="284" spans="1:21" s="417" customFormat="1" ht="12.75">
      <c r="A284" s="755"/>
      <c r="B284" s="2196"/>
      <c r="C284" s="2197"/>
      <c r="D284" s="2197"/>
      <c r="E284" s="2197"/>
      <c r="F284" s="2197"/>
      <c r="G284" s="2197"/>
      <c r="H284" s="2197"/>
      <c r="I284" s="2198"/>
      <c r="J284" s="2166"/>
      <c r="K284" s="2167"/>
      <c r="L284" s="2166"/>
      <c r="M284" s="2167"/>
      <c r="N284" s="2166"/>
      <c r="O284" s="2167"/>
      <c r="P284" s="2170"/>
      <c r="Q284" s="505"/>
      <c r="R284" s="506"/>
      <c r="S284" s="506"/>
      <c r="T284" s="459"/>
      <c r="U284" s="459"/>
    </row>
    <row r="285" spans="1:21" s="417" customFormat="1" ht="12.75">
      <c r="A285" s="755"/>
      <c r="B285" s="2196"/>
      <c r="C285" s="2197"/>
      <c r="D285" s="2197"/>
      <c r="E285" s="2197"/>
      <c r="F285" s="2197"/>
      <c r="G285" s="2197"/>
      <c r="H285" s="2197"/>
      <c r="I285" s="2198"/>
      <c r="J285" s="2166"/>
      <c r="K285" s="2167"/>
      <c r="L285" s="2166"/>
      <c r="M285" s="2167"/>
      <c r="N285" s="2166"/>
      <c r="O285" s="2167"/>
      <c r="P285" s="2170"/>
      <c r="Q285" s="505"/>
      <c r="R285" s="506"/>
      <c r="S285" s="506"/>
      <c r="T285" s="459"/>
      <c r="U285" s="459"/>
    </row>
    <row r="286" spans="1:21" s="417" customFormat="1" ht="12.75">
      <c r="A286" s="755"/>
      <c r="B286" s="2199"/>
      <c r="C286" s="2200"/>
      <c r="D286" s="2200"/>
      <c r="E286" s="2200"/>
      <c r="F286" s="2200"/>
      <c r="G286" s="2200"/>
      <c r="H286" s="2200"/>
      <c r="I286" s="2201"/>
      <c r="J286" s="2168"/>
      <c r="K286" s="2169"/>
      <c r="L286" s="2168"/>
      <c r="M286" s="2169"/>
      <c r="N286" s="2168"/>
      <c r="O286" s="2169"/>
      <c r="P286" s="2170"/>
      <c r="Q286" s="505"/>
      <c r="R286" s="506"/>
      <c r="S286" s="506"/>
      <c r="T286" s="459"/>
      <c r="U286" s="459"/>
    </row>
    <row r="287" spans="1:21" s="417" customFormat="1" ht="12.75">
      <c r="A287" s="755"/>
      <c r="B287" s="416"/>
      <c r="C287" s="416"/>
      <c r="D287" s="416"/>
      <c r="E287" s="416"/>
      <c r="F287" s="416"/>
      <c r="G287" s="416"/>
      <c r="H287" s="416"/>
      <c r="I287" s="416"/>
      <c r="J287" s="416"/>
      <c r="K287" s="416"/>
      <c r="L287" s="416"/>
      <c r="M287" s="416"/>
      <c r="N287" s="517"/>
      <c r="O287" s="517"/>
      <c r="P287" s="208"/>
      <c r="Q287" s="509"/>
      <c r="R287" s="509"/>
      <c r="S287" s="509"/>
      <c r="T287" s="459"/>
      <c r="U287" s="459"/>
    </row>
    <row r="288" spans="1:21" s="417" customFormat="1" ht="12.75">
      <c r="A288" s="755"/>
      <c r="B288" s="416"/>
      <c r="C288" s="416"/>
      <c r="D288" s="416"/>
      <c r="E288" s="416"/>
      <c r="F288" s="416"/>
      <c r="G288" s="416"/>
      <c r="H288" s="416"/>
      <c r="I288" s="416"/>
      <c r="J288" s="510"/>
      <c r="K288" s="510"/>
      <c r="L288" s="476"/>
      <c r="M288" s="476"/>
      <c r="N288" s="159"/>
      <c r="O288" s="159"/>
      <c r="P288" s="208"/>
      <c r="Q288" s="509"/>
      <c r="R288" s="509"/>
      <c r="S288" s="509"/>
      <c r="T288" s="459"/>
      <c r="U288" s="459"/>
    </row>
    <row r="289" spans="1:21" s="417" customFormat="1" ht="12.75">
      <c r="A289" s="755"/>
      <c r="C289" s="416"/>
      <c r="D289" s="416"/>
      <c r="E289" s="416"/>
      <c r="F289" s="416"/>
      <c r="G289" s="416"/>
      <c r="H289" s="416"/>
      <c r="I289" s="416"/>
      <c r="Q289" s="518" t="e">
        <f>'5.2 - 25'!#REF!*1000/'5.2 - 25'!#REF!</f>
        <v>#REF!</v>
      </c>
      <c r="R289" s="512" t="e">
        <f>'5.2 - 25'!#REF!*SOAL!$H$43/1000</f>
        <v>#REF!</v>
      </c>
      <c r="S289" s="512" t="e">
        <f>'5.2 - 25'!#REF!-R289</f>
        <v>#REF!</v>
      </c>
      <c r="T289" s="459"/>
      <c r="U289" s="459"/>
    </row>
    <row r="290" spans="1:21" s="417" customFormat="1" ht="12.75">
      <c r="A290" s="755"/>
      <c r="C290" s="416"/>
      <c r="D290" s="416"/>
      <c r="E290" s="416"/>
      <c r="F290" s="416"/>
      <c r="G290" s="416"/>
      <c r="H290" s="416"/>
      <c r="I290" s="416"/>
      <c r="Q290" s="518" t="e">
        <f>'5.2 - 25'!#REF!*1000/'5.2 - 25'!#REF!</f>
        <v>#REF!</v>
      </c>
      <c r="R290" s="512" t="e">
        <f>'5.2 - 25'!#REF!*SOAL!$H$43/1000</f>
        <v>#REF!</v>
      </c>
      <c r="S290" s="512" t="e">
        <f>'5.2 - 25'!#REF!-R290</f>
        <v>#REF!</v>
      </c>
      <c r="T290" s="459"/>
      <c r="U290" s="459"/>
    </row>
    <row r="291" spans="1:21" s="417" customFormat="1" ht="12.75">
      <c r="A291" s="755"/>
      <c r="C291" s="416"/>
      <c r="D291" s="416"/>
      <c r="E291" s="416"/>
      <c r="F291" s="416"/>
      <c r="G291" s="416"/>
      <c r="H291" s="416"/>
      <c r="I291" s="416"/>
      <c r="Q291" s="518" t="e">
        <f>'5.2 - 25'!#REF!*1000/'5.2 - 25'!#REF!</f>
        <v>#REF!</v>
      </c>
      <c r="R291" s="512" t="e">
        <f>'5.2 - 25'!#REF!*SOAL!$H$43/1000</f>
        <v>#REF!</v>
      </c>
      <c r="S291" s="512" t="e">
        <f>'5.2 - 25'!#REF!-R291</f>
        <v>#REF!</v>
      </c>
      <c r="T291" s="459"/>
      <c r="U291" s="459"/>
    </row>
    <row r="292" spans="1:21" s="417" customFormat="1" ht="12.75">
      <c r="A292" s="755"/>
      <c r="C292" s="416"/>
      <c r="D292" s="416"/>
      <c r="E292" s="416"/>
      <c r="F292" s="416"/>
      <c r="G292" s="416"/>
      <c r="H292" s="416"/>
      <c r="I292" s="416"/>
      <c r="Q292" s="518" t="e">
        <f>'5.2 - 25'!#REF!*1000/'5.2 - 25'!#REF!</f>
        <v>#REF!</v>
      </c>
      <c r="R292" s="512" t="e">
        <f>'5.2 - 25'!#REF!*SOAL!$H$43/1000</f>
        <v>#REF!</v>
      </c>
      <c r="S292" s="512" t="e">
        <f>'5.2 - 25'!#REF!-R292</f>
        <v>#REF!</v>
      </c>
      <c r="T292" s="459">
        <f>SOAL!H39</f>
        <v>176766181</v>
      </c>
      <c r="U292" s="459" t="e">
        <f>'5.2 - 25'!#REF!-T292</f>
        <v>#REF!</v>
      </c>
    </row>
    <row r="293" spans="1:21" s="417" customFormat="1" ht="12.75">
      <c r="A293" s="755"/>
      <c r="B293" s="416"/>
      <c r="C293" s="416"/>
      <c r="D293" s="416"/>
      <c r="E293" s="416"/>
      <c r="F293" s="416"/>
      <c r="G293" s="416"/>
      <c r="H293" s="416"/>
      <c r="I293" s="416"/>
      <c r="Q293" s="509">
        <f>SOAL!H31</f>
        <v>9595355</v>
      </c>
      <c r="R293" s="515" t="e">
        <f>'5.2 - 25'!#REF!-Q293</f>
        <v>#REF!</v>
      </c>
      <c r="S293" s="516"/>
      <c r="T293" s="459">
        <f>SOAL!H33</f>
        <v>9595355</v>
      </c>
      <c r="U293" s="459" t="e">
        <f>'5.2 - 25'!#REF!-T293</f>
        <v>#REF!</v>
      </c>
    </row>
    <row r="294" spans="1:21" ht="12.75">
      <c r="A294" s="411"/>
      <c r="B294" s="411"/>
      <c r="C294" s="411"/>
      <c r="D294" s="411"/>
      <c r="E294" s="411"/>
      <c r="F294" s="411"/>
      <c r="G294" s="411"/>
      <c r="H294" s="411"/>
      <c r="I294" s="411"/>
      <c r="J294" s="411"/>
      <c r="K294" s="411"/>
      <c r="L294" s="411"/>
      <c r="M294" s="411"/>
      <c r="N294" s="411"/>
      <c r="O294" s="411"/>
      <c r="P294" s="411"/>
      <c r="Q294" s="412">
        <f>SOAL!H39</f>
        <v>176766181</v>
      </c>
      <c r="R294" s="519" t="e">
        <f>'5.2 - 25'!#REF!-Q294</f>
        <v>#REF!</v>
      </c>
    </row>
    <row r="295" spans="1:21" ht="12.75">
      <c r="A295" s="410" t="s">
        <v>1416</v>
      </c>
      <c r="B295" s="414" t="s">
        <v>1270</v>
      </c>
      <c r="C295" s="414"/>
      <c r="D295" s="414"/>
      <c r="E295" s="414"/>
      <c r="F295" s="414"/>
      <c r="G295" s="414"/>
      <c r="H295" s="416"/>
      <c r="I295" s="416"/>
      <c r="J295" s="416"/>
      <c r="K295" s="416"/>
      <c r="L295" s="416"/>
      <c r="M295" s="416"/>
      <c r="N295" s="507"/>
      <c r="O295" s="507"/>
      <c r="P295" s="411"/>
    </row>
    <row r="296" spans="1:21" ht="12.75">
      <c r="A296" s="755"/>
      <c r="B296" s="416"/>
      <c r="C296" s="416"/>
      <c r="D296" s="416"/>
      <c r="E296" s="416"/>
      <c r="F296" s="416"/>
      <c r="G296" s="416"/>
      <c r="H296" s="416"/>
      <c r="I296" s="416"/>
      <c r="J296" s="416"/>
      <c r="K296" s="416"/>
      <c r="L296" s="416"/>
      <c r="M296" s="416"/>
      <c r="N296" s="507"/>
      <c r="O296" s="507"/>
      <c r="P296" s="411"/>
    </row>
    <row r="297" spans="1:21" ht="12.75">
      <c r="A297" s="520"/>
      <c r="B297" s="2181" t="s">
        <v>1347</v>
      </c>
      <c r="C297" s="2181"/>
      <c r="D297" s="2181"/>
      <c r="E297" s="2181"/>
      <c r="F297" s="2181"/>
      <c r="G297" s="2181"/>
      <c r="H297" s="2181"/>
      <c r="I297" s="2181"/>
      <c r="J297" s="2181"/>
      <c r="K297" s="2181"/>
      <c r="L297" s="2181"/>
      <c r="M297" s="2181"/>
      <c r="N297" s="2181"/>
      <c r="O297" s="2181"/>
      <c r="P297" s="2181"/>
      <c r="Q297" s="521"/>
      <c r="R297" s="522"/>
      <c r="S297" s="522"/>
    </row>
    <row r="298" spans="1:21" ht="12.75">
      <c r="A298" s="520"/>
      <c r="B298" s="2181"/>
      <c r="C298" s="2181"/>
      <c r="D298" s="2181"/>
      <c r="E298" s="2181"/>
      <c r="F298" s="2181"/>
      <c r="G298" s="2181"/>
      <c r="H298" s="2181"/>
      <c r="I298" s="2181"/>
      <c r="J298" s="2181"/>
      <c r="K298" s="2181"/>
      <c r="L298" s="2181"/>
      <c r="M298" s="2181"/>
      <c r="N298" s="2181"/>
      <c r="O298" s="2181"/>
      <c r="P298" s="2181"/>
      <c r="Q298" s="521"/>
      <c r="R298" s="522"/>
      <c r="S298" s="522"/>
    </row>
    <row r="299" spans="1:21" ht="12.75">
      <c r="A299" s="520"/>
      <c r="B299" s="2181"/>
      <c r="C299" s="2181"/>
      <c r="D299" s="2181"/>
      <c r="E299" s="2181"/>
      <c r="F299" s="2181"/>
      <c r="G299" s="2181"/>
      <c r="H299" s="2181"/>
      <c r="I299" s="2181"/>
      <c r="J299" s="2181"/>
      <c r="K299" s="2181"/>
      <c r="L299" s="2181"/>
      <c r="M299" s="2181"/>
      <c r="N299" s="2181"/>
      <c r="O299" s="2181"/>
      <c r="P299" s="2181"/>
      <c r="Q299" s="521"/>
      <c r="R299" s="522"/>
      <c r="S299" s="522"/>
    </row>
    <row r="300" spans="1:21" ht="12.75">
      <c r="A300" s="520"/>
      <c r="B300" s="523"/>
      <c r="C300" s="523"/>
      <c r="D300" s="523"/>
      <c r="E300" s="523"/>
      <c r="F300" s="523"/>
      <c r="G300" s="523"/>
      <c r="H300" s="523"/>
      <c r="I300" s="523"/>
      <c r="J300" s="523"/>
      <c r="K300" s="523"/>
      <c r="L300" s="523"/>
      <c r="M300" s="523"/>
      <c r="N300" s="523"/>
      <c r="O300" s="523"/>
      <c r="P300" s="523"/>
      <c r="Q300" s="524"/>
      <c r="R300" s="525"/>
      <c r="S300" s="525"/>
    </row>
    <row r="301" spans="1:21" s="504" customFormat="1" ht="15" customHeight="1">
      <c r="A301" s="526"/>
      <c r="B301" s="2180" t="s">
        <v>1271</v>
      </c>
      <c r="C301" s="2183" t="s">
        <v>5</v>
      </c>
      <c r="D301" s="1243"/>
      <c r="E301" s="1243"/>
      <c r="F301" s="2176" t="s">
        <v>1251</v>
      </c>
      <c r="G301" s="2177"/>
      <c r="H301" s="2185" t="s">
        <v>1272</v>
      </c>
      <c r="I301" s="2186"/>
      <c r="J301" s="2186"/>
      <c r="K301" s="2186"/>
      <c r="L301" s="2186"/>
      <c r="M301" s="2187"/>
      <c r="N301" s="2180" t="s">
        <v>1273</v>
      </c>
      <c r="O301" s="2180"/>
      <c r="P301" s="2180"/>
      <c r="Q301" s="524"/>
      <c r="R301" s="525"/>
      <c r="S301" s="525"/>
    </row>
    <row r="302" spans="1:21" s="504" customFormat="1" ht="15" customHeight="1">
      <c r="A302" s="526"/>
      <c r="B302" s="2182"/>
      <c r="C302" s="2184"/>
      <c r="D302" s="1299"/>
      <c r="E302" s="1299"/>
      <c r="F302" s="2178"/>
      <c r="G302" s="2179"/>
      <c r="H302" s="2191" t="s">
        <v>1274</v>
      </c>
      <c r="I302" s="2192"/>
      <c r="J302" s="527" t="s">
        <v>1275</v>
      </c>
      <c r="K302" s="2161" t="s">
        <v>1276</v>
      </c>
      <c r="L302" s="2162"/>
      <c r="M302" s="2163"/>
      <c r="N302" s="2180"/>
      <c r="O302" s="2180"/>
      <c r="P302" s="2180"/>
      <c r="Q302" s="524"/>
      <c r="R302" s="525"/>
      <c r="S302" s="525"/>
    </row>
    <row r="303" spans="1:21" s="504" customFormat="1" ht="12.75">
      <c r="A303" s="528"/>
      <c r="B303" s="529"/>
      <c r="C303" s="529"/>
      <c r="D303" s="529"/>
      <c r="E303" s="529"/>
      <c r="F303" s="529"/>
      <c r="G303" s="529"/>
      <c r="H303" s="530"/>
      <c r="I303" s="530"/>
      <c r="J303" s="530"/>
      <c r="K303" s="530"/>
      <c r="L303" s="531"/>
      <c r="M303" s="531"/>
      <c r="O303" s="532"/>
      <c r="P303" s="532"/>
      <c r="Q303" s="534"/>
      <c r="R303" s="533"/>
      <c r="S303" s="535"/>
    </row>
    <row r="304" spans="1:21" s="504" customFormat="1" ht="12.75">
      <c r="A304" s="536"/>
      <c r="B304" s="537"/>
      <c r="C304" s="538" t="s">
        <v>1277</v>
      </c>
      <c r="D304" s="538"/>
      <c r="E304" s="538"/>
      <c r="F304" s="538"/>
      <c r="G304" s="538"/>
      <c r="H304" s="539"/>
      <c r="I304" s="539"/>
      <c r="J304" s="539"/>
      <c r="K304" s="539"/>
      <c r="L304" s="540"/>
      <c r="M304" s="540"/>
      <c r="O304" s="541"/>
      <c r="P304" s="541"/>
      <c r="Q304" s="540"/>
      <c r="R304" s="540"/>
      <c r="S304" s="542"/>
    </row>
    <row r="305" spans="1:19" s="504" customFormat="1" ht="26.25" customHeight="1">
      <c r="A305" s="528"/>
      <c r="B305" s="543">
        <v>1</v>
      </c>
      <c r="C305" s="1233" t="s">
        <v>1278</v>
      </c>
      <c r="D305" s="1233"/>
      <c r="E305" s="1233"/>
      <c r="F305" s="1233" t="s">
        <v>1348</v>
      </c>
      <c r="G305" s="1233"/>
      <c r="H305" s="1246">
        <v>8</v>
      </c>
      <c r="I305" s="1246"/>
      <c r="J305" s="544">
        <v>2</v>
      </c>
      <c r="K305" s="544"/>
      <c r="L305" s="544">
        <v>6</v>
      </c>
      <c r="M305" s="544"/>
      <c r="N305" s="2205" t="s">
        <v>1338</v>
      </c>
      <c r="O305" s="2205"/>
      <c r="P305" s="2205"/>
      <c r="Q305" s="1247"/>
      <c r="R305" s="1247"/>
      <c r="S305" s="545"/>
    </row>
    <row r="306" spans="1:19" s="504" customFormat="1" ht="12.75">
      <c r="A306" s="528"/>
      <c r="B306" s="543"/>
      <c r="C306" s="1233"/>
      <c r="D306" s="1233"/>
      <c r="E306" s="1233"/>
      <c r="F306" s="1233"/>
      <c r="G306" s="1233"/>
      <c r="H306" s="1246"/>
      <c r="I306" s="1246"/>
      <c r="J306" s="544"/>
      <c r="K306" s="544"/>
      <c r="L306" s="703"/>
      <c r="M306" s="703"/>
      <c r="O306" s="1247"/>
      <c r="P306" s="1247"/>
      <c r="Q306" s="1247"/>
      <c r="R306" s="1247"/>
      <c r="S306" s="545"/>
    </row>
    <row r="307" spans="1:19" s="504" customFormat="1" ht="15" customHeight="1">
      <c r="A307" s="528"/>
      <c r="B307" s="543">
        <f>B305+1</f>
        <v>2</v>
      </c>
      <c r="C307" s="1233" t="s">
        <v>1279</v>
      </c>
      <c r="D307" s="1233"/>
      <c r="E307" s="1233"/>
      <c r="F307" s="1233" t="s">
        <v>1349</v>
      </c>
      <c r="G307" s="1233"/>
      <c r="H307" s="1246">
        <v>8</v>
      </c>
      <c r="I307" s="1246"/>
      <c r="J307" s="544">
        <v>8</v>
      </c>
      <c r="K307" s="544"/>
      <c r="L307" s="703" t="s">
        <v>1003</v>
      </c>
      <c r="M307" s="703"/>
      <c r="N307" s="2206" t="s">
        <v>1003</v>
      </c>
      <c r="O307" s="2206"/>
      <c r="P307" s="2206"/>
      <c r="Q307" s="1245"/>
      <c r="R307" s="1245"/>
      <c r="S307" s="474"/>
    </row>
    <row r="308" spans="1:19" s="504" customFormat="1" ht="15" customHeight="1">
      <c r="A308" s="528"/>
      <c r="B308" s="543">
        <f>B307+1</f>
        <v>3</v>
      </c>
      <c r="C308" s="1233" t="s">
        <v>1280</v>
      </c>
      <c r="D308" s="1233"/>
      <c r="E308" s="1233"/>
      <c r="F308" s="1233" t="s">
        <v>1349</v>
      </c>
      <c r="G308" s="1233"/>
      <c r="H308" s="1246">
        <v>8</v>
      </c>
      <c r="I308" s="1246"/>
      <c r="J308" s="544">
        <v>8</v>
      </c>
      <c r="K308" s="544"/>
      <c r="L308" s="546" t="s">
        <v>1003</v>
      </c>
      <c r="M308" s="546"/>
      <c r="N308" s="2207" t="s">
        <v>1003</v>
      </c>
      <c r="O308" s="2207"/>
      <c r="P308" s="2207"/>
      <c r="Q308" s="1246"/>
      <c r="R308" s="1246"/>
      <c r="S308" s="473"/>
    </row>
    <row r="309" spans="1:19" s="504" customFormat="1" ht="15" customHeight="1">
      <c r="A309" s="528"/>
      <c r="B309" s="543">
        <v>4</v>
      </c>
      <c r="C309" s="1233" t="s">
        <v>1283</v>
      </c>
      <c r="D309" s="1233"/>
      <c r="E309" s="1233"/>
      <c r="F309" s="1233" t="s">
        <v>1349</v>
      </c>
      <c r="G309" s="1233"/>
      <c r="H309" s="1246">
        <v>8</v>
      </c>
      <c r="I309" s="1246"/>
      <c r="J309" s="544">
        <v>6</v>
      </c>
      <c r="K309" s="544"/>
      <c r="L309" s="546">
        <v>2</v>
      </c>
      <c r="M309" s="546"/>
      <c r="N309" s="2208" t="s">
        <v>1346</v>
      </c>
      <c r="O309" s="2208"/>
      <c r="P309" s="2208"/>
      <c r="Q309" s="1247"/>
      <c r="R309" s="1247"/>
      <c r="S309" s="547"/>
    </row>
    <row r="310" spans="1:19" s="504" customFormat="1" ht="15" customHeight="1">
      <c r="A310" s="528"/>
      <c r="B310" s="543">
        <v>5</v>
      </c>
      <c r="C310" s="1233" t="s">
        <v>1336</v>
      </c>
      <c r="D310" s="1233"/>
      <c r="E310" s="1233"/>
      <c r="F310" s="1233" t="s">
        <v>1349</v>
      </c>
      <c r="G310" s="1233"/>
      <c r="H310" s="1246">
        <v>8</v>
      </c>
      <c r="I310" s="1246"/>
      <c r="J310" s="544">
        <v>6</v>
      </c>
      <c r="K310" s="544"/>
      <c r="L310" s="546" t="s">
        <v>1003</v>
      </c>
      <c r="M310" s="546"/>
      <c r="N310" s="2207" t="s">
        <v>1003</v>
      </c>
      <c r="O310" s="2207"/>
      <c r="P310" s="2207"/>
      <c r="Q310" s="1246"/>
      <c r="R310" s="1246"/>
      <c r="S310" s="547"/>
    </row>
    <row r="311" spans="1:19" s="504" customFormat="1" ht="15" customHeight="1">
      <c r="A311" s="528"/>
      <c r="B311" s="543">
        <v>6</v>
      </c>
      <c r="C311" s="1233" t="s">
        <v>1282</v>
      </c>
      <c r="D311" s="1233"/>
      <c r="E311" s="1233"/>
      <c r="F311" s="1233" t="s">
        <v>1349</v>
      </c>
      <c r="G311" s="1233"/>
      <c r="H311" s="1246">
        <v>8</v>
      </c>
      <c r="I311" s="1246"/>
      <c r="J311" s="544">
        <v>5</v>
      </c>
      <c r="K311" s="544"/>
      <c r="L311" s="546">
        <v>3</v>
      </c>
      <c r="M311" s="546"/>
      <c r="N311" s="2208" t="s">
        <v>1345</v>
      </c>
      <c r="O311" s="2208"/>
      <c r="P311" s="2208"/>
      <c r="Q311" s="1247"/>
      <c r="R311" s="1247"/>
      <c r="S311" s="547"/>
    </row>
    <row r="312" spans="1:19" s="504" customFormat="1" ht="12.75" customHeight="1">
      <c r="A312" s="528"/>
      <c r="B312" s="543">
        <v>7</v>
      </c>
      <c r="C312" s="1233" t="s">
        <v>1281</v>
      </c>
      <c r="D312" s="1233"/>
      <c r="E312" s="1233"/>
      <c r="F312" s="1233" t="s">
        <v>1349</v>
      </c>
      <c r="G312" s="1233"/>
      <c r="H312" s="1246">
        <v>8</v>
      </c>
      <c r="I312" s="1246"/>
      <c r="J312" s="544">
        <v>8</v>
      </c>
      <c r="K312" s="544"/>
      <c r="L312" s="546" t="s">
        <v>1003</v>
      </c>
      <c r="M312" s="546"/>
      <c r="N312" s="2207" t="s">
        <v>1003</v>
      </c>
      <c r="O312" s="2207"/>
      <c r="P312" s="2207"/>
      <c r="Q312" s="1246"/>
      <c r="R312" s="1246"/>
      <c r="S312" s="545"/>
    </row>
    <row r="313" spans="1:19" s="504" customFormat="1" ht="15" customHeight="1">
      <c r="A313" s="528"/>
      <c r="B313" s="543">
        <v>8</v>
      </c>
      <c r="C313" s="1233" t="s">
        <v>1254</v>
      </c>
      <c r="D313" s="1233"/>
      <c r="E313" s="1233"/>
      <c r="F313" s="1233" t="s">
        <v>1255</v>
      </c>
      <c r="G313" s="1233"/>
      <c r="H313" s="1246">
        <v>8</v>
      </c>
      <c r="I313" s="1246"/>
      <c r="J313" s="544">
        <v>8</v>
      </c>
      <c r="K313" s="544"/>
      <c r="L313" s="546" t="s">
        <v>1003</v>
      </c>
      <c r="M313" s="546"/>
      <c r="N313" s="2207" t="s">
        <v>1003</v>
      </c>
      <c r="O313" s="2207"/>
      <c r="P313" s="2207"/>
      <c r="Q313" s="1246"/>
      <c r="R313" s="1246"/>
      <c r="S313" s="473"/>
    </row>
    <row r="314" spans="1:19" s="504" customFormat="1" ht="12.75">
      <c r="A314" s="528"/>
      <c r="B314" s="543"/>
      <c r="C314" s="1233"/>
      <c r="D314" s="1233"/>
      <c r="E314" s="1233"/>
      <c r="F314" s="1233"/>
      <c r="G314" s="1233"/>
      <c r="H314" s="1246"/>
      <c r="I314" s="1246"/>
      <c r="J314" s="544"/>
      <c r="K314" s="544"/>
      <c r="L314" s="548"/>
      <c r="M314" s="548"/>
      <c r="N314" s="1246"/>
      <c r="O314" s="1246"/>
      <c r="P314" s="1246"/>
      <c r="Q314" s="472"/>
      <c r="R314" s="473"/>
      <c r="S314" s="473"/>
    </row>
    <row r="315" spans="1:19" s="504" customFormat="1" ht="12.75">
      <c r="A315" s="528"/>
      <c r="B315" s="704" t="s">
        <v>1337</v>
      </c>
      <c r="C315" s="1233"/>
      <c r="D315" s="1233"/>
      <c r="E315" s="1233"/>
      <c r="F315" s="1233"/>
      <c r="G315" s="1233"/>
      <c r="H315" s="1246"/>
      <c r="I315" s="1246"/>
      <c r="J315" s="544"/>
      <c r="K315" s="544"/>
      <c r="L315" s="548"/>
      <c r="M315" s="548"/>
      <c r="N315" s="471"/>
      <c r="O315" s="471"/>
      <c r="P315" s="471"/>
      <c r="Q315" s="472"/>
      <c r="R315" s="473"/>
      <c r="S315" s="473"/>
    </row>
    <row r="316" spans="1:19" s="504" customFormat="1" ht="12.75">
      <c r="A316" s="528"/>
      <c r="B316" s="543"/>
      <c r="C316" s="1233"/>
      <c r="D316" s="1233"/>
      <c r="E316" s="1233"/>
      <c r="F316" s="1233"/>
      <c r="G316" s="1233"/>
      <c r="H316" s="1246"/>
      <c r="I316" s="1246"/>
      <c r="J316" s="544"/>
      <c r="K316" s="544"/>
      <c r="L316" s="548"/>
      <c r="M316" s="548"/>
      <c r="N316" s="471"/>
      <c r="O316" s="471"/>
      <c r="P316" s="471"/>
      <c r="Q316" s="472"/>
      <c r="R316" s="473"/>
      <c r="S316" s="473"/>
    </row>
    <row r="317" spans="1:19" ht="12.75">
      <c r="A317" s="549" t="s">
        <v>1417</v>
      </c>
      <c r="B317" s="550" t="s">
        <v>1284</v>
      </c>
      <c r="C317" s="414"/>
      <c r="D317" s="414"/>
      <c r="E317" s="414"/>
      <c r="F317" s="414"/>
      <c r="G317" s="414"/>
      <c r="H317" s="416"/>
      <c r="I317" s="416"/>
      <c r="J317" s="416"/>
      <c r="K317" s="416"/>
      <c r="L317" s="416"/>
      <c r="M317" s="416"/>
      <c r="N317" s="416"/>
      <c r="O317" s="416"/>
      <c r="P317" s="416"/>
      <c r="Q317" s="466"/>
      <c r="R317" s="466"/>
      <c r="S317" s="466"/>
    </row>
    <row r="318" spans="1:19" ht="12.75">
      <c r="A318" s="427"/>
      <c r="B318" s="437"/>
      <c r="C318" s="437"/>
      <c r="D318" s="437"/>
      <c r="E318" s="437"/>
      <c r="F318" s="437"/>
      <c r="G318" s="437"/>
      <c r="H318" s="437"/>
      <c r="I318" s="437"/>
      <c r="J318" s="437"/>
      <c r="K318" s="437"/>
      <c r="L318" s="437"/>
      <c r="M318" s="437"/>
      <c r="N318" s="437"/>
      <c r="O318" s="437"/>
      <c r="P318" s="437"/>
      <c r="Q318" s="551"/>
      <c r="R318" s="551"/>
      <c r="S318" s="551"/>
    </row>
    <row r="319" spans="1:19" ht="12.75">
      <c r="A319" s="415"/>
      <c r="B319" s="2204" t="s">
        <v>1339</v>
      </c>
      <c r="C319" s="2204"/>
      <c r="D319" s="2204"/>
      <c r="E319" s="2204"/>
      <c r="F319" s="2204"/>
      <c r="G319" s="2204"/>
      <c r="H319" s="2204"/>
      <c r="I319" s="2204"/>
      <c r="J319" s="2204"/>
      <c r="K319" s="2204"/>
      <c r="L319" s="2204"/>
      <c r="M319" s="2204"/>
      <c r="N319" s="2204"/>
      <c r="O319" s="2204"/>
      <c r="P319" s="2204"/>
      <c r="Q319" s="552"/>
      <c r="R319" s="553"/>
      <c r="S319" s="553"/>
    </row>
    <row r="320" spans="1:19" ht="12.75">
      <c r="A320" s="415"/>
      <c r="B320" s="2204"/>
      <c r="C320" s="2204"/>
      <c r="D320" s="2204"/>
      <c r="E320" s="2204"/>
      <c r="F320" s="2204"/>
      <c r="G320" s="2204"/>
      <c r="H320" s="2204"/>
      <c r="I320" s="2204"/>
      <c r="J320" s="2204"/>
      <c r="K320" s="2204"/>
      <c r="L320" s="2204"/>
      <c r="M320" s="2204"/>
      <c r="N320" s="2204"/>
      <c r="O320" s="2204"/>
      <c r="P320" s="2204"/>
      <c r="Q320" s="552"/>
      <c r="R320" s="553"/>
      <c r="S320" s="553"/>
    </row>
    <row r="321" spans="1:19" ht="12.75">
      <c r="A321" s="415"/>
      <c r="B321" s="2204"/>
      <c r="C321" s="2204"/>
      <c r="D321" s="2204"/>
      <c r="E321" s="2204"/>
      <c r="F321" s="2204"/>
      <c r="G321" s="2204"/>
      <c r="H321" s="2204"/>
      <c r="I321" s="2204"/>
      <c r="J321" s="2204"/>
      <c r="K321" s="2204"/>
      <c r="L321" s="2204"/>
      <c r="M321" s="2204"/>
      <c r="N321" s="2204"/>
      <c r="O321" s="2204"/>
      <c r="P321" s="2204"/>
      <c r="Q321" s="552"/>
      <c r="R321" s="553"/>
      <c r="S321" s="553"/>
    </row>
    <row r="322" spans="1:19" ht="12.75">
      <c r="A322" s="411"/>
      <c r="B322" s="554"/>
      <c r="C322" s="554"/>
      <c r="D322" s="554"/>
      <c r="E322" s="554"/>
      <c r="F322" s="554"/>
      <c r="G322" s="554"/>
      <c r="H322" s="554"/>
      <c r="I322" s="554"/>
      <c r="J322" s="554"/>
      <c r="K322" s="554"/>
      <c r="L322" s="554"/>
      <c r="M322" s="554"/>
      <c r="N322" s="554"/>
      <c r="O322" s="554"/>
      <c r="P322" s="554"/>
      <c r="Q322" s="552"/>
      <c r="R322" s="555"/>
      <c r="S322" s="555"/>
    </row>
    <row r="323" spans="1:19" ht="12.75">
      <c r="A323" s="549" t="s">
        <v>1285</v>
      </c>
      <c r="B323" s="414" t="s">
        <v>1286</v>
      </c>
      <c r="C323" s="554"/>
      <c r="D323" s="554"/>
      <c r="E323" s="554"/>
      <c r="F323" s="554"/>
      <c r="G323" s="554"/>
      <c r="H323" s="554"/>
      <c r="I323" s="554"/>
      <c r="J323" s="554"/>
      <c r="K323" s="554"/>
      <c r="L323" s="554"/>
      <c r="M323" s="554"/>
      <c r="N323" s="554"/>
      <c r="O323" s="554"/>
      <c r="P323" s="554"/>
      <c r="Q323" s="552"/>
      <c r="R323" s="555"/>
      <c r="S323" s="555"/>
    </row>
    <row r="324" spans="1:19" ht="12.75">
      <c r="A324" s="411"/>
      <c r="B324" s="554"/>
      <c r="C324" s="554"/>
      <c r="D324" s="554"/>
      <c r="E324" s="554"/>
      <c r="F324" s="554"/>
      <c r="G324" s="554"/>
      <c r="H324" s="554"/>
      <c r="I324" s="554"/>
      <c r="J324" s="554"/>
      <c r="K324" s="554"/>
      <c r="L324" s="554"/>
      <c r="M324" s="554"/>
      <c r="N324" s="554"/>
      <c r="O324" s="554"/>
      <c r="P324" s="554"/>
      <c r="Q324" s="552"/>
      <c r="R324" s="555"/>
      <c r="S324" s="555"/>
    </row>
    <row r="325" spans="1:19" ht="12.75">
      <c r="A325" s="411"/>
      <c r="B325" s="2202" t="s">
        <v>1287</v>
      </c>
      <c r="C325" s="2202"/>
      <c r="D325" s="2202"/>
      <c r="E325" s="2202"/>
      <c r="F325" s="2202"/>
      <c r="G325" s="2202"/>
      <c r="H325" s="2202"/>
      <c r="I325" s="2202"/>
      <c r="J325" s="2202"/>
      <c r="K325" s="2202"/>
      <c r="L325" s="2202"/>
      <c r="M325" s="2202"/>
      <c r="N325" s="2202"/>
      <c r="O325" s="2202"/>
      <c r="P325" s="2202"/>
      <c r="Q325" s="552"/>
      <c r="R325" s="555"/>
      <c r="S325" s="555"/>
    </row>
    <row r="326" spans="1:19" ht="12.75">
      <c r="A326" s="411"/>
      <c r="B326" s="2202"/>
      <c r="C326" s="2202"/>
      <c r="D326" s="2202"/>
      <c r="E326" s="2202"/>
      <c r="F326" s="2202"/>
      <c r="G326" s="2202"/>
      <c r="H326" s="2202"/>
      <c r="I326" s="2202"/>
      <c r="J326" s="2202"/>
      <c r="K326" s="2202"/>
      <c r="L326" s="2202"/>
      <c r="M326" s="2202"/>
      <c r="N326" s="2202"/>
      <c r="O326" s="2202"/>
      <c r="P326" s="2202"/>
      <c r="Q326" s="552"/>
      <c r="R326" s="555"/>
      <c r="S326" s="555"/>
    </row>
    <row r="327" spans="1:19" ht="12.75">
      <c r="A327" s="411"/>
      <c r="B327" s="2202"/>
      <c r="C327" s="2202"/>
      <c r="D327" s="2202"/>
      <c r="E327" s="2202"/>
      <c r="F327" s="2202"/>
      <c r="G327" s="2202"/>
      <c r="H327" s="2202"/>
      <c r="I327" s="2202"/>
      <c r="J327" s="2202"/>
      <c r="K327" s="2202"/>
      <c r="L327" s="2202"/>
      <c r="M327" s="2202"/>
      <c r="N327" s="2202"/>
      <c r="O327" s="2202"/>
      <c r="P327" s="2202"/>
      <c r="Q327" s="552"/>
      <c r="R327" s="555"/>
      <c r="S327" s="555"/>
    </row>
    <row r="328" spans="1:19" ht="12.75">
      <c r="A328" s="411"/>
      <c r="B328" s="2202"/>
      <c r="C328" s="2202"/>
      <c r="D328" s="2202"/>
      <c r="E328" s="2202"/>
      <c r="F328" s="2202"/>
      <c r="G328" s="2202"/>
      <c r="H328" s="2202"/>
      <c r="I328" s="2202"/>
      <c r="J328" s="2202"/>
      <c r="K328" s="2202"/>
      <c r="L328" s="2202"/>
      <c r="M328" s="2202"/>
      <c r="N328" s="2202"/>
      <c r="O328" s="2202"/>
      <c r="P328" s="2202"/>
      <c r="Q328" s="552"/>
      <c r="R328" s="555"/>
      <c r="S328" s="555"/>
    </row>
    <row r="329" spans="1:19" ht="12.75">
      <c r="A329" s="549" t="s">
        <v>1418</v>
      </c>
      <c r="B329" s="414" t="s">
        <v>1288</v>
      </c>
      <c r="C329" s="411"/>
      <c r="D329" s="411"/>
      <c r="E329" s="411"/>
      <c r="F329" s="411"/>
      <c r="G329" s="411"/>
      <c r="H329" s="411"/>
      <c r="I329" s="411"/>
      <c r="J329" s="411"/>
      <c r="K329" s="411"/>
      <c r="L329" s="411"/>
      <c r="M329" s="411"/>
      <c r="N329" s="411"/>
      <c r="O329" s="411"/>
      <c r="P329" s="411"/>
    </row>
    <row r="330" spans="1:19" ht="12.75">
      <c r="A330" s="415"/>
      <c r="B330" s="414"/>
      <c r="C330" s="411"/>
      <c r="D330" s="411"/>
      <c r="E330" s="411"/>
      <c r="F330" s="411"/>
      <c r="G330" s="411"/>
      <c r="H330" s="411"/>
      <c r="I330" s="411"/>
      <c r="J330" s="411"/>
      <c r="K330" s="411"/>
      <c r="L330" s="411"/>
      <c r="M330" s="411"/>
      <c r="N330" s="411"/>
      <c r="O330" s="411"/>
      <c r="P330" s="411"/>
    </row>
    <row r="331" spans="1:19" ht="12.75">
      <c r="A331" s="413"/>
      <c r="B331" s="416" t="s">
        <v>1289</v>
      </c>
      <c r="C331" s="411"/>
      <c r="D331" s="411"/>
      <c r="E331" s="411"/>
      <c r="F331" s="411"/>
      <c r="G331" s="411"/>
      <c r="H331" s="411"/>
      <c r="I331" s="411"/>
      <c r="J331" s="411"/>
      <c r="K331" s="411"/>
      <c r="L331" s="411"/>
      <c r="M331" s="411"/>
      <c r="N331" s="411"/>
      <c r="O331" s="411"/>
      <c r="P331" s="411"/>
    </row>
    <row r="332" spans="1:19" ht="12.75">
      <c r="A332" s="411"/>
      <c r="B332" s="411"/>
      <c r="C332" s="411"/>
      <c r="D332" s="411"/>
      <c r="E332" s="411"/>
      <c r="F332" s="411"/>
      <c r="G332" s="411"/>
      <c r="H332" s="411"/>
      <c r="I332" s="411"/>
      <c r="J332" s="411"/>
      <c r="K332" s="411"/>
      <c r="L332" s="411"/>
      <c r="M332" s="411"/>
      <c r="N332" s="411"/>
      <c r="O332" s="411"/>
      <c r="P332" s="411"/>
    </row>
    <row r="333" spans="1:19" ht="12.75">
      <c r="A333" s="549" t="s">
        <v>1419</v>
      </c>
      <c r="B333" s="414" t="s">
        <v>1290</v>
      </c>
      <c r="C333" s="414"/>
      <c r="D333" s="414"/>
      <c r="E333" s="414"/>
      <c r="F333" s="414"/>
      <c r="G333" s="414"/>
      <c r="H333" s="416"/>
      <c r="I333" s="416"/>
      <c r="J333" s="416"/>
      <c r="K333" s="416"/>
      <c r="L333" s="416"/>
      <c r="M333" s="416"/>
      <c r="N333" s="416"/>
      <c r="O333" s="416"/>
      <c r="P333" s="416"/>
      <c r="Q333" s="466"/>
      <c r="R333" s="466"/>
      <c r="S333" s="466"/>
    </row>
    <row r="334" spans="1:19" ht="12.75">
      <c r="A334" s="415"/>
      <c r="B334" s="416"/>
      <c r="C334" s="416"/>
      <c r="D334" s="416"/>
      <c r="E334" s="416"/>
      <c r="F334" s="416"/>
      <c r="G334" s="416"/>
      <c r="H334" s="416"/>
      <c r="I334" s="416"/>
      <c r="J334" s="416"/>
      <c r="K334" s="416"/>
      <c r="L334" s="416"/>
      <c r="M334" s="416"/>
      <c r="N334" s="416"/>
      <c r="O334" s="416"/>
      <c r="P334" s="416"/>
      <c r="Q334" s="466"/>
      <c r="R334" s="466"/>
      <c r="S334" s="466"/>
    </row>
    <row r="335" spans="1:19" ht="12.75">
      <c r="A335" s="415"/>
      <c r="B335" s="2203" t="s">
        <v>1291</v>
      </c>
      <c r="C335" s="2203"/>
      <c r="D335" s="2203"/>
      <c r="E335" s="2203"/>
      <c r="F335" s="2203"/>
      <c r="G335" s="2203"/>
      <c r="H335" s="2203"/>
      <c r="I335" s="2203"/>
      <c r="J335" s="2203"/>
      <c r="K335" s="2203"/>
      <c r="L335" s="2203"/>
      <c r="M335" s="2203"/>
      <c r="N335" s="2203"/>
      <c r="O335" s="2203"/>
      <c r="P335" s="2203"/>
      <c r="Q335" s="556"/>
      <c r="R335" s="557"/>
      <c r="S335" s="557"/>
    </row>
    <row r="336" spans="1:19" ht="12.75">
      <c r="A336" s="415"/>
      <c r="B336" s="2203"/>
      <c r="C336" s="2203"/>
      <c r="D336" s="2203"/>
      <c r="E336" s="2203"/>
      <c r="F336" s="2203"/>
      <c r="G336" s="2203"/>
      <c r="H336" s="2203"/>
      <c r="I336" s="2203"/>
      <c r="J336" s="2203"/>
      <c r="K336" s="2203"/>
      <c r="L336" s="2203"/>
      <c r="M336" s="2203"/>
      <c r="N336" s="2203"/>
      <c r="O336" s="2203"/>
      <c r="P336" s="2203"/>
      <c r="Q336" s="556"/>
      <c r="R336" s="557"/>
      <c r="S336" s="557"/>
    </row>
    <row r="337" spans="1:19" ht="12.75">
      <c r="A337" s="411"/>
      <c r="B337" s="411"/>
      <c r="C337" s="411"/>
      <c r="D337" s="411"/>
      <c r="E337" s="411"/>
      <c r="F337" s="411"/>
      <c r="G337" s="411"/>
      <c r="H337" s="411"/>
      <c r="I337" s="411"/>
      <c r="J337" s="411"/>
      <c r="K337" s="411"/>
      <c r="L337" s="411"/>
      <c r="M337" s="411"/>
      <c r="N337" s="411"/>
      <c r="O337" s="411"/>
      <c r="P337" s="411"/>
    </row>
    <row r="338" spans="1:19" ht="12.75">
      <c r="A338" s="510"/>
      <c r="B338" s="558"/>
      <c r="C338" s="558"/>
      <c r="D338" s="558"/>
      <c r="E338" s="558"/>
      <c r="F338" s="558"/>
      <c r="G338" s="558"/>
      <c r="H338" s="558"/>
      <c r="I338" s="558"/>
      <c r="J338" s="558"/>
      <c r="K338" s="558"/>
      <c r="L338" s="558"/>
      <c r="M338" s="558"/>
      <c r="N338" s="558"/>
      <c r="O338" s="558"/>
      <c r="P338" s="558"/>
      <c r="Q338" s="559"/>
      <c r="R338" s="560"/>
      <c r="S338" s="560"/>
    </row>
    <row r="339" spans="1:19" s="562" customFormat="1" ht="12.75">
      <c r="A339" s="550"/>
      <c r="B339" s="561"/>
      <c r="C339" s="561"/>
      <c r="D339" s="561"/>
      <c r="E339" s="561"/>
      <c r="F339" s="561"/>
      <c r="G339" s="561"/>
      <c r="H339" s="561"/>
      <c r="I339" s="561"/>
      <c r="J339" s="561"/>
      <c r="K339" s="561"/>
      <c r="L339" s="561"/>
      <c r="M339" s="561"/>
      <c r="N339" s="561"/>
      <c r="O339" s="561"/>
      <c r="P339" s="561"/>
      <c r="Q339" s="559"/>
      <c r="R339" s="559"/>
      <c r="S339" s="559"/>
    </row>
    <row r="340" spans="1:19" s="562" customFormat="1" ht="12.75">
      <c r="A340" s="550"/>
      <c r="B340" s="561"/>
      <c r="C340" s="561"/>
      <c r="D340" s="561"/>
      <c r="E340" s="561"/>
      <c r="F340" s="561"/>
      <c r="G340" s="561"/>
      <c r="H340" s="561"/>
      <c r="I340" s="561"/>
      <c r="J340" s="561"/>
      <c r="K340" s="561"/>
      <c r="L340" s="561"/>
      <c r="M340" s="561"/>
      <c r="N340" s="561"/>
      <c r="O340" s="561"/>
      <c r="P340" s="561"/>
      <c r="Q340" s="559"/>
      <c r="R340" s="559"/>
      <c r="S340" s="559"/>
    </row>
    <row r="341" spans="1:19" s="562" customFormat="1" ht="12.75">
      <c r="A341" s="563"/>
      <c r="B341" s="563"/>
      <c r="C341" s="563"/>
      <c r="D341" s="563"/>
      <c r="E341" s="563"/>
      <c r="F341" s="563"/>
      <c r="G341" s="563"/>
      <c r="H341" s="563"/>
      <c r="I341" s="563"/>
      <c r="J341" s="563"/>
      <c r="K341" s="563"/>
      <c r="L341" s="115"/>
      <c r="M341" s="115"/>
      <c r="N341" s="563"/>
      <c r="O341" s="563"/>
      <c r="P341" s="563"/>
      <c r="Q341" s="564"/>
      <c r="R341" s="564"/>
      <c r="S341" s="564"/>
    </row>
    <row r="342" spans="1:19" s="562" customFormat="1" ht="12.75">
      <c r="A342" s="563"/>
      <c r="B342" s="563"/>
      <c r="C342" s="563"/>
      <c r="D342" s="563"/>
      <c r="E342" s="563"/>
      <c r="F342" s="563"/>
      <c r="G342" s="563"/>
      <c r="H342" s="563"/>
      <c r="I342" s="563"/>
      <c r="J342" s="563"/>
      <c r="K342" s="563"/>
      <c r="L342" s="115"/>
      <c r="M342" s="115"/>
      <c r="N342" s="563"/>
      <c r="O342" s="563"/>
      <c r="P342" s="563"/>
      <c r="Q342" s="564"/>
      <c r="R342" s="564"/>
      <c r="S342" s="564"/>
    </row>
    <row r="343" spans="1:19" s="562" customFormat="1" ht="12.75">
      <c r="A343" s="550"/>
      <c r="B343" s="563"/>
      <c r="C343" s="563"/>
      <c r="D343" s="563"/>
      <c r="E343" s="563"/>
      <c r="F343" s="563"/>
      <c r="G343" s="563"/>
      <c r="H343" s="563"/>
      <c r="I343" s="563"/>
      <c r="J343" s="563"/>
      <c r="K343" s="563"/>
      <c r="L343" s="115"/>
      <c r="M343" s="115"/>
      <c r="N343" s="563"/>
      <c r="O343" s="563"/>
      <c r="P343" s="563"/>
      <c r="Q343" s="564"/>
      <c r="R343" s="564"/>
      <c r="S343" s="564"/>
    </row>
    <row r="344" spans="1:19" s="562" customFormat="1" ht="12.75">
      <c r="A344" s="550"/>
      <c r="B344" s="563"/>
      <c r="C344" s="563"/>
      <c r="D344" s="563"/>
      <c r="E344" s="563"/>
      <c r="F344" s="563"/>
      <c r="G344" s="563"/>
      <c r="H344" s="563"/>
      <c r="I344" s="563"/>
      <c r="J344" s="563"/>
      <c r="K344" s="563"/>
      <c r="L344" s="115"/>
      <c r="M344" s="115"/>
      <c r="N344" s="563"/>
      <c r="O344" s="563"/>
      <c r="P344" s="563"/>
      <c r="Q344" s="564"/>
      <c r="R344" s="564"/>
      <c r="S344" s="564"/>
    </row>
    <row r="345" spans="1:19" ht="12.75">
      <c r="A345" s="565"/>
      <c r="B345" s="566"/>
      <c r="C345" s="566"/>
      <c r="D345" s="566"/>
      <c r="E345" s="566"/>
      <c r="F345" s="566"/>
      <c r="G345" s="566"/>
      <c r="H345" s="566"/>
      <c r="I345" s="566"/>
      <c r="J345" s="566"/>
      <c r="K345" s="566"/>
      <c r="L345" s="566"/>
      <c r="M345" s="566"/>
      <c r="N345" s="566"/>
      <c r="O345" s="566"/>
      <c r="P345" s="566"/>
      <c r="Q345" s="567"/>
      <c r="R345" s="568"/>
      <c r="S345" s="568"/>
    </row>
    <row r="346" spans="1:19" ht="12.75">
      <c r="A346" s="565"/>
      <c r="B346" s="569"/>
      <c r="C346" s="570"/>
      <c r="D346" s="570"/>
      <c r="E346" s="570"/>
      <c r="F346" s="570"/>
      <c r="G346" s="570"/>
      <c r="H346" s="476"/>
      <c r="I346" s="476"/>
      <c r="J346" s="476"/>
      <c r="K346" s="476"/>
      <c r="L346" s="476"/>
      <c r="M346" s="476"/>
      <c r="N346" s="510"/>
      <c r="O346" s="510"/>
      <c r="P346" s="571"/>
      <c r="Q346" s="307"/>
      <c r="R346" s="572"/>
      <c r="S346" s="572"/>
    </row>
    <row r="347" spans="1:19" ht="12.75">
      <c r="A347" s="411"/>
      <c r="B347" s="411"/>
      <c r="C347" s="411"/>
      <c r="D347" s="411"/>
      <c r="E347" s="411"/>
      <c r="F347" s="411"/>
      <c r="G347" s="411"/>
      <c r="H347" s="411"/>
      <c r="I347" s="411"/>
      <c r="J347" s="411"/>
      <c r="K347" s="411"/>
      <c r="L347" s="411"/>
      <c r="M347" s="411"/>
      <c r="N347" s="411"/>
      <c r="O347" s="411"/>
      <c r="P347" s="411"/>
    </row>
    <row r="348" spans="1:19" ht="12.75">
      <c r="A348" s="415"/>
      <c r="B348" s="416"/>
      <c r="C348" s="416"/>
      <c r="D348" s="416"/>
      <c r="E348" s="416"/>
      <c r="F348" s="416"/>
      <c r="G348" s="416"/>
      <c r="H348" s="416"/>
      <c r="I348" s="416"/>
      <c r="J348" s="453"/>
      <c r="K348" s="110"/>
      <c r="L348" s="453"/>
      <c r="M348" s="110"/>
      <c r="N348" s="453"/>
      <c r="O348" s="110"/>
      <c r="P348" s="453"/>
    </row>
    <row r="349" spans="1:19" ht="12.75">
      <c r="A349" s="411"/>
      <c r="B349" s="411"/>
      <c r="C349" s="411"/>
      <c r="D349" s="411"/>
      <c r="E349" s="411"/>
      <c r="F349" s="411"/>
      <c r="G349" s="411"/>
      <c r="H349" s="411"/>
      <c r="I349" s="411"/>
      <c r="J349" s="411"/>
      <c r="K349" s="411"/>
      <c r="L349" s="411"/>
      <c r="M349" s="411"/>
      <c r="N349" s="411"/>
      <c r="O349" s="411"/>
      <c r="P349" s="411"/>
    </row>
    <row r="350" spans="1:19" ht="12.75">
      <c r="A350" s="411"/>
      <c r="B350" s="411"/>
      <c r="C350" s="411"/>
      <c r="D350" s="411"/>
      <c r="E350" s="411"/>
      <c r="F350" s="411"/>
      <c r="G350" s="411"/>
      <c r="H350" s="411"/>
      <c r="I350" s="411"/>
      <c r="J350" s="411"/>
      <c r="K350" s="411"/>
      <c r="L350" s="411"/>
      <c r="M350" s="411"/>
      <c r="N350" s="411"/>
      <c r="O350" s="411"/>
      <c r="P350" s="411"/>
    </row>
    <row r="351" spans="1:19" ht="12.75">
      <c r="A351" s="411"/>
      <c r="B351" s="411"/>
      <c r="C351" s="411"/>
      <c r="D351" s="411"/>
      <c r="E351" s="411"/>
      <c r="F351" s="411"/>
      <c r="G351" s="411"/>
      <c r="H351" s="411"/>
      <c r="I351" s="411"/>
      <c r="J351" s="411"/>
      <c r="K351" s="411"/>
      <c r="L351" s="411"/>
      <c r="M351" s="411"/>
      <c r="N351" s="411"/>
      <c r="O351" s="411"/>
      <c r="P351" s="411"/>
    </row>
    <row r="352" spans="1:19" ht="12.75">
      <c r="A352" s="411"/>
      <c r="B352" s="411"/>
      <c r="C352" s="411"/>
      <c r="D352" s="411"/>
      <c r="E352" s="411"/>
      <c r="F352" s="411"/>
      <c r="G352" s="411"/>
      <c r="H352" s="411"/>
      <c r="I352" s="411"/>
      <c r="J352" s="411"/>
      <c r="K352" s="411"/>
      <c r="L352" s="411"/>
      <c r="M352" s="411"/>
      <c r="N352" s="411"/>
      <c r="O352" s="411"/>
      <c r="P352" s="411"/>
    </row>
    <row r="353" spans="1:16" ht="12.75">
      <c r="A353" s="411"/>
      <c r="B353" s="411"/>
      <c r="C353" s="411"/>
      <c r="D353" s="411"/>
      <c r="E353" s="411"/>
      <c r="F353" s="411"/>
      <c r="G353" s="411"/>
      <c r="H353" s="411"/>
      <c r="I353" s="411"/>
      <c r="J353" s="411"/>
      <c r="K353" s="411"/>
      <c r="L353" s="411"/>
      <c r="M353" s="411"/>
      <c r="N353" s="411"/>
      <c r="O353" s="411"/>
      <c r="P353" s="411"/>
    </row>
    <row r="354" spans="1:16" ht="12.75">
      <c r="A354" s="411"/>
      <c r="B354" s="411"/>
      <c r="C354" s="411"/>
      <c r="D354" s="411"/>
      <c r="E354" s="411"/>
      <c r="F354" s="411"/>
      <c r="G354" s="411"/>
      <c r="H354" s="411"/>
      <c r="I354" s="411"/>
      <c r="J354" s="411"/>
      <c r="K354" s="411"/>
      <c r="L354" s="411"/>
      <c r="M354" s="411"/>
      <c r="N354" s="411"/>
      <c r="O354" s="411"/>
      <c r="P354" s="411"/>
    </row>
    <row r="355" spans="1:16" ht="12.75">
      <c r="A355" s="411"/>
      <c r="B355" s="411"/>
      <c r="C355" s="411"/>
      <c r="D355" s="411"/>
      <c r="E355" s="411"/>
      <c r="F355" s="411"/>
      <c r="G355" s="411"/>
      <c r="H355" s="411"/>
      <c r="I355" s="411"/>
      <c r="J355" s="411"/>
      <c r="K355" s="411"/>
      <c r="L355" s="411"/>
      <c r="M355" s="411"/>
      <c r="N355" s="411"/>
      <c r="O355" s="411"/>
      <c r="P355" s="411"/>
    </row>
    <row r="356" spans="1:16" ht="12.75">
      <c r="A356" s="411"/>
      <c r="B356" s="411"/>
      <c r="C356" s="411"/>
      <c r="D356" s="411"/>
      <c r="E356" s="411"/>
      <c r="F356" s="411"/>
      <c r="G356" s="411"/>
      <c r="H356" s="411"/>
      <c r="I356" s="411"/>
      <c r="J356" s="411"/>
      <c r="K356" s="411"/>
      <c r="L356" s="411"/>
      <c r="M356" s="411"/>
      <c r="N356" s="411"/>
      <c r="O356" s="411"/>
      <c r="P356" s="411"/>
    </row>
    <row r="357" spans="1:16" ht="12.75">
      <c r="A357" s="411"/>
      <c r="B357" s="411"/>
      <c r="C357" s="411"/>
      <c r="D357" s="411"/>
      <c r="E357" s="411"/>
      <c r="F357" s="411"/>
      <c r="G357" s="411"/>
      <c r="H357" s="411"/>
      <c r="I357" s="411"/>
      <c r="J357" s="411"/>
      <c r="K357" s="411"/>
      <c r="L357" s="411"/>
      <c r="M357" s="411"/>
      <c r="N357" s="411"/>
      <c r="O357" s="411"/>
      <c r="P357" s="411"/>
    </row>
    <row r="358" spans="1:16" ht="12.75">
      <c r="A358" s="411"/>
      <c r="B358" s="411"/>
      <c r="C358" s="411"/>
      <c r="D358" s="411"/>
      <c r="E358" s="411"/>
      <c r="F358" s="411"/>
      <c r="G358" s="411"/>
      <c r="H358" s="411"/>
      <c r="I358" s="411"/>
      <c r="J358" s="411"/>
      <c r="K358" s="411"/>
      <c r="L358" s="411"/>
      <c r="M358" s="411"/>
      <c r="N358" s="411"/>
      <c r="O358" s="411"/>
      <c r="P358" s="411"/>
    </row>
    <row r="359" spans="1:16" ht="12.75">
      <c r="A359" s="411"/>
      <c r="B359" s="411"/>
      <c r="C359" s="411"/>
      <c r="D359" s="411"/>
      <c r="E359" s="411"/>
      <c r="F359" s="411"/>
      <c r="G359" s="411"/>
      <c r="H359" s="411"/>
      <c r="I359" s="411"/>
      <c r="J359" s="411"/>
      <c r="K359" s="411"/>
      <c r="L359" s="411"/>
      <c r="M359" s="411"/>
      <c r="N359" s="411"/>
      <c r="O359" s="411"/>
      <c r="P359" s="411"/>
    </row>
    <row r="360" spans="1:16" ht="12.75">
      <c r="A360" s="411"/>
      <c r="B360" s="411"/>
      <c r="C360" s="411"/>
      <c r="D360" s="411"/>
      <c r="E360" s="411"/>
      <c r="F360" s="411"/>
      <c r="G360" s="411"/>
      <c r="H360" s="411"/>
      <c r="I360" s="411"/>
      <c r="J360" s="411"/>
      <c r="K360" s="411"/>
      <c r="L360" s="411"/>
      <c r="M360" s="411"/>
      <c r="N360" s="411"/>
      <c r="O360" s="411"/>
      <c r="P360" s="411"/>
    </row>
    <row r="361" spans="1:16" ht="12.75">
      <c r="A361" s="411"/>
      <c r="B361" s="411"/>
      <c r="C361" s="411"/>
      <c r="D361" s="411"/>
      <c r="E361" s="411"/>
      <c r="F361" s="411"/>
      <c r="G361" s="411"/>
      <c r="H361" s="411"/>
      <c r="I361" s="411"/>
      <c r="J361" s="411"/>
      <c r="K361" s="411"/>
      <c r="L361" s="411"/>
      <c r="M361" s="411"/>
      <c r="N361" s="411"/>
      <c r="O361" s="411"/>
      <c r="P361" s="411"/>
    </row>
    <row r="362" spans="1:16" ht="12.75">
      <c r="A362" s="411"/>
      <c r="B362" s="411"/>
      <c r="C362" s="411"/>
      <c r="D362" s="411"/>
      <c r="E362" s="411"/>
      <c r="F362" s="411"/>
      <c r="G362" s="411"/>
      <c r="H362" s="411"/>
      <c r="I362" s="411"/>
      <c r="J362" s="411"/>
      <c r="K362" s="411"/>
      <c r="L362" s="411"/>
      <c r="M362" s="411"/>
      <c r="N362" s="411"/>
      <c r="O362" s="411"/>
      <c r="P362" s="411"/>
    </row>
    <row r="363" spans="1:16" ht="12.75">
      <c r="A363" s="411"/>
      <c r="B363" s="411"/>
      <c r="C363" s="411"/>
      <c r="D363" s="411"/>
      <c r="E363" s="411"/>
      <c r="F363" s="411"/>
      <c r="G363" s="411"/>
      <c r="H363" s="411"/>
      <c r="I363" s="411"/>
      <c r="J363" s="411"/>
      <c r="K363" s="411"/>
      <c r="L363" s="411"/>
      <c r="M363" s="411"/>
      <c r="N363" s="411"/>
      <c r="O363" s="411"/>
      <c r="P363" s="411"/>
    </row>
    <row r="364" spans="1:16" ht="12.75">
      <c r="A364" s="411"/>
      <c r="B364" s="411"/>
      <c r="C364" s="411"/>
      <c r="D364" s="411"/>
      <c r="E364" s="411"/>
      <c r="F364" s="411"/>
      <c r="G364" s="411"/>
      <c r="H364" s="411"/>
      <c r="I364" s="411"/>
      <c r="J364" s="411"/>
      <c r="K364" s="411"/>
      <c r="L364" s="411"/>
      <c r="M364" s="411"/>
      <c r="N364" s="411"/>
      <c r="O364" s="411"/>
      <c r="P364" s="411"/>
    </row>
    <row r="365" spans="1:16" ht="12.75">
      <c r="A365" s="411"/>
      <c r="B365" s="411"/>
      <c r="C365" s="411"/>
      <c r="D365" s="411"/>
      <c r="E365" s="411"/>
      <c r="F365" s="411"/>
      <c r="G365" s="411"/>
      <c r="H365" s="411"/>
      <c r="I365" s="411"/>
      <c r="J365" s="411"/>
      <c r="K365" s="411"/>
      <c r="L365" s="411"/>
      <c r="M365" s="411"/>
      <c r="N365" s="411"/>
      <c r="O365" s="411"/>
      <c r="P365" s="411"/>
    </row>
    <row r="366" spans="1:16" ht="12.75">
      <c r="A366" s="411"/>
      <c r="B366" s="411"/>
      <c r="C366" s="411"/>
      <c r="D366" s="411"/>
      <c r="E366" s="411"/>
      <c r="F366" s="411"/>
      <c r="G366" s="411"/>
      <c r="H366" s="411"/>
      <c r="I366" s="411"/>
      <c r="J366" s="411"/>
      <c r="K366" s="411"/>
      <c r="L366" s="411"/>
      <c r="M366" s="411"/>
      <c r="N366" s="411"/>
      <c r="O366" s="411"/>
      <c r="P366" s="411"/>
    </row>
    <row r="367" spans="1:16" ht="12.75">
      <c r="A367" s="411"/>
      <c r="B367" s="411"/>
      <c r="C367" s="411"/>
      <c r="D367" s="411"/>
      <c r="E367" s="411"/>
      <c r="F367" s="411"/>
      <c r="G367" s="411"/>
      <c r="H367" s="411"/>
      <c r="I367" s="411"/>
      <c r="J367" s="411"/>
      <c r="K367" s="411"/>
      <c r="L367" s="411"/>
      <c r="M367" s="411"/>
      <c r="N367" s="411"/>
      <c r="O367" s="411"/>
      <c r="P367" s="411"/>
    </row>
    <row r="368" spans="1:16" ht="12.75">
      <c r="A368" s="411"/>
      <c r="B368" s="411"/>
      <c r="C368" s="411"/>
      <c r="D368" s="411"/>
      <c r="E368" s="411"/>
      <c r="F368" s="411"/>
      <c r="G368" s="411"/>
      <c r="H368" s="411"/>
      <c r="I368" s="411"/>
      <c r="J368" s="411"/>
      <c r="K368" s="411"/>
      <c r="L368" s="411"/>
      <c r="M368" s="411"/>
      <c r="N368" s="411"/>
      <c r="O368" s="411"/>
      <c r="P368" s="411"/>
    </row>
    <row r="369" spans="1:16" ht="12.75">
      <c r="A369" s="411"/>
      <c r="B369" s="411"/>
      <c r="C369" s="411"/>
      <c r="D369" s="411"/>
      <c r="E369" s="411"/>
      <c r="F369" s="411"/>
      <c r="G369" s="411"/>
      <c r="H369" s="411"/>
      <c r="I369" s="411"/>
      <c r="J369" s="411"/>
      <c r="K369" s="411"/>
      <c r="L369" s="411"/>
      <c r="M369" s="411"/>
      <c r="N369" s="411"/>
      <c r="O369" s="411"/>
      <c r="P369" s="411"/>
    </row>
    <row r="370" spans="1:16" ht="12.75">
      <c r="A370" s="411"/>
      <c r="B370" s="411"/>
      <c r="C370" s="411"/>
      <c r="D370" s="411"/>
      <c r="E370" s="411"/>
      <c r="F370" s="411"/>
      <c r="G370" s="411"/>
      <c r="H370" s="411"/>
      <c r="I370" s="411"/>
      <c r="J370" s="411"/>
      <c r="K370" s="411"/>
      <c r="L370" s="411"/>
      <c r="M370" s="411"/>
      <c r="N370" s="411"/>
      <c r="O370" s="411"/>
      <c r="P370" s="411"/>
    </row>
    <row r="371" spans="1:16" ht="12.75">
      <c r="A371" s="411"/>
      <c r="B371" s="411"/>
      <c r="C371" s="411"/>
      <c r="D371" s="411"/>
      <c r="E371" s="411"/>
      <c r="F371" s="411"/>
      <c r="G371" s="411"/>
      <c r="H371" s="411"/>
      <c r="I371" s="411"/>
      <c r="J371" s="411"/>
      <c r="K371" s="411"/>
      <c r="L371" s="411"/>
      <c r="M371" s="411"/>
      <c r="N371" s="411"/>
      <c r="O371" s="411"/>
      <c r="P371" s="411"/>
    </row>
    <row r="372" spans="1:16" ht="12.75">
      <c r="A372" s="411"/>
      <c r="B372" s="411"/>
      <c r="C372" s="411"/>
      <c r="D372" s="411"/>
      <c r="E372" s="411"/>
      <c r="F372" s="411"/>
      <c r="G372" s="411"/>
      <c r="H372" s="411"/>
      <c r="I372" s="411"/>
      <c r="J372" s="411"/>
      <c r="K372" s="411"/>
      <c r="L372" s="411"/>
      <c r="M372" s="411"/>
      <c r="N372" s="411"/>
      <c r="O372" s="411"/>
      <c r="P372" s="411"/>
    </row>
    <row r="373" spans="1:16" ht="12.75">
      <c r="A373" s="411"/>
      <c r="B373" s="411"/>
      <c r="C373" s="411"/>
      <c r="D373" s="411"/>
      <c r="E373" s="411"/>
      <c r="F373" s="411"/>
      <c r="G373" s="411"/>
      <c r="H373" s="411"/>
      <c r="I373" s="411"/>
      <c r="J373" s="411"/>
      <c r="K373" s="411"/>
      <c r="L373" s="411"/>
      <c r="M373" s="411"/>
      <c r="N373" s="411"/>
      <c r="O373" s="411"/>
      <c r="P373" s="411"/>
    </row>
    <row r="374" spans="1:16" ht="12.75">
      <c r="A374" s="411"/>
      <c r="B374" s="411"/>
      <c r="C374" s="411"/>
      <c r="D374" s="411"/>
      <c r="E374" s="411"/>
      <c r="F374" s="411"/>
      <c r="G374" s="411"/>
      <c r="H374" s="411"/>
      <c r="I374" s="411"/>
      <c r="J374" s="411"/>
      <c r="K374" s="411"/>
      <c r="L374" s="411"/>
      <c r="M374" s="411"/>
      <c r="N374" s="411"/>
      <c r="O374" s="411"/>
      <c r="P374" s="411"/>
    </row>
    <row r="375" spans="1:16" ht="12.75">
      <c r="A375" s="411"/>
      <c r="B375" s="411"/>
      <c r="C375" s="411"/>
      <c r="D375" s="411"/>
      <c r="E375" s="411"/>
      <c r="F375" s="411"/>
      <c r="G375" s="411"/>
      <c r="H375" s="411"/>
      <c r="I375" s="411"/>
      <c r="J375" s="411"/>
      <c r="K375" s="411"/>
      <c r="L375" s="411"/>
      <c r="M375" s="411"/>
      <c r="N375" s="411"/>
      <c r="O375" s="411"/>
      <c r="P375" s="411"/>
    </row>
    <row r="376" spans="1:16" ht="12.75">
      <c r="A376" s="411"/>
      <c r="B376" s="411"/>
      <c r="C376" s="411"/>
      <c r="D376" s="411"/>
      <c r="E376" s="411"/>
      <c r="F376" s="411"/>
      <c r="G376" s="411"/>
      <c r="H376" s="411"/>
      <c r="I376" s="411"/>
      <c r="J376" s="411"/>
      <c r="K376" s="411"/>
      <c r="L376" s="411"/>
      <c r="M376" s="411"/>
      <c r="N376" s="411"/>
      <c r="O376" s="411"/>
      <c r="P376" s="411"/>
    </row>
    <row r="377" spans="1:16" ht="12.75">
      <c r="A377" s="411"/>
      <c r="B377" s="411"/>
      <c r="C377" s="411"/>
      <c r="D377" s="411"/>
      <c r="E377" s="411"/>
      <c r="F377" s="411"/>
      <c r="G377" s="411"/>
      <c r="H377" s="411"/>
      <c r="I377" s="411"/>
      <c r="J377" s="411"/>
      <c r="K377" s="411"/>
      <c r="L377" s="411"/>
      <c r="M377" s="411"/>
      <c r="N377" s="411"/>
      <c r="O377" s="411"/>
      <c r="P377" s="411"/>
    </row>
    <row r="378" spans="1:16" ht="12.75">
      <c r="A378" s="411"/>
      <c r="B378" s="411"/>
      <c r="C378" s="411"/>
      <c r="D378" s="411"/>
      <c r="E378" s="411"/>
      <c r="F378" s="411"/>
      <c r="G378" s="411"/>
      <c r="H378" s="411"/>
      <c r="I378" s="411"/>
      <c r="J378" s="411"/>
      <c r="K378" s="411"/>
      <c r="L378" s="411"/>
      <c r="M378" s="411"/>
      <c r="N378" s="411"/>
      <c r="O378" s="411"/>
      <c r="P378" s="411"/>
    </row>
    <row r="379" spans="1:16" ht="12.75">
      <c r="A379" s="411"/>
      <c r="B379" s="411"/>
      <c r="C379" s="411"/>
      <c r="D379" s="411"/>
      <c r="E379" s="411"/>
      <c r="F379" s="411"/>
      <c r="G379" s="411"/>
      <c r="H379" s="411"/>
      <c r="I379" s="411"/>
      <c r="J379" s="411"/>
      <c r="K379" s="411"/>
      <c r="L379" s="411"/>
      <c r="M379" s="411"/>
      <c r="N379" s="411"/>
      <c r="O379" s="411"/>
      <c r="P379" s="411"/>
    </row>
    <row r="380" spans="1:16" ht="12.75">
      <c r="A380" s="411"/>
      <c r="B380" s="411"/>
      <c r="C380" s="411"/>
      <c r="D380" s="411"/>
      <c r="E380" s="411"/>
      <c r="F380" s="411"/>
      <c r="G380" s="411"/>
      <c r="H380" s="411"/>
      <c r="I380" s="411"/>
      <c r="J380" s="411"/>
      <c r="K380" s="411"/>
      <c r="L380" s="411"/>
      <c r="M380" s="411"/>
      <c r="N380" s="411"/>
      <c r="O380" s="411"/>
      <c r="P380" s="411"/>
    </row>
    <row r="381" spans="1:16" ht="12.75">
      <c r="A381" s="411"/>
      <c r="B381" s="411"/>
      <c r="C381" s="411"/>
      <c r="D381" s="411"/>
      <c r="E381" s="411"/>
      <c r="F381" s="411"/>
      <c r="G381" s="411"/>
      <c r="H381" s="411"/>
      <c r="I381" s="411"/>
      <c r="J381" s="411"/>
      <c r="K381" s="411"/>
      <c r="L381" s="411"/>
      <c r="M381" s="411"/>
      <c r="N381" s="411"/>
      <c r="O381" s="411"/>
      <c r="P381" s="411"/>
    </row>
    <row r="382" spans="1:16" ht="12.75">
      <c r="A382" s="411"/>
      <c r="B382" s="411"/>
      <c r="C382" s="411"/>
      <c r="D382" s="411"/>
      <c r="E382" s="411"/>
      <c r="F382" s="411"/>
      <c r="G382" s="411"/>
      <c r="H382" s="411"/>
      <c r="I382" s="411"/>
      <c r="J382" s="411"/>
      <c r="K382" s="411"/>
      <c r="L382" s="411"/>
      <c r="M382" s="411"/>
      <c r="N382" s="411"/>
      <c r="O382" s="411"/>
      <c r="P382" s="411"/>
    </row>
    <row r="383" spans="1:16" ht="12.75">
      <c r="A383" s="411"/>
      <c r="B383" s="411"/>
      <c r="C383" s="411"/>
      <c r="D383" s="411"/>
      <c r="E383" s="411"/>
      <c r="F383" s="411"/>
      <c r="G383" s="411"/>
      <c r="H383" s="411"/>
      <c r="I383" s="411"/>
      <c r="J383" s="411"/>
      <c r="K383" s="411"/>
      <c r="L383" s="411"/>
      <c r="M383" s="411"/>
      <c r="N383" s="411"/>
      <c r="O383" s="411"/>
      <c r="P383" s="411"/>
    </row>
    <row r="384" spans="1:16" ht="12.75">
      <c r="A384" s="411"/>
      <c r="B384" s="411"/>
      <c r="C384" s="411"/>
      <c r="D384" s="411"/>
      <c r="E384" s="411"/>
      <c r="F384" s="411"/>
      <c r="G384" s="411"/>
      <c r="H384" s="411"/>
      <c r="I384" s="411"/>
      <c r="J384" s="411"/>
      <c r="K384" s="411"/>
      <c r="L384" s="411"/>
      <c r="M384" s="411"/>
      <c r="N384" s="411"/>
      <c r="O384" s="411"/>
      <c r="P384" s="411"/>
    </row>
    <row r="385" spans="1:16" ht="12.75">
      <c r="A385" s="411"/>
      <c r="B385" s="411"/>
      <c r="C385" s="411"/>
      <c r="D385" s="411"/>
      <c r="E385" s="411"/>
      <c r="F385" s="411"/>
      <c r="G385" s="411"/>
      <c r="H385" s="411"/>
      <c r="I385" s="411"/>
      <c r="J385" s="411"/>
      <c r="K385" s="411"/>
      <c r="L385" s="411"/>
      <c r="M385" s="411"/>
      <c r="N385" s="411"/>
      <c r="O385" s="411"/>
      <c r="P385" s="411"/>
    </row>
    <row r="386" spans="1:16" ht="12.75">
      <c r="A386" s="411"/>
      <c r="B386" s="411"/>
      <c r="C386" s="411"/>
      <c r="D386" s="411"/>
      <c r="E386" s="411"/>
      <c r="F386" s="411"/>
      <c r="G386" s="411"/>
      <c r="H386" s="411"/>
      <c r="I386" s="411"/>
      <c r="J386" s="411"/>
      <c r="K386" s="411"/>
      <c r="L386" s="411"/>
      <c r="M386" s="411"/>
      <c r="N386" s="411"/>
      <c r="O386" s="411"/>
      <c r="P386" s="411"/>
    </row>
    <row r="387" spans="1:16" ht="12.75">
      <c r="A387" s="411"/>
      <c r="B387" s="411"/>
      <c r="C387" s="411"/>
      <c r="D387" s="411"/>
      <c r="E387" s="411"/>
      <c r="F387" s="411"/>
      <c r="G387" s="411"/>
      <c r="H387" s="411"/>
      <c r="I387" s="411"/>
      <c r="J387" s="411"/>
      <c r="K387" s="411"/>
      <c r="L387" s="411"/>
      <c r="M387" s="411"/>
      <c r="N387" s="411"/>
      <c r="O387" s="411"/>
      <c r="P387" s="411"/>
    </row>
    <row r="388" spans="1:16" ht="12.75">
      <c r="A388" s="411"/>
      <c r="B388" s="411"/>
      <c r="C388" s="411"/>
      <c r="D388" s="411"/>
      <c r="E388" s="411"/>
      <c r="F388" s="411"/>
      <c r="G388" s="411"/>
      <c r="H388" s="411"/>
      <c r="I388" s="411"/>
      <c r="J388" s="411"/>
      <c r="K388" s="411"/>
      <c r="L388" s="411"/>
      <c r="M388" s="411"/>
      <c r="N388" s="411"/>
      <c r="O388" s="411"/>
      <c r="P388" s="411"/>
    </row>
    <row r="389" spans="1:16" ht="12.75">
      <c r="A389" s="411"/>
      <c r="B389" s="411"/>
      <c r="C389" s="411"/>
      <c r="D389" s="411"/>
      <c r="E389" s="411"/>
      <c r="F389" s="411"/>
      <c r="G389" s="411"/>
      <c r="H389" s="411"/>
      <c r="I389" s="411"/>
      <c r="J389" s="411"/>
      <c r="K389" s="411"/>
      <c r="L389" s="411"/>
      <c r="M389" s="411"/>
      <c r="N389" s="411"/>
      <c r="O389" s="411"/>
      <c r="P389" s="411"/>
    </row>
    <row r="390" spans="1:16" ht="12.75">
      <c r="A390" s="411"/>
      <c r="B390" s="411"/>
      <c r="C390" s="411"/>
      <c r="D390" s="411"/>
      <c r="E390" s="411"/>
      <c r="F390" s="411"/>
      <c r="G390" s="411"/>
      <c r="H390" s="411"/>
      <c r="I390" s="411"/>
      <c r="J390" s="411"/>
      <c r="K390" s="411"/>
      <c r="L390" s="411"/>
      <c r="M390" s="411"/>
      <c r="N390" s="411"/>
      <c r="O390" s="411"/>
      <c r="P390" s="411"/>
    </row>
    <row r="391" spans="1:16" ht="12.75">
      <c r="A391" s="411"/>
      <c r="B391" s="411"/>
      <c r="C391" s="411"/>
      <c r="D391" s="411"/>
      <c r="E391" s="411"/>
      <c r="F391" s="411"/>
      <c r="G391" s="411"/>
      <c r="H391" s="411"/>
      <c r="I391" s="411"/>
      <c r="J391" s="411"/>
      <c r="K391" s="411"/>
      <c r="L391" s="411"/>
      <c r="M391" s="411"/>
      <c r="N391" s="411"/>
      <c r="O391" s="411"/>
      <c r="P391" s="411"/>
    </row>
    <row r="392" spans="1:16" ht="12.75">
      <c r="A392" s="411"/>
      <c r="B392" s="411"/>
      <c r="C392" s="411"/>
      <c r="D392" s="411"/>
      <c r="E392" s="411"/>
      <c r="F392" s="411"/>
      <c r="G392" s="411"/>
      <c r="H392" s="411"/>
      <c r="I392" s="411"/>
      <c r="J392" s="411"/>
      <c r="K392" s="411"/>
      <c r="L392" s="411"/>
      <c r="M392" s="411"/>
      <c r="N392" s="411"/>
      <c r="O392" s="411"/>
      <c r="P392" s="411"/>
    </row>
    <row r="393" spans="1:16" ht="12.75">
      <c r="A393" s="411"/>
      <c r="B393" s="411"/>
      <c r="C393" s="411"/>
      <c r="D393" s="411"/>
      <c r="E393" s="411"/>
      <c r="F393" s="411"/>
      <c r="G393" s="411"/>
      <c r="H393" s="411"/>
      <c r="I393" s="411"/>
      <c r="J393" s="411"/>
      <c r="K393" s="411"/>
      <c r="L393" s="411"/>
      <c r="M393" s="411"/>
      <c r="N393" s="411"/>
      <c r="O393" s="411"/>
      <c r="P393" s="411"/>
    </row>
    <row r="394" spans="1:16" ht="12.75">
      <c r="A394" s="411"/>
      <c r="B394" s="411"/>
      <c r="C394" s="411"/>
      <c r="D394" s="411"/>
      <c r="E394" s="411"/>
      <c r="F394" s="411"/>
      <c r="G394" s="411"/>
      <c r="H394" s="411"/>
      <c r="I394" s="411"/>
      <c r="J394" s="411"/>
      <c r="K394" s="411"/>
      <c r="L394" s="411"/>
      <c r="M394" s="411"/>
      <c r="N394" s="411"/>
      <c r="O394" s="411"/>
      <c r="P394" s="411"/>
    </row>
  </sheetData>
  <mergeCells count="76">
    <mergeCell ref="B158:E158"/>
    <mergeCell ref="B109:P112"/>
    <mergeCell ref="B100:P101"/>
    <mergeCell ref="B103:P107"/>
    <mergeCell ref="B114:P118"/>
    <mergeCell ref="B120:P120"/>
    <mergeCell ref="B212:P214"/>
    <mergeCell ref="B216:P219"/>
    <mergeCell ref="F124:P124"/>
    <mergeCell ref="F145:P145"/>
    <mergeCell ref="J172:P172"/>
    <mergeCell ref="J187:P187"/>
    <mergeCell ref="J189:P189"/>
    <mergeCell ref="B166:P168"/>
    <mergeCell ref="I170:P170"/>
    <mergeCell ref="B134:E134"/>
    <mergeCell ref="B136:E136"/>
    <mergeCell ref="B137:E137"/>
    <mergeCell ref="B149:E149"/>
    <mergeCell ref="B151:E151"/>
    <mergeCell ref="B155:E155"/>
    <mergeCell ref="B157:E157"/>
    <mergeCell ref="B71:P73"/>
    <mergeCell ref="J75:L75"/>
    <mergeCell ref="N75:P75"/>
    <mergeCell ref="B64:P67"/>
    <mergeCell ref="B92:P96"/>
    <mergeCell ref="R224:T224"/>
    <mergeCell ref="B43:P45"/>
    <mergeCell ref="B4:P7"/>
    <mergeCell ref="B11:P14"/>
    <mergeCell ref="B21:P24"/>
    <mergeCell ref="J28:L28"/>
    <mergeCell ref="N28:P28"/>
    <mergeCell ref="J29:J33"/>
    <mergeCell ref="L29:L33"/>
    <mergeCell ref="N29:N33"/>
    <mergeCell ref="P29:P33"/>
    <mergeCell ref="J34:P34"/>
    <mergeCell ref="B15:P19"/>
    <mergeCell ref="N49:P49"/>
    <mergeCell ref="B61:P62"/>
    <mergeCell ref="J49:L49"/>
    <mergeCell ref="B325:P328"/>
    <mergeCell ref="B335:P336"/>
    <mergeCell ref="B319:P321"/>
    <mergeCell ref="N305:P305"/>
    <mergeCell ref="N307:P307"/>
    <mergeCell ref="N308:P308"/>
    <mergeCell ref="N309:P309"/>
    <mergeCell ref="N310:P310"/>
    <mergeCell ref="N311:P311"/>
    <mergeCell ref="N312:P312"/>
    <mergeCell ref="N313:P313"/>
    <mergeCell ref="B269:I273"/>
    <mergeCell ref="J269:P269"/>
    <mergeCell ref="J270:K273"/>
    <mergeCell ref="L270:M273"/>
    <mergeCell ref="N270:O273"/>
    <mergeCell ref="P270:P273"/>
    <mergeCell ref="K302:M302"/>
    <mergeCell ref="N283:O286"/>
    <mergeCell ref="P283:P286"/>
    <mergeCell ref="C251:N251"/>
    <mergeCell ref="C240:N240"/>
    <mergeCell ref="F301:G302"/>
    <mergeCell ref="N301:P302"/>
    <mergeCell ref="B297:P299"/>
    <mergeCell ref="B301:B302"/>
    <mergeCell ref="C301:C302"/>
    <mergeCell ref="H301:M301"/>
    <mergeCell ref="J282:P282"/>
    <mergeCell ref="J283:K286"/>
    <mergeCell ref="L283:M286"/>
    <mergeCell ref="H302:I302"/>
    <mergeCell ref="B282:I286"/>
  </mergeCells>
  <pageMargins left="0.65" right="0.4" top="0.7" bottom="0.4" header="0.45" footer="0.5"/>
  <pageSetup scale="80" firstPageNumber="20" orientation="portrait" useFirstPageNumber="1" r:id="rId1"/>
  <rowBreaks count="3" manualBreakCount="3">
    <brk id="74" max="15" man="1"/>
    <brk id="163" max="15" man="1"/>
    <brk id="207"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4"/>
  <sheetViews>
    <sheetView showGridLines="0" topLeftCell="B1" zoomScaleNormal="100" workbookViewId="0">
      <selection activeCell="B13" sqref="B13:M13"/>
    </sheetView>
  </sheetViews>
  <sheetFormatPr defaultColWidth="9.140625" defaultRowHeight="10.5"/>
  <cols>
    <col min="1" max="1" width="85.5703125" style="1190" customWidth="1"/>
    <col min="2" max="2" width="11.7109375" style="1190" bestFit="1" customWidth="1"/>
    <col min="3" max="8" width="9.140625" style="1190"/>
    <col min="9" max="9" width="13.140625" style="1190" bestFit="1" customWidth="1"/>
    <col min="10" max="10" width="14.5703125" style="1190" bestFit="1" customWidth="1"/>
    <col min="11" max="11" width="9.140625" style="1190"/>
    <col min="12" max="12" width="11.28515625" style="1190" bestFit="1" customWidth="1"/>
    <col min="13" max="13" width="15.42578125" style="1190" bestFit="1" customWidth="1"/>
    <col min="14" max="16384" width="9.140625" style="1190"/>
  </cols>
  <sheetData>
    <row r="1" spans="1:13">
      <c r="A1" s="1189" t="s">
        <v>1677</v>
      </c>
    </row>
    <row r="2" spans="1:13">
      <c r="A2" s="1189" t="s">
        <v>1378</v>
      </c>
    </row>
    <row r="3" spans="1:13">
      <c r="A3" s="1189" t="s">
        <v>1396</v>
      </c>
    </row>
    <row r="4" spans="1:13">
      <c r="A4" s="1189" t="s">
        <v>1676</v>
      </c>
    </row>
    <row r="6" spans="1:13">
      <c r="A6" s="1191" t="s">
        <v>1391</v>
      </c>
    </row>
    <row r="7" spans="1:13">
      <c r="A7" s="1192" t="s">
        <v>1397</v>
      </c>
    </row>
    <row r="8" spans="1:13">
      <c r="A8" s="1191"/>
    </row>
    <row r="10" spans="1:13" s="1191" customFormat="1">
      <c r="A10" s="1191" t="s">
        <v>1330</v>
      </c>
      <c r="B10" s="1193" t="s">
        <v>1659</v>
      </c>
      <c r="C10" s="1193" t="s">
        <v>1054</v>
      </c>
    </row>
    <row r="11" spans="1:13">
      <c r="A11" s="1194" t="s">
        <v>1331</v>
      </c>
      <c r="B11" s="1195">
        <v>920477</v>
      </c>
      <c r="C11" s="1190" t="s">
        <v>771</v>
      </c>
    </row>
    <row r="12" spans="1:13">
      <c r="A12" s="1194" t="s">
        <v>1672</v>
      </c>
      <c r="B12" s="1195">
        <v>171</v>
      </c>
      <c r="C12" s="1190" t="s">
        <v>766</v>
      </c>
    </row>
    <row r="13" spans="1:13" ht="15">
      <c r="A13" s="1194" t="s">
        <v>1671</v>
      </c>
      <c r="B13" s="1195">
        <v>13</v>
      </c>
      <c r="C13" s="1190" t="s">
        <v>767</v>
      </c>
      <c r="I13" s="1198" t="s">
        <v>1678</v>
      </c>
      <c r="J13" t="s">
        <v>1679</v>
      </c>
      <c r="K13"/>
      <c r="L13" s="1191" t="s">
        <v>1678</v>
      </c>
      <c r="M13" s="1191" t="s">
        <v>1679</v>
      </c>
    </row>
    <row r="14" spans="1:13" ht="15">
      <c r="A14" s="1194" t="s">
        <v>1673</v>
      </c>
      <c r="B14" s="1195">
        <v>8008</v>
      </c>
      <c r="C14" s="1190" t="s">
        <v>766</v>
      </c>
      <c r="I14" s="1199" t="s">
        <v>768</v>
      </c>
      <c r="J14" s="1200">
        <v>141</v>
      </c>
      <c r="K14"/>
      <c r="L14" s="1190" t="s">
        <v>771</v>
      </c>
      <c r="M14" s="1190">
        <v>952453</v>
      </c>
    </row>
    <row r="15" spans="1:13" ht="15">
      <c r="A15" s="1194" t="s">
        <v>1673</v>
      </c>
      <c r="B15" s="1195">
        <v>9296</v>
      </c>
      <c r="C15" s="1190" t="s">
        <v>766</v>
      </c>
      <c r="I15" s="1199" t="s">
        <v>770</v>
      </c>
      <c r="J15" s="1200">
        <v>49</v>
      </c>
      <c r="K15"/>
      <c r="L15" s="1190" t="s">
        <v>766</v>
      </c>
      <c r="M15" s="1190">
        <v>17488</v>
      </c>
    </row>
    <row r="16" spans="1:13" ht="15">
      <c r="A16" s="1194" t="s">
        <v>1674</v>
      </c>
      <c r="B16" s="1195">
        <v>5831</v>
      </c>
      <c r="C16" s="1190" t="s">
        <v>771</v>
      </c>
      <c r="I16" s="1199" t="s">
        <v>769</v>
      </c>
      <c r="J16" s="1200">
        <v>67</v>
      </c>
      <c r="K16"/>
      <c r="L16" s="1190" t="s">
        <v>1077</v>
      </c>
      <c r="M16" s="1190">
        <v>24</v>
      </c>
    </row>
    <row r="17" spans="1:13" ht="15">
      <c r="A17" s="1194" t="s">
        <v>1674</v>
      </c>
      <c r="B17" s="1195">
        <v>10</v>
      </c>
      <c r="C17" s="1190" t="s">
        <v>771</v>
      </c>
      <c r="I17" s="1199" t="s">
        <v>767</v>
      </c>
      <c r="J17" s="1200">
        <v>24</v>
      </c>
      <c r="K17"/>
      <c r="L17" s="1190" t="s">
        <v>767</v>
      </c>
      <c r="M17" s="1190">
        <v>24</v>
      </c>
    </row>
    <row r="18" spans="1:13" ht="15">
      <c r="A18" s="1194" t="s">
        <v>1093</v>
      </c>
      <c r="B18" s="1195">
        <v>15</v>
      </c>
      <c r="C18" s="1190" t="s">
        <v>771</v>
      </c>
      <c r="I18" s="1199" t="s">
        <v>1077</v>
      </c>
      <c r="J18" s="1200">
        <v>24</v>
      </c>
      <c r="K18"/>
      <c r="L18" s="1190" t="s">
        <v>769</v>
      </c>
      <c r="M18" s="1190">
        <v>67</v>
      </c>
    </row>
    <row r="19" spans="1:13" ht="15">
      <c r="A19" s="1194" t="s">
        <v>1674</v>
      </c>
      <c r="B19" s="1195">
        <v>23933</v>
      </c>
      <c r="C19" s="1190" t="s">
        <v>771</v>
      </c>
      <c r="I19" s="1199" t="s">
        <v>766</v>
      </c>
      <c r="J19" s="1200">
        <v>17488</v>
      </c>
      <c r="K19"/>
      <c r="L19" s="1190" t="s">
        <v>770</v>
      </c>
      <c r="M19" s="1190">
        <v>49</v>
      </c>
    </row>
    <row r="20" spans="1:13" ht="15">
      <c r="A20" s="1194" t="s">
        <v>1660</v>
      </c>
      <c r="B20" s="1195">
        <v>13</v>
      </c>
      <c r="C20" s="1190" t="s">
        <v>766</v>
      </c>
      <c r="I20" s="1199" t="s">
        <v>771</v>
      </c>
      <c r="J20" s="1200">
        <v>952453</v>
      </c>
      <c r="K20"/>
      <c r="L20" s="1190" t="s">
        <v>768</v>
      </c>
      <c r="M20" s="1190">
        <v>141</v>
      </c>
    </row>
    <row r="21" spans="1:13" ht="15">
      <c r="A21" s="1194" t="s">
        <v>1661</v>
      </c>
      <c r="B21" s="1195">
        <v>15</v>
      </c>
      <c r="C21" s="1190" t="s">
        <v>771</v>
      </c>
      <c r="I21" s="1199" t="s">
        <v>763</v>
      </c>
      <c r="J21" s="1200">
        <v>970246</v>
      </c>
      <c r="K21"/>
    </row>
    <row r="22" spans="1:13" ht="15">
      <c r="A22" s="1194" t="s">
        <v>1662</v>
      </c>
      <c r="B22" s="1195">
        <v>24</v>
      </c>
      <c r="C22" s="1190" t="s">
        <v>1077</v>
      </c>
      <c r="I22"/>
      <c r="J22"/>
      <c r="K22"/>
    </row>
    <row r="23" spans="1:13" ht="15">
      <c r="A23" s="1194" t="s">
        <v>1675</v>
      </c>
      <c r="B23" s="1195">
        <v>16</v>
      </c>
      <c r="C23" s="1190" t="s">
        <v>768</v>
      </c>
      <c r="I23"/>
      <c r="J23"/>
      <c r="K23"/>
    </row>
    <row r="24" spans="1:13" ht="15">
      <c r="A24" s="1194" t="s">
        <v>1663</v>
      </c>
      <c r="B24" s="1195">
        <v>5</v>
      </c>
      <c r="C24" s="1190" t="s">
        <v>768</v>
      </c>
      <c r="I24"/>
      <c r="J24"/>
      <c r="K24"/>
    </row>
    <row r="25" spans="1:13" ht="15">
      <c r="A25" s="1194" t="s">
        <v>1664</v>
      </c>
      <c r="B25" s="1195">
        <v>116</v>
      </c>
      <c r="C25" s="1190" t="s">
        <v>768</v>
      </c>
      <c r="I25"/>
      <c r="J25"/>
      <c r="K25"/>
    </row>
    <row r="26" spans="1:13" ht="15">
      <c r="A26" s="1194" t="s">
        <v>1665</v>
      </c>
      <c r="B26" s="1195">
        <v>8</v>
      </c>
      <c r="C26" s="1190" t="s">
        <v>769</v>
      </c>
      <c r="I26"/>
      <c r="J26"/>
      <c r="K26"/>
    </row>
    <row r="27" spans="1:13" ht="15">
      <c r="A27" s="1194" t="s">
        <v>1666</v>
      </c>
      <c r="B27" s="1195">
        <v>17</v>
      </c>
      <c r="C27" s="1190" t="s">
        <v>769</v>
      </c>
      <c r="I27"/>
      <c r="J27"/>
      <c r="K27"/>
    </row>
    <row r="28" spans="1:13" ht="15">
      <c r="A28" s="1194" t="s">
        <v>1667</v>
      </c>
      <c r="B28" s="1195">
        <v>4</v>
      </c>
      <c r="C28" s="1190" t="s">
        <v>768</v>
      </c>
      <c r="I28"/>
      <c r="J28"/>
      <c r="K28"/>
    </row>
    <row r="29" spans="1:13" ht="15">
      <c r="A29" s="1194" t="s">
        <v>1649</v>
      </c>
      <c r="B29" s="1195">
        <v>1009</v>
      </c>
      <c r="C29" s="1190" t="s">
        <v>771</v>
      </c>
      <c r="I29"/>
      <c r="J29"/>
      <c r="K29"/>
    </row>
    <row r="30" spans="1:13" ht="15">
      <c r="A30" s="1194" t="s">
        <v>1668</v>
      </c>
      <c r="B30" s="1195">
        <v>42</v>
      </c>
      <c r="C30" s="1190" t="s">
        <v>769</v>
      </c>
      <c r="I30"/>
      <c r="J30"/>
      <c r="K30"/>
    </row>
    <row r="31" spans="1:13" ht="15">
      <c r="A31" s="1194" t="s">
        <v>1669</v>
      </c>
      <c r="B31" s="1195">
        <v>1142</v>
      </c>
      <c r="C31" s="1190" t="s">
        <v>771</v>
      </c>
      <c r="I31"/>
    </row>
    <row r="32" spans="1:13" ht="15">
      <c r="A32" s="1194" t="s">
        <v>1670</v>
      </c>
      <c r="B32" s="1195">
        <v>49</v>
      </c>
      <c r="C32" s="1190" t="s">
        <v>770</v>
      </c>
      <c r="I32"/>
    </row>
    <row r="33" spans="1:9" ht="15">
      <c r="A33" s="1194" t="s">
        <v>1331</v>
      </c>
      <c r="B33" s="1195">
        <v>11</v>
      </c>
      <c r="C33" s="1190" t="s">
        <v>771</v>
      </c>
      <c r="I33"/>
    </row>
    <row r="34" spans="1:9" ht="15">
      <c r="A34" s="1190" t="s">
        <v>1671</v>
      </c>
      <c r="B34" s="1195">
        <v>11</v>
      </c>
      <c r="C34" s="1190" t="s">
        <v>767</v>
      </c>
      <c r="I34"/>
    </row>
    <row r="35" spans="1:9" ht="15">
      <c r="A35" s="1190" t="s">
        <v>1331</v>
      </c>
      <c r="B35" s="1195">
        <v>10</v>
      </c>
      <c r="C35" s="1190" t="s">
        <v>771</v>
      </c>
      <c r="I35"/>
    </row>
    <row r="38" spans="1:9" ht="11.25" thickBot="1">
      <c r="A38" s="1196"/>
      <c r="B38" s="1197">
        <f>SUM(B11:B35)</f>
        <v>970246</v>
      </c>
    </row>
    <row r="39" spans="1:9" ht="11.25" thickTop="1">
      <c r="A39" s="1196"/>
    </row>
    <row r="40" spans="1:9">
      <c r="A40" s="1196"/>
    </row>
    <row r="41" spans="1:9">
      <c r="A41" s="1196"/>
    </row>
    <row r="42" spans="1:9">
      <c r="A42" s="1196"/>
    </row>
    <row r="43" spans="1:9">
      <c r="A43" s="1196"/>
    </row>
    <row r="44" spans="1:9">
      <c r="A44" s="1196"/>
    </row>
  </sheetData>
  <autoFilter ref="L13:M20">
    <sortState ref="L14:M20">
      <sortCondition descending="1" ref="L13:L20"/>
    </sortState>
  </autoFilter>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R377"/>
  <sheetViews>
    <sheetView showGridLines="0" zoomScaleNormal="100" workbookViewId="0">
      <pane xSplit="1" ySplit="7" topLeftCell="B8" activePane="bottomRight" state="frozen"/>
      <selection activeCell="B13" sqref="B13:M13"/>
      <selection pane="topRight" activeCell="B13" sqref="B13:M13"/>
      <selection pane="bottomLeft" activeCell="B13" sqref="B13:M13"/>
      <selection pane="bottomRight" activeCell="B13" sqref="B13:M13"/>
    </sheetView>
  </sheetViews>
  <sheetFormatPr defaultColWidth="9.140625" defaultRowHeight="12.75"/>
  <cols>
    <col min="1" max="1" width="2.7109375" style="726" customWidth="1"/>
    <col min="2" max="2" width="10.140625" style="726" bestFit="1" customWidth="1"/>
    <col min="3" max="3" width="13.42578125" style="726" bestFit="1" customWidth="1"/>
    <col min="4" max="4" width="14.28515625" style="726" bestFit="1" customWidth="1"/>
    <col min="5" max="5" width="13.42578125" style="726" bestFit="1" customWidth="1"/>
    <col min="6" max="6" width="15.140625" style="726" hidden="1" customWidth="1"/>
    <col min="7" max="7" width="14.5703125" style="726" hidden="1" customWidth="1"/>
    <col min="8" max="8" width="13.140625" style="726" hidden="1" customWidth="1"/>
    <col min="9" max="9" width="0" style="726" hidden="1" customWidth="1"/>
    <col min="10" max="10" width="13.28515625" style="726" hidden="1" customWidth="1"/>
    <col min="11" max="11" width="9.140625" style="726"/>
    <col min="12" max="12" width="30.7109375" style="726" bestFit="1" customWidth="1"/>
    <col min="13" max="13" width="9.140625" style="726"/>
    <col min="14" max="14" width="13.5703125" style="726" bestFit="1" customWidth="1"/>
    <col min="15" max="15" width="9.140625" style="726"/>
    <col min="16" max="16" width="18.5703125" style="726" bestFit="1" customWidth="1"/>
    <col min="17" max="16384" width="9.140625" style="726"/>
  </cols>
  <sheetData>
    <row r="1" spans="2:18" ht="5.0999999999999996" customHeight="1"/>
    <row r="2" spans="2:18">
      <c r="B2" s="715" t="s">
        <v>1383</v>
      </c>
    </row>
    <row r="3" spans="2:18">
      <c r="B3" s="715" t="s">
        <v>1378</v>
      </c>
    </row>
    <row r="4" spans="2:18">
      <c r="B4" s="715" t="s">
        <v>1384</v>
      </c>
    </row>
    <row r="5" spans="2:18">
      <c r="B5" s="715" t="s">
        <v>1379</v>
      </c>
    </row>
    <row r="6" spans="2:18">
      <c r="B6" s="716"/>
    </row>
    <row r="7" spans="2:18">
      <c r="B7" s="717" t="s">
        <v>1371</v>
      </c>
      <c r="C7" s="717" t="s">
        <v>920</v>
      </c>
      <c r="D7" s="717" t="s">
        <v>1372</v>
      </c>
      <c r="E7" s="717" t="s">
        <v>1373</v>
      </c>
      <c r="F7" s="717" t="s">
        <v>1374</v>
      </c>
      <c r="G7" s="717" t="s">
        <v>1375</v>
      </c>
      <c r="H7" s="717" t="s">
        <v>1376</v>
      </c>
      <c r="I7" s="717" t="s">
        <v>1</v>
      </c>
    </row>
    <row r="8" spans="2:18" s="727" customFormat="1">
      <c r="B8" s="718">
        <v>43647</v>
      </c>
      <c r="C8" s="719">
        <v>1416353479</v>
      </c>
      <c r="D8" s="719">
        <v>33919834</v>
      </c>
      <c r="E8" s="719">
        <f t="shared" ref="E8:E71" si="0">C8-D8</f>
        <v>1382433645</v>
      </c>
      <c r="F8" s="720">
        <v>26964052.243900001</v>
      </c>
      <c r="G8" s="721">
        <v>53.778599999999997</v>
      </c>
      <c r="H8" s="722">
        <f>ROUND(E8/F8,4)</f>
        <v>51.269500000000001</v>
      </c>
      <c r="I8" s="723">
        <f t="shared" ref="I8:I71" si="1">ROUND(G8-H8,2)</f>
        <v>2.5099999999999998</v>
      </c>
      <c r="J8" s="727" t="s">
        <v>1377</v>
      </c>
      <c r="R8" s="740" t="s">
        <v>1398</v>
      </c>
    </row>
    <row r="9" spans="2:18" s="727" customFormat="1">
      <c r="B9" s="718">
        <v>43648</v>
      </c>
      <c r="C9" s="719">
        <v>1416821616</v>
      </c>
      <c r="D9" s="719">
        <v>33995685</v>
      </c>
      <c r="E9" s="719">
        <f t="shared" si="0"/>
        <v>1382825931</v>
      </c>
      <c r="F9" s="720">
        <v>26964052.243900001</v>
      </c>
      <c r="G9" s="721">
        <v>53.790999999999997</v>
      </c>
      <c r="H9" s="722">
        <f t="shared" ref="H9:H72" si="2">ROUND(E9/F9,4)</f>
        <v>51.284100000000002</v>
      </c>
      <c r="I9" s="723">
        <f t="shared" si="1"/>
        <v>2.5099999999999998</v>
      </c>
      <c r="L9" s="726"/>
      <c r="M9" s="726"/>
      <c r="N9" s="726"/>
      <c r="O9" s="726"/>
      <c r="P9" s="726"/>
    </row>
    <row r="10" spans="2:18" s="727" customFormat="1">
      <c r="B10" s="718">
        <v>43649</v>
      </c>
      <c r="C10" s="719">
        <v>1412237604</v>
      </c>
      <c r="D10" s="719">
        <v>34071647</v>
      </c>
      <c r="E10" s="719">
        <f t="shared" si="0"/>
        <v>1378165957</v>
      </c>
      <c r="F10" s="720">
        <v>26964052.243900001</v>
      </c>
      <c r="G10" s="721">
        <v>53.800800000000002</v>
      </c>
      <c r="H10" s="722">
        <f t="shared" si="2"/>
        <v>51.111199999999997</v>
      </c>
      <c r="I10" s="723">
        <f t="shared" si="1"/>
        <v>2.69</v>
      </c>
      <c r="L10" s="738" t="s">
        <v>1389</v>
      </c>
      <c r="M10" s="726"/>
      <c r="N10" s="726"/>
      <c r="O10" s="726"/>
      <c r="P10" s="726"/>
    </row>
    <row r="11" spans="2:18" s="727" customFormat="1">
      <c r="B11" s="718">
        <v>43650</v>
      </c>
      <c r="C11" s="719">
        <v>1407288565</v>
      </c>
      <c r="D11" s="719">
        <v>34147325</v>
      </c>
      <c r="E11" s="719">
        <f t="shared" si="0"/>
        <v>1373141240</v>
      </c>
      <c r="F11" s="720">
        <v>27431558.255899999</v>
      </c>
      <c r="G11" s="721">
        <v>53.809899999999999</v>
      </c>
      <c r="H11" s="722">
        <f t="shared" si="2"/>
        <v>50.057000000000002</v>
      </c>
      <c r="I11" s="723">
        <f t="shared" si="1"/>
        <v>3.75</v>
      </c>
      <c r="L11" s="726"/>
      <c r="M11" s="726"/>
      <c r="N11" s="728" t="s">
        <v>1386</v>
      </c>
      <c r="O11" s="726"/>
      <c r="P11" s="728" t="s">
        <v>1387</v>
      </c>
    </row>
    <row r="12" spans="2:18" s="727" customFormat="1">
      <c r="B12" s="718">
        <v>43651</v>
      </c>
      <c r="C12" s="719">
        <v>1410359520</v>
      </c>
      <c r="D12" s="719">
        <v>33117155</v>
      </c>
      <c r="E12" s="719">
        <f t="shared" si="0"/>
        <v>1377242365</v>
      </c>
      <c r="F12" s="720">
        <v>28908679.473999999</v>
      </c>
      <c r="G12" s="721">
        <v>53.825499999999998</v>
      </c>
      <c r="H12" s="722">
        <f t="shared" si="2"/>
        <v>47.641100000000002</v>
      </c>
      <c r="I12" s="723">
        <f t="shared" si="1"/>
        <v>6.18</v>
      </c>
      <c r="L12" s="724" t="s">
        <v>1380</v>
      </c>
      <c r="M12" s="428"/>
      <c r="N12" s="725">
        <f>IS!F37</f>
        <v>55379.153699999995</v>
      </c>
      <c r="O12" s="726"/>
      <c r="P12" s="737">
        <f>N12/$N$16</f>
        <v>3.4012083334043847E-2</v>
      </c>
    </row>
    <row r="13" spans="2:18" s="727" customFormat="1">
      <c r="B13" s="718">
        <v>43652</v>
      </c>
      <c r="C13" s="719">
        <v>1410825131</v>
      </c>
      <c r="D13" s="719">
        <v>33192629</v>
      </c>
      <c r="E13" s="719">
        <f t="shared" si="0"/>
        <v>1377632502</v>
      </c>
      <c r="F13" s="720">
        <v>29930853.427999999</v>
      </c>
      <c r="G13" s="721">
        <v>53.834000000000003</v>
      </c>
      <c r="H13" s="722">
        <f t="shared" si="2"/>
        <v>46.027200000000001</v>
      </c>
      <c r="I13" s="723">
        <f t="shared" si="1"/>
        <v>7.81</v>
      </c>
      <c r="L13" s="724" t="s">
        <v>1381</v>
      </c>
      <c r="M13" s="428"/>
      <c r="N13" s="725">
        <f>IS!$K$33</f>
        <v>51111.065710000003</v>
      </c>
      <c r="O13" s="726"/>
      <c r="P13" s="729">
        <f>ROUNDUP(N13/$N$16,3)</f>
        <v>3.2000000000000001E-2</v>
      </c>
    </row>
    <row r="14" spans="2:18" s="727" customFormat="1">
      <c r="B14" s="718">
        <v>43653</v>
      </c>
      <c r="C14" s="719">
        <v>1411290741</v>
      </c>
      <c r="D14" s="719">
        <v>33268106</v>
      </c>
      <c r="E14" s="719">
        <f t="shared" si="0"/>
        <v>1378022635</v>
      </c>
      <c r="F14" s="720">
        <v>29930853.427999999</v>
      </c>
      <c r="G14" s="721">
        <v>53.843499999999999</v>
      </c>
      <c r="H14" s="722">
        <f t="shared" si="2"/>
        <v>46.040199999999999</v>
      </c>
      <c r="I14" s="723">
        <f t="shared" si="1"/>
        <v>7.8</v>
      </c>
      <c r="L14" s="728" t="s">
        <v>1388</v>
      </c>
      <c r="M14" s="726"/>
      <c r="N14" s="726"/>
      <c r="O14" s="726"/>
      <c r="P14" s="730">
        <f>P12-P13</f>
        <v>2.012083334043846E-3</v>
      </c>
    </row>
    <row r="15" spans="2:18" s="727" customFormat="1">
      <c r="B15" s="718">
        <v>43654</v>
      </c>
      <c r="C15" s="719">
        <v>1414799946</v>
      </c>
      <c r="D15" s="719">
        <v>33347574</v>
      </c>
      <c r="E15" s="719">
        <f t="shared" si="0"/>
        <v>1381452372</v>
      </c>
      <c r="F15" s="720">
        <v>29930853.427999999</v>
      </c>
      <c r="G15" s="721">
        <v>53.853099999999998</v>
      </c>
      <c r="H15" s="722">
        <f t="shared" si="2"/>
        <v>46.154800000000002</v>
      </c>
      <c r="I15" s="723">
        <f t="shared" si="1"/>
        <v>7.7</v>
      </c>
      <c r="L15" s="728"/>
      <c r="M15" s="726"/>
      <c r="N15" s="726"/>
      <c r="O15" s="726"/>
      <c r="P15" s="730"/>
    </row>
    <row r="16" spans="2:18" s="727" customFormat="1">
      <c r="B16" s="718">
        <v>43655</v>
      </c>
      <c r="C16" s="719">
        <v>1416907146</v>
      </c>
      <c r="D16" s="719">
        <v>33427035</v>
      </c>
      <c r="E16" s="719">
        <f t="shared" si="0"/>
        <v>1383480111</v>
      </c>
      <c r="F16" s="720">
        <v>31168218.165199999</v>
      </c>
      <c r="G16" s="721">
        <v>53.861499999999999</v>
      </c>
      <c r="H16" s="722">
        <f t="shared" si="2"/>
        <v>44.387500000000003</v>
      </c>
      <c r="I16" s="723">
        <f t="shared" si="1"/>
        <v>9.4700000000000006</v>
      </c>
      <c r="L16" s="724" t="s">
        <v>1385</v>
      </c>
      <c r="M16" s="428"/>
      <c r="N16" s="725">
        <f>E375/1000</f>
        <v>1628219.9815901639</v>
      </c>
      <c r="O16" s="726"/>
      <c r="P16" s="732"/>
    </row>
    <row r="17" spans="2:18" s="727" customFormat="1">
      <c r="B17" s="718">
        <v>43656</v>
      </c>
      <c r="C17" s="719">
        <v>1394021060</v>
      </c>
      <c r="D17" s="719">
        <v>19287637</v>
      </c>
      <c r="E17" s="719">
        <f t="shared" si="0"/>
        <v>1374733423</v>
      </c>
      <c r="F17" s="720">
        <v>31125486.757100001</v>
      </c>
      <c r="G17" s="721">
        <v>53.870199999999997</v>
      </c>
      <c r="H17" s="722">
        <f t="shared" si="2"/>
        <v>44.167499999999997</v>
      </c>
      <c r="I17" s="723">
        <f t="shared" si="1"/>
        <v>9.6999999999999993</v>
      </c>
      <c r="L17" s="724"/>
      <c r="M17" s="428"/>
      <c r="N17" s="725"/>
      <c r="O17" s="726"/>
      <c r="P17" s="732"/>
    </row>
    <row r="18" spans="2:18" s="727" customFormat="1">
      <c r="B18" s="718">
        <v>43657</v>
      </c>
      <c r="C18" s="719">
        <v>1395270248</v>
      </c>
      <c r="D18" s="719">
        <v>19295309</v>
      </c>
      <c r="E18" s="719">
        <f t="shared" si="0"/>
        <v>1375974939</v>
      </c>
      <c r="F18" s="720">
        <v>29579497.033399999</v>
      </c>
      <c r="G18" s="721">
        <v>53.879600000000003</v>
      </c>
      <c r="H18" s="722">
        <f t="shared" si="2"/>
        <v>46.517899999999997</v>
      </c>
      <c r="I18" s="723">
        <f t="shared" si="1"/>
        <v>7.36</v>
      </c>
      <c r="L18" s="724"/>
      <c r="M18" s="428"/>
      <c r="N18" s="725"/>
      <c r="O18" s="726"/>
      <c r="P18" s="732"/>
    </row>
    <row r="19" spans="2:18" s="727" customFormat="1">
      <c r="B19" s="718">
        <v>43658</v>
      </c>
      <c r="C19" s="719">
        <v>1398457178</v>
      </c>
      <c r="D19" s="719">
        <v>19371696</v>
      </c>
      <c r="E19" s="719">
        <f t="shared" si="0"/>
        <v>1379085482</v>
      </c>
      <c r="F19" s="720">
        <v>29600546.3389</v>
      </c>
      <c r="G19" s="721">
        <v>53.8889</v>
      </c>
      <c r="H19" s="722">
        <f t="shared" si="2"/>
        <v>46.5899</v>
      </c>
      <c r="I19" s="723">
        <f t="shared" si="1"/>
        <v>7.3</v>
      </c>
      <c r="L19" s="741"/>
      <c r="M19" s="741"/>
      <c r="N19" s="731"/>
      <c r="O19" s="732"/>
      <c r="P19" s="726"/>
    </row>
    <row r="20" spans="2:18" s="727" customFormat="1">
      <c r="B20" s="718">
        <v>43659</v>
      </c>
      <c r="C20" s="719">
        <v>1398922429</v>
      </c>
      <c r="D20" s="719">
        <v>19447141</v>
      </c>
      <c r="E20" s="719">
        <f t="shared" si="0"/>
        <v>1379475288</v>
      </c>
      <c r="F20" s="720">
        <v>29603925.4782</v>
      </c>
      <c r="G20" s="721">
        <v>53.897399999999998</v>
      </c>
      <c r="H20" s="722">
        <f t="shared" si="2"/>
        <v>46.597700000000003</v>
      </c>
      <c r="I20" s="723">
        <f t="shared" si="1"/>
        <v>7.3</v>
      </c>
      <c r="L20" s="741"/>
      <c r="M20" s="741"/>
      <c r="N20" s="733"/>
      <c r="P20" s="734"/>
    </row>
    <row r="21" spans="2:18" s="727" customFormat="1">
      <c r="B21" s="718">
        <v>43660</v>
      </c>
      <c r="C21" s="719">
        <v>1399387680</v>
      </c>
      <c r="D21" s="719">
        <v>19522588</v>
      </c>
      <c r="E21" s="719">
        <f t="shared" si="0"/>
        <v>1379865092</v>
      </c>
      <c r="F21" s="720">
        <v>29603925.4782</v>
      </c>
      <c r="G21" s="721">
        <v>53.905799999999999</v>
      </c>
      <c r="H21" s="722">
        <f t="shared" si="2"/>
        <v>46.610900000000001</v>
      </c>
      <c r="I21" s="723">
        <f t="shared" si="1"/>
        <v>7.29</v>
      </c>
      <c r="L21" s="726" t="s">
        <v>1382</v>
      </c>
      <c r="M21" s="726"/>
      <c r="N21" s="731"/>
      <c r="O21" s="726"/>
      <c r="P21" s="732">
        <v>2.5000000000000001E-2</v>
      </c>
    </row>
    <row r="22" spans="2:18" s="727" customFormat="1">
      <c r="B22" s="718">
        <v>43661</v>
      </c>
      <c r="C22" s="719">
        <v>1399883619</v>
      </c>
      <c r="D22" s="719">
        <v>19569364</v>
      </c>
      <c r="E22" s="719">
        <f t="shared" si="0"/>
        <v>1380314255</v>
      </c>
      <c r="F22" s="720">
        <v>29603925.4782</v>
      </c>
      <c r="G22" s="721">
        <v>53.915199999999999</v>
      </c>
      <c r="H22" s="722">
        <f t="shared" si="2"/>
        <v>46.626100000000001</v>
      </c>
      <c r="I22" s="723">
        <f t="shared" si="1"/>
        <v>7.29</v>
      </c>
      <c r="L22" s="726"/>
      <c r="M22" s="726"/>
      <c r="N22" s="726"/>
      <c r="O22" s="726"/>
      <c r="P22" s="726"/>
    </row>
    <row r="23" spans="2:18" s="727" customFormat="1">
      <c r="B23" s="718">
        <v>43662</v>
      </c>
      <c r="C23" s="719">
        <v>1398515071</v>
      </c>
      <c r="D23" s="719">
        <v>19659441</v>
      </c>
      <c r="E23" s="719">
        <f t="shared" si="0"/>
        <v>1378855630</v>
      </c>
      <c r="F23" s="720">
        <v>29730585.830200002</v>
      </c>
      <c r="G23" s="721">
        <v>53.921599999999998</v>
      </c>
      <c r="H23" s="722">
        <f t="shared" si="2"/>
        <v>46.378399999999999</v>
      </c>
      <c r="I23" s="723">
        <f t="shared" si="1"/>
        <v>7.54</v>
      </c>
      <c r="L23" s="728" t="s">
        <v>1400</v>
      </c>
      <c r="M23" s="726"/>
      <c r="N23" s="733"/>
      <c r="P23" s="739" t="str">
        <f>IF(P21&gt;P13,"YES","NO")</f>
        <v>NO</v>
      </c>
    </row>
    <row r="24" spans="2:18" s="727" customFormat="1">
      <c r="B24" s="718">
        <v>43663</v>
      </c>
      <c r="C24" s="719">
        <v>1394698034</v>
      </c>
      <c r="D24" s="719">
        <v>19756790</v>
      </c>
      <c r="E24" s="719">
        <f t="shared" si="0"/>
        <v>1374941244</v>
      </c>
      <c r="F24" s="720">
        <v>29726069.549699999</v>
      </c>
      <c r="G24" s="721">
        <v>53.928699999999999</v>
      </c>
      <c r="H24" s="722">
        <f t="shared" si="2"/>
        <v>46.253700000000002</v>
      </c>
      <c r="I24" s="723">
        <f t="shared" si="1"/>
        <v>7.68</v>
      </c>
      <c r="L24" s="726"/>
      <c r="M24" s="726"/>
      <c r="N24" s="726"/>
      <c r="O24" s="726"/>
      <c r="P24" s="726"/>
    </row>
    <row r="25" spans="2:18" s="727" customFormat="1">
      <c r="B25" s="718">
        <v>43664</v>
      </c>
      <c r="C25" s="719">
        <v>2144725566</v>
      </c>
      <c r="D25" s="719">
        <v>769992550</v>
      </c>
      <c r="E25" s="719">
        <f t="shared" si="0"/>
        <v>1374733016</v>
      </c>
      <c r="F25" s="720">
        <v>29627514.535999998</v>
      </c>
      <c r="G25" s="721">
        <v>53.937899999999999</v>
      </c>
      <c r="H25" s="722">
        <f t="shared" si="2"/>
        <v>46.400599999999997</v>
      </c>
      <c r="I25" s="723">
        <f t="shared" si="1"/>
        <v>7.54</v>
      </c>
      <c r="L25" s="726"/>
      <c r="M25" s="726"/>
      <c r="N25" s="726"/>
      <c r="O25" s="726"/>
      <c r="P25" s="726"/>
    </row>
    <row r="26" spans="2:18" s="727" customFormat="1">
      <c r="B26" s="718">
        <v>43665</v>
      </c>
      <c r="C26" s="719">
        <v>2138900975</v>
      </c>
      <c r="D26" s="719">
        <v>770123825</v>
      </c>
      <c r="E26" s="719">
        <f t="shared" si="0"/>
        <v>1368777150</v>
      </c>
      <c r="F26" s="720">
        <v>30570246.464200001</v>
      </c>
      <c r="G26" s="721">
        <v>53.946399999999997</v>
      </c>
      <c r="H26" s="722">
        <f t="shared" si="2"/>
        <v>44.774799999999999</v>
      </c>
      <c r="I26" s="723">
        <f t="shared" si="1"/>
        <v>9.17</v>
      </c>
    </row>
    <row r="27" spans="2:18" s="727" customFormat="1">
      <c r="B27" s="718">
        <v>43666</v>
      </c>
      <c r="C27" s="719">
        <v>2139397804</v>
      </c>
      <c r="D27" s="719">
        <v>770203305</v>
      </c>
      <c r="E27" s="719">
        <f t="shared" si="0"/>
        <v>1369194499</v>
      </c>
      <c r="F27" s="720">
        <v>30711257.850099999</v>
      </c>
      <c r="G27" s="721">
        <v>53.955100000000002</v>
      </c>
      <c r="H27" s="722">
        <f t="shared" si="2"/>
        <v>44.582799999999999</v>
      </c>
      <c r="I27" s="723">
        <f t="shared" si="1"/>
        <v>9.3699999999999992</v>
      </c>
    </row>
    <row r="28" spans="2:18" s="727" customFormat="1">
      <c r="B28" s="718">
        <v>43667</v>
      </c>
      <c r="C28" s="719">
        <v>2139894634</v>
      </c>
      <c r="D28" s="719">
        <v>770282788</v>
      </c>
      <c r="E28" s="719">
        <f t="shared" si="0"/>
        <v>1369611846</v>
      </c>
      <c r="F28" s="720">
        <v>30711257.850099999</v>
      </c>
      <c r="G28" s="721">
        <v>53.964399999999998</v>
      </c>
      <c r="H28" s="722">
        <f t="shared" si="2"/>
        <v>44.596400000000003</v>
      </c>
      <c r="I28" s="723">
        <f t="shared" si="1"/>
        <v>9.3699999999999992</v>
      </c>
    </row>
    <row r="29" spans="2:18" s="727" customFormat="1">
      <c r="B29" s="718">
        <v>43668</v>
      </c>
      <c r="C29" s="719">
        <v>2172299861</v>
      </c>
      <c r="D29" s="719">
        <v>770366664</v>
      </c>
      <c r="E29" s="719">
        <f t="shared" si="0"/>
        <v>1401933197</v>
      </c>
      <c r="F29" s="720">
        <v>30711257.850099999</v>
      </c>
      <c r="G29" s="721">
        <v>53.973700000000001</v>
      </c>
      <c r="H29" s="722">
        <f t="shared" si="2"/>
        <v>45.648800000000001</v>
      </c>
      <c r="I29" s="723">
        <f t="shared" si="1"/>
        <v>8.32</v>
      </c>
    </row>
    <row r="30" spans="2:18" s="727" customFormat="1">
      <c r="B30" s="718">
        <v>43669</v>
      </c>
      <c r="C30" s="719">
        <v>1713497925</v>
      </c>
      <c r="D30" s="719">
        <v>312259282</v>
      </c>
      <c r="E30" s="719">
        <f t="shared" si="0"/>
        <v>1401238643</v>
      </c>
      <c r="F30" s="720">
        <v>30874039.756099999</v>
      </c>
      <c r="G30" s="721">
        <v>53.985100000000003</v>
      </c>
      <c r="H30" s="722">
        <f t="shared" si="2"/>
        <v>45.3857</v>
      </c>
      <c r="I30" s="723">
        <f t="shared" si="1"/>
        <v>8.6</v>
      </c>
      <c r="R30" s="740" t="s">
        <v>1395</v>
      </c>
    </row>
    <row r="31" spans="2:18" s="727" customFormat="1">
      <c r="B31" s="718">
        <v>43670</v>
      </c>
      <c r="C31" s="719">
        <v>1692557472</v>
      </c>
      <c r="D31" s="719">
        <v>312396615</v>
      </c>
      <c r="E31" s="719">
        <f t="shared" si="0"/>
        <v>1380160857</v>
      </c>
      <c r="F31" s="720">
        <v>30862063.485199999</v>
      </c>
      <c r="G31" s="721">
        <v>53.994900000000001</v>
      </c>
      <c r="H31" s="722">
        <f t="shared" si="2"/>
        <v>44.720300000000002</v>
      </c>
      <c r="I31" s="723">
        <f t="shared" si="1"/>
        <v>9.27</v>
      </c>
      <c r="L31" s="738" t="s">
        <v>1390</v>
      </c>
    </row>
    <row r="32" spans="2:18" s="727" customFormat="1">
      <c r="B32" s="718">
        <v>43671</v>
      </c>
      <c r="C32" s="719">
        <v>1692755378</v>
      </c>
      <c r="D32" s="719">
        <v>312489582</v>
      </c>
      <c r="E32" s="719">
        <f t="shared" si="0"/>
        <v>1380265796</v>
      </c>
      <c r="F32" s="720">
        <v>30862063.485199999</v>
      </c>
      <c r="G32" s="721">
        <v>54.004600000000003</v>
      </c>
      <c r="H32" s="722">
        <f t="shared" si="2"/>
        <v>44.723700000000001</v>
      </c>
      <c r="I32" s="723">
        <f t="shared" si="1"/>
        <v>9.2799999999999994</v>
      </c>
      <c r="L32" s="724" t="s">
        <v>1380</v>
      </c>
      <c r="P32" s="743">
        <v>1.7500000000000002E-2</v>
      </c>
    </row>
    <row r="33" spans="2:17" s="727" customFormat="1">
      <c r="B33" s="718">
        <v>43672</v>
      </c>
      <c r="C33" s="719">
        <v>1692937358</v>
      </c>
      <c r="D33" s="719">
        <v>312525052</v>
      </c>
      <c r="E33" s="719">
        <f t="shared" si="0"/>
        <v>1380412306</v>
      </c>
      <c r="F33" s="720">
        <v>30683418.226100001</v>
      </c>
      <c r="G33" s="721">
        <v>54.014200000000002</v>
      </c>
      <c r="H33" s="722">
        <f t="shared" si="2"/>
        <v>44.988900000000001</v>
      </c>
      <c r="I33" s="723">
        <f t="shared" si="1"/>
        <v>9.0299999999999994</v>
      </c>
      <c r="L33" s="724" t="s">
        <v>1381</v>
      </c>
      <c r="P33" s="744">
        <v>1.4E-2</v>
      </c>
    </row>
    <row r="34" spans="2:17" s="727" customFormat="1">
      <c r="B34" s="718">
        <v>43673</v>
      </c>
      <c r="C34" s="719">
        <v>1693432625</v>
      </c>
      <c r="D34" s="719">
        <v>312604433</v>
      </c>
      <c r="E34" s="719">
        <f t="shared" si="0"/>
        <v>1380828192</v>
      </c>
      <c r="F34" s="720">
        <v>30252903.234099999</v>
      </c>
      <c r="G34" s="721">
        <v>54.023899999999998</v>
      </c>
      <c r="H34" s="722">
        <f t="shared" si="2"/>
        <v>45.642800000000001</v>
      </c>
      <c r="I34" s="723">
        <f t="shared" si="1"/>
        <v>8.3800000000000008</v>
      </c>
      <c r="L34" s="728" t="s">
        <v>1388</v>
      </c>
      <c r="P34" s="745">
        <f>P32-P33</f>
        <v>3.5000000000000014E-3</v>
      </c>
    </row>
    <row r="35" spans="2:17" s="727" customFormat="1">
      <c r="B35" s="718">
        <v>43674</v>
      </c>
      <c r="C35" s="719">
        <v>1693927668</v>
      </c>
      <c r="D35" s="719">
        <v>312683788</v>
      </c>
      <c r="E35" s="719">
        <f t="shared" si="0"/>
        <v>1381243880</v>
      </c>
      <c r="F35" s="720">
        <v>30252903.234099999</v>
      </c>
      <c r="G35" s="721">
        <v>54.033900000000003</v>
      </c>
      <c r="H35" s="722">
        <f t="shared" si="2"/>
        <v>45.656599999999997</v>
      </c>
      <c r="I35" s="723">
        <f t="shared" si="1"/>
        <v>8.3800000000000008</v>
      </c>
    </row>
    <row r="36" spans="2:17" s="727" customFormat="1">
      <c r="B36" s="718">
        <v>43675</v>
      </c>
      <c r="C36" s="719">
        <v>1406328047</v>
      </c>
      <c r="D36" s="719">
        <v>20814910</v>
      </c>
      <c r="E36" s="719">
        <f t="shared" si="0"/>
        <v>1385513137</v>
      </c>
      <c r="F36" s="720">
        <v>30252903.234099999</v>
      </c>
      <c r="G36" s="721">
        <v>54.043900000000001</v>
      </c>
      <c r="H36" s="722">
        <f t="shared" si="2"/>
        <v>45.797699999999999</v>
      </c>
      <c r="I36" s="723">
        <f t="shared" si="1"/>
        <v>8.25</v>
      </c>
    </row>
    <row r="37" spans="2:17" s="727" customFormat="1">
      <c r="B37" s="718">
        <v>43676</v>
      </c>
      <c r="C37" s="719">
        <v>1434165901</v>
      </c>
      <c r="D37" s="719">
        <v>20911379</v>
      </c>
      <c r="E37" s="719">
        <f t="shared" si="0"/>
        <v>1413254522</v>
      </c>
      <c r="F37" s="720">
        <v>30157568.586800002</v>
      </c>
      <c r="G37" s="721">
        <v>54.052199999999999</v>
      </c>
      <c r="H37" s="722">
        <f t="shared" si="2"/>
        <v>46.862299999999998</v>
      </c>
      <c r="I37" s="723">
        <f t="shared" si="1"/>
        <v>7.19</v>
      </c>
      <c r="L37" s="740"/>
    </row>
    <row r="38" spans="2:17" s="727" customFormat="1">
      <c r="B38" s="718">
        <v>43677</v>
      </c>
      <c r="C38" s="719">
        <v>1463978983</v>
      </c>
      <c r="D38" s="719">
        <v>47979083</v>
      </c>
      <c r="E38" s="719">
        <f t="shared" si="0"/>
        <v>1415999900</v>
      </c>
      <c r="F38" s="720">
        <v>31989814.440099999</v>
      </c>
      <c r="G38" s="721">
        <v>54.0625</v>
      </c>
      <c r="H38" s="722">
        <f t="shared" si="2"/>
        <v>44.264099999999999</v>
      </c>
      <c r="I38" s="723">
        <f t="shared" si="1"/>
        <v>9.8000000000000007</v>
      </c>
      <c r="L38" s="726" t="s">
        <v>1382</v>
      </c>
      <c r="M38" s="726"/>
      <c r="N38" s="731"/>
      <c r="O38" s="726"/>
      <c r="P38" s="732">
        <v>0.02</v>
      </c>
    </row>
    <row r="39" spans="2:17" s="727" customFormat="1">
      <c r="B39" s="718">
        <v>43678</v>
      </c>
      <c r="C39" s="719">
        <v>1468076294</v>
      </c>
      <c r="D39" s="719">
        <v>47931263</v>
      </c>
      <c r="E39" s="719">
        <f t="shared" si="0"/>
        <v>1420145031</v>
      </c>
      <c r="F39" s="720">
        <v>31517565.289999999</v>
      </c>
      <c r="G39" s="721">
        <v>54.072200000000002</v>
      </c>
      <c r="H39" s="722">
        <f t="shared" si="2"/>
        <v>45.058799999999998</v>
      </c>
      <c r="I39" s="723">
        <f t="shared" si="1"/>
        <v>9.01</v>
      </c>
      <c r="L39" s="726"/>
      <c r="M39" s="726"/>
      <c r="N39" s="726"/>
      <c r="O39" s="726"/>
      <c r="P39" s="726"/>
    </row>
    <row r="40" spans="2:17" s="727" customFormat="1">
      <c r="B40" s="718">
        <v>43679</v>
      </c>
      <c r="C40" s="719">
        <v>1440134078</v>
      </c>
      <c r="D40" s="719">
        <v>21110387</v>
      </c>
      <c r="E40" s="719">
        <f t="shared" si="0"/>
        <v>1419023691</v>
      </c>
      <c r="F40" s="720">
        <v>31397351.1994</v>
      </c>
      <c r="G40" s="721">
        <v>54.081600000000002</v>
      </c>
      <c r="H40" s="722">
        <f t="shared" si="2"/>
        <v>45.195599999999999</v>
      </c>
      <c r="I40" s="723">
        <f t="shared" si="1"/>
        <v>8.89</v>
      </c>
      <c r="L40" s="728" t="s">
        <v>1399</v>
      </c>
      <c r="M40" s="726"/>
      <c r="N40" s="733"/>
      <c r="P40" s="739" t="str">
        <f>IF(P38&gt;P32,"YES","NO")</f>
        <v>YES</v>
      </c>
    </row>
    <row r="41" spans="2:17" s="727" customFormat="1">
      <c r="B41" s="718">
        <v>43680</v>
      </c>
      <c r="C41" s="719">
        <v>1440630972</v>
      </c>
      <c r="D41" s="719">
        <v>21190326</v>
      </c>
      <c r="E41" s="719">
        <f t="shared" si="0"/>
        <v>1419440646</v>
      </c>
      <c r="F41" s="720">
        <v>31410532.5865</v>
      </c>
      <c r="G41" s="721">
        <v>54.091099999999997</v>
      </c>
      <c r="H41" s="722">
        <f t="shared" si="2"/>
        <v>45.19</v>
      </c>
      <c r="I41" s="723">
        <f t="shared" si="1"/>
        <v>8.9</v>
      </c>
    </row>
    <row r="42" spans="2:17" s="727" customFormat="1">
      <c r="B42" s="718">
        <v>43681</v>
      </c>
      <c r="C42" s="719">
        <v>1441127798</v>
      </c>
      <c r="D42" s="719">
        <v>21270260</v>
      </c>
      <c r="E42" s="719">
        <f t="shared" si="0"/>
        <v>1419857538</v>
      </c>
      <c r="F42" s="720">
        <v>31410532.5865</v>
      </c>
      <c r="G42" s="721">
        <v>54.100900000000003</v>
      </c>
      <c r="H42" s="722">
        <f t="shared" si="2"/>
        <v>45.203200000000002</v>
      </c>
      <c r="I42" s="723">
        <f t="shared" si="1"/>
        <v>8.9</v>
      </c>
    </row>
    <row r="43" spans="2:17" s="727" customFormat="1">
      <c r="B43" s="718">
        <v>43682</v>
      </c>
      <c r="C43" s="719">
        <v>1438310162</v>
      </c>
      <c r="D43" s="719">
        <v>21382573</v>
      </c>
      <c r="E43" s="719">
        <f t="shared" si="0"/>
        <v>1416927589</v>
      </c>
      <c r="F43" s="720">
        <v>31410532.5865</v>
      </c>
      <c r="G43" s="721">
        <v>54.110799999999998</v>
      </c>
      <c r="H43" s="722">
        <f t="shared" si="2"/>
        <v>45.11</v>
      </c>
      <c r="I43" s="723">
        <f t="shared" si="1"/>
        <v>9</v>
      </c>
    </row>
    <row r="44" spans="2:17" s="727" customFormat="1">
      <c r="B44" s="718">
        <v>43683</v>
      </c>
      <c r="C44" s="719">
        <v>1438114815</v>
      </c>
      <c r="D44" s="719">
        <v>19719439</v>
      </c>
      <c r="E44" s="719">
        <f t="shared" si="0"/>
        <v>1418395376</v>
      </c>
      <c r="F44" s="720">
        <v>31409800.688999999</v>
      </c>
      <c r="G44" s="721">
        <v>54.120600000000003</v>
      </c>
      <c r="H44" s="722">
        <f t="shared" si="2"/>
        <v>45.157699999999998</v>
      </c>
      <c r="I44" s="723">
        <f t="shared" si="1"/>
        <v>8.9600000000000009</v>
      </c>
      <c r="L44" s="746" t="s">
        <v>1391</v>
      </c>
    </row>
    <row r="45" spans="2:17" s="727" customFormat="1">
      <c r="B45" s="718">
        <v>43684</v>
      </c>
      <c r="C45" s="719">
        <v>1470120791</v>
      </c>
      <c r="D45" s="719">
        <v>20499450</v>
      </c>
      <c r="E45" s="719">
        <f t="shared" si="0"/>
        <v>1449621341</v>
      </c>
      <c r="F45" s="720">
        <v>31437453.732999999</v>
      </c>
      <c r="G45" s="721">
        <v>54.128700000000002</v>
      </c>
      <c r="H45" s="722">
        <f t="shared" si="2"/>
        <v>46.1113</v>
      </c>
      <c r="I45" s="723">
        <f t="shared" si="1"/>
        <v>8.02</v>
      </c>
      <c r="L45" s="2231" t="s">
        <v>1392</v>
      </c>
      <c r="M45" s="2232"/>
      <c r="N45" s="2232"/>
      <c r="O45" s="2232"/>
      <c r="P45" s="2232"/>
      <c r="Q45" s="2232"/>
    </row>
    <row r="46" spans="2:17" s="727" customFormat="1">
      <c r="B46" s="718">
        <v>43685</v>
      </c>
      <c r="C46" s="719">
        <v>1497831035</v>
      </c>
      <c r="D46" s="719">
        <v>20980080</v>
      </c>
      <c r="E46" s="719">
        <f t="shared" si="0"/>
        <v>1476850955</v>
      </c>
      <c r="F46" s="720">
        <v>31431402.539999999</v>
      </c>
      <c r="G46" s="721">
        <v>54.138399999999997</v>
      </c>
      <c r="H46" s="722">
        <f t="shared" si="2"/>
        <v>46.986499999999999</v>
      </c>
      <c r="I46" s="723">
        <f t="shared" si="1"/>
        <v>7.15</v>
      </c>
      <c r="L46" s="2232"/>
      <c r="M46" s="2232"/>
      <c r="N46" s="2232"/>
      <c r="O46" s="2232"/>
      <c r="P46" s="2232"/>
      <c r="Q46" s="2232"/>
    </row>
    <row r="47" spans="2:17" s="727" customFormat="1">
      <c r="B47" s="718">
        <v>43686</v>
      </c>
      <c r="C47" s="719">
        <v>1495981537</v>
      </c>
      <c r="D47" s="719">
        <v>20792271</v>
      </c>
      <c r="E47" s="719">
        <f t="shared" si="0"/>
        <v>1475189266</v>
      </c>
      <c r="F47" s="720">
        <v>31307791.247000001</v>
      </c>
      <c r="G47" s="721">
        <v>54.155900000000003</v>
      </c>
      <c r="H47" s="722">
        <f t="shared" si="2"/>
        <v>47.118899999999996</v>
      </c>
      <c r="I47" s="723">
        <f t="shared" si="1"/>
        <v>7.04</v>
      </c>
      <c r="L47" s="2231" t="s">
        <v>1393</v>
      </c>
      <c r="M47" s="2231"/>
      <c r="N47" s="2231"/>
      <c r="O47" s="2231"/>
      <c r="P47" s="2231"/>
      <c r="Q47" s="2231"/>
    </row>
    <row r="48" spans="2:17" s="727" customFormat="1">
      <c r="B48" s="718">
        <v>43687</v>
      </c>
      <c r="C48" s="719">
        <v>1496518086</v>
      </c>
      <c r="D48" s="719">
        <v>20877868</v>
      </c>
      <c r="E48" s="719">
        <f t="shared" si="0"/>
        <v>1475640218</v>
      </c>
      <c r="F48" s="720">
        <v>31376919.159000002</v>
      </c>
      <c r="G48" s="721">
        <v>54.1648</v>
      </c>
      <c r="H48" s="722">
        <f t="shared" si="2"/>
        <v>47.029499999999999</v>
      </c>
      <c r="I48" s="723">
        <f t="shared" si="1"/>
        <v>7.14</v>
      </c>
      <c r="L48" s="2231"/>
      <c r="M48" s="2231"/>
      <c r="N48" s="2231"/>
      <c r="O48" s="2231"/>
      <c r="P48" s="2231"/>
      <c r="Q48" s="2231"/>
    </row>
    <row r="49" spans="2:17" s="727" customFormat="1">
      <c r="B49" s="718">
        <v>43688</v>
      </c>
      <c r="C49" s="719">
        <v>1497055936</v>
      </c>
      <c r="D49" s="719">
        <v>21003420</v>
      </c>
      <c r="E49" s="719">
        <f t="shared" si="0"/>
        <v>1476052516</v>
      </c>
      <c r="F49" s="720">
        <v>31376919.159000002</v>
      </c>
      <c r="G49" s="721">
        <v>54.174700000000001</v>
      </c>
      <c r="H49" s="722">
        <f t="shared" si="2"/>
        <v>47.0426</v>
      </c>
      <c r="I49" s="723">
        <f t="shared" si="1"/>
        <v>7.13</v>
      </c>
      <c r="L49" s="2233" t="s">
        <v>1394</v>
      </c>
      <c r="M49" s="2233"/>
      <c r="N49" s="2233"/>
      <c r="O49" s="2233"/>
      <c r="P49" s="2233"/>
      <c r="Q49" s="2233"/>
    </row>
    <row r="50" spans="2:17" s="727" customFormat="1">
      <c r="B50" s="718">
        <v>43689</v>
      </c>
      <c r="C50" s="719">
        <v>1497593586</v>
      </c>
      <c r="D50" s="719">
        <v>21089168</v>
      </c>
      <c r="E50" s="719">
        <f t="shared" si="0"/>
        <v>1476504418</v>
      </c>
      <c r="F50" s="720">
        <v>31376919.159000002</v>
      </c>
      <c r="G50" s="721">
        <v>54.184600000000003</v>
      </c>
      <c r="H50" s="722">
        <f t="shared" si="2"/>
        <v>47.057000000000002</v>
      </c>
      <c r="I50" s="723">
        <f t="shared" si="1"/>
        <v>7.13</v>
      </c>
      <c r="L50" s="747"/>
      <c r="M50" s="747"/>
      <c r="N50" s="747"/>
      <c r="O50" s="747"/>
      <c r="P50" s="747"/>
      <c r="Q50" s="747"/>
    </row>
    <row r="51" spans="2:17" s="727" customFormat="1">
      <c r="B51" s="718">
        <v>43690</v>
      </c>
      <c r="C51" s="719">
        <v>1498131536</v>
      </c>
      <c r="D51" s="719">
        <v>21174960</v>
      </c>
      <c r="E51" s="719">
        <f t="shared" si="0"/>
        <v>1476956576</v>
      </c>
      <c r="F51" s="720">
        <v>31169853.274300002</v>
      </c>
      <c r="G51" s="721">
        <v>54.189100000000003</v>
      </c>
      <c r="H51" s="722">
        <f t="shared" si="2"/>
        <v>47.384099999999997</v>
      </c>
      <c r="I51" s="723">
        <f t="shared" si="1"/>
        <v>6.81</v>
      </c>
    </row>
    <row r="52" spans="2:17" s="727" customFormat="1">
      <c r="B52" s="718">
        <v>43691</v>
      </c>
      <c r="C52" s="719">
        <v>1498669386</v>
      </c>
      <c r="D52" s="719">
        <v>21260743</v>
      </c>
      <c r="E52" s="719">
        <f t="shared" si="0"/>
        <v>1477408643</v>
      </c>
      <c r="F52" s="720">
        <v>31169853.274300002</v>
      </c>
      <c r="G52" s="721">
        <v>54.197000000000003</v>
      </c>
      <c r="H52" s="722">
        <f t="shared" si="2"/>
        <v>47.398600000000002</v>
      </c>
      <c r="I52" s="723">
        <f t="shared" si="1"/>
        <v>6.8</v>
      </c>
      <c r="N52" s="742"/>
    </row>
    <row r="53" spans="2:17" s="727" customFormat="1">
      <c r="B53" s="718">
        <v>43692</v>
      </c>
      <c r="C53" s="719">
        <v>1499207535</v>
      </c>
      <c r="D53" s="719">
        <v>21346569</v>
      </c>
      <c r="E53" s="719">
        <f t="shared" si="0"/>
        <v>1477860966</v>
      </c>
      <c r="F53" s="720">
        <v>31072209.419100001</v>
      </c>
      <c r="G53" s="721">
        <v>54.205500000000001</v>
      </c>
      <c r="H53" s="722">
        <f t="shared" si="2"/>
        <v>47.562100000000001</v>
      </c>
      <c r="I53" s="723">
        <f t="shared" si="1"/>
        <v>6.64</v>
      </c>
      <c r="N53" s="742"/>
    </row>
    <row r="54" spans="2:17" s="727" customFormat="1">
      <c r="B54" s="718">
        <v>43693</v>
      </c>
      <c r="C54" s="719">
        <v>1502815126</v>
      </c>
      <c r="D54" s="719">
        <v>21446741</v>
      </c>
      <c r="E54" s="719">
        <f t="shared" si="0"/>
        <v>1481368385</v>
      </c>
      <c r="F54" s="720">
        <v>31372689.4045</v>
      </c>
      <c r="G54" s="721">
        <v>54.215899999999998</v>
      </c>
      <c r="H54" s="722">
        <f t="shared" si="2"/>
        <v>47.218400000000003</v>
      </c>
      <c r="I54" s="723">
        <f t="shared" si="1"/>
        <v>7</v>
      </c>
    </row>
    <row r="55" spans="2:17" s="727" customFormat="1">
      <c r="B55" s="718">
        <v>43694</v>
      </c>
      <c r="C55" s="719">
        <v>1503231417</v>
      </c>
      <c r="D55" s="719">
        <v>21533288</v>
      </c>
      <c r="E55" s="719">
        <f t="shared" si="0"/>
        <v>1481698129</v>
      </c>
      <c r="F55" s="720">
        <v>31364328.129900001</v>
      </c>
      <c r="G55" s="721">
        <v>54.225700000000003</v>
      </c>
      <c r="H55" s="722">
        <f t="shared" si="2"/>
        <v>47.241500000000002</v>
      </c>
      <c r="I55" s="723">
        <f t="shared" si="1"/>
        <v>6.98</v>
      </c>
    </row>
    <row r="56" spans="2:17" s="727" customFormat="1">
      <c r="B56" s="718">
        <v>43695</v>
      </c>
      <c r="C56" s="719">
        <v>1503418039</v>
      </c>
      <c r="D56" s="719">
        <v>21620114</v>
      </c>
      <c r="E56" s="719">
        <f t="shared" si="0"/>
        <v>1481797925</v>
      </c>
      <c r="F56" s="720">
        <v>31364328.129900001</v>
      </c>
      <c r="G56" s="721">
        <v>54.235700000000001</v>
      </c>
      <c r="H56" s="722">
        <f t="shared" si="2"/>
        <v>47.244700000000002</v>
      </c>
      <c r="I56" s="723">
        <f t="shared" si="1"/>
        <v>6.99</v>
      </c>
    </row>
    <row r="57" spans="2:17" s="727" customFormat="1">
      <c r="B57" s="718">
        <v>43696</v>
      </c>
      <c r="C57" s="719">
        <v>1514417492</v>
      </c>
      <c r="D57" s="719">
        <v>21930246</v>
      </c>
      <c r="E57" s="719">
        <f t="shared" si="0"/>
        <v>1492487246</v>
      </c>
      <c r="F57" s="720">
        <v>31364328.129900001</v>
      </c>
      <c r="G57" s="721">
        <v>54.245600000000003</v>
      </c>
      <c r="H57" s="722">
        <f t="shared" si="2"/>
        <v>47.585500000000003</v>
      </c>
      <c r="I57" s="723">
        <f t="shared" si="1"/>
        <v>6.66</v>
      </c>
    </row>
    <row r="58" spans="2:17" s="727" customFormat="1">
      <c r="B58" s="718">
        <v>43697</v>
      </c>
      <c r="C58" s="719">
        <v>1518721584</v>
      </c>
      <c r="D58" s="719">
        <v>22019912</v>
      </c>
      <c r="E58" s="719">
        <f t="shared" si="0"/>
        <v>1496701672</v>
      </c>
      <c r="F58" s="720">
        <v>31338164.9815</v>
      </c>
      <c r="G58" s="721">
        <v>54.257100000000001</v>
      </c>
      <c r="H58" s="722">
        <f t="shared" si="2"/>
        <v>47.759700000000002</v>
      </c>
      <c r="I58" s="723">
        <f t="shared" si="1"/>
        <v>6.5</v>
      </c>
    </row>
    <row r="59" spans="2:17" s="727" customFormat="1">
      <c r="B59" s="718">
        <v>43698</v>
      </c>
      <c r="C59" s="719">
        <v>1506915707</v>
      </c>
      <c r="D59" s="719">
        <v>22168984</v>
      </c>
      <c r="E59" s="719">
        <f t="shared" si="0"/>
        <v>1484746723</v>
      </c>
      <c r="F59" s="720">
        <v>31338164.9815</v>
      </c>
      <c r="G59" s="721">
        <v>54.266300000000001</v>
      </c>
      <c r="H59" s="722">
        <f t="shared" si="2"/>
        <v>47.3782</v>
      </c>
      <c r="I59" s="723">
        <f t="shared" si="1"/>
        <v>6.89</v>
      </c>
    </row>
    <row r="60" spans="2:17" s="727" customFormat="1">
      <c r="B60" s="718">
        <v>43699</v>
      </c>
      <c r="C60" s="719">
        <v>1509934090</v>
      </c>
      <c r="D60" s="719">
        <v>22298584</v>
      </c>
      <c r="E60" s="719">
        <f t="shared" si="0"/>
        <v>1487635506</v>
      </c>
      <c r="F60" s="720">
        <v>31338164.9815</v>
      </c>
      <c r="G60" s="721">
        <v>54.276299999999999</v>
      </c>
      <c r="H60" s="722">
        <f t="shared" si="2"/>
        <v>47.470399999999998</v>
      </c>
      <c r="I60" s="723">
        <f t="shared" si="1"/>
        <v>6.81</v>
      </c>
    </row>
    <row r="61" spans="2:17" s="727" customFormat="1">
      <c r="B61" s="718">
        <v>43700</v>
      </c>
      <c r="C61" s="719">
        <v>1510618166</v>
      </c>
      <c r="D61" s="719">
        <v>22397521</v>
      </c>
      <c r="E61" s="719">
        <f t="shared" si="0"/>
        <v>1488220645</v>
      </c>
      <c r="F61" s="720">
        <v>31338164.9815</v>
      </c>
      <c r="G61" s="721">
        <v>54.286299999999997</v>
      </c>
      <c r="H61" s="722">
        <f t="shared" si="2"/>
        <v>47.489100000000001</v>
      </c>
      <c r="I61" s="723">
        <f t="shared" si="1"/>
        <v>6.8</v>
      </c>
    </row>
    <row r="62" spans="2:17" s="727" customFormat="1">
      <c r="B62" s="718">
        <v>43701</v>
      </c>
      <c r="C62" s="719">
        <v>1511090108</v>
      </c>
      <c r="D62" s="719">
        <v>22474789</v>
      </c>
      <c r="E62" s="719">
        <f t="shared" si="0"/>
        <v>1488615319</v>
      </c>
      <c r="F62" s="720">
        <v>31352226.09</v>
      </c>
      <c r="G62" s="721">
        <v>54.296199999999999</v>
      </c>
      <c r="H62" s="722">
        <f t="shared" si="2"/>
        <v>47.480400000000003</v>
      </c>
      <c r="I62" s="723">
        <f t="shared" si="1"/>
        <v>6.82</v>
      </c>
    </row>
    <row r="63" spans="2:17" s="727" customFormat="1">
      <c r="B63" s="718">
        <v>43702</v>
      </c>
      <c r="C63" s="719">
        <v>1511562325</v>
      </c>
      <c r="D63" s="719">
        <v>22552094</v>
      </c>
      <c r="E63" s="719">
        <f t="shared" si="0"/>
        <v>1489010231</v>
      </c>
      <c r="F63" s="720">
        <v>31352226.09</v>
      </c>
      <c r="G63" s="721">
        <v>54.305900000000001</v>
      </c>
      <c r="H63" s="722">
        <f t="shared" si="2"/>
        <v>47.493000000000002</v>
      </c>
      <c r="I63" s="723">
        <f t="shared" si="1"/>
        <v>6.81</v>
      </c>
    </row>
    <row r="64" spans="2:17" s="727" customFormat="1">
      <c r="B64" s="718">
        <v>43703</v>
      </c>
      <c r="C64" s="719">
        <v>1518763815</v>
      </c>
      <c r="D64" s="719">
        <v>22732417</v>
      </c>
      <c r="E64" s="719">
        <f t="shared" si="0"/>
        <v>1496031398</v>
      </c>
      <c r="F64" s="720">
        <v>31352226.09</v>
      </c>
      <c r="G64" s="721">
        <v>54.315800000000003</v>
      </c>
      <c r="H64" s="722">
        <f t="shared" si="2"/>
        <v>47.716900000000003</v>
      </c>
      <c r="I64" s="723">
        <f t="shared" si="1"/>
        <v>6.6</v>
      </c>
    </row>
    <row r="65" spans="2:16" s="727" customFormat="1">
      <c r="B65" s="718">
        <v>43704</v>
      </c>
      <c r="C65" s="719">
        <v>1521735618</v>
      </c>
      <c r="D65" s="719">
        <v>22841893</v>
      </c>
      <c r="E65" s="719">
        <f t="shared" si="0"/>
        <v>1498893725</v>
      </c>
      <c r="F65" s="720">
        <v>31318548.933200002</v>
      </c>
      <c r="G65" s="721">
        <v>54.319699999999997</v>
      </c>
      <c r="H65" s="722">
        <f t="shared" si="2"/>
        <v>47.8596</v>
      </c>
      <c r="I65" s="723">
        <f t="shared" si="1"/>
        <v>6.46</v>
      </c>
    </row>
    <row r="66" spans="2:16" s="727" customFormat="1">
      <c r="B66" s="718">
        <v>43705</v>
      </c>
      <c r="C66" s="719">
        <v>1527947844</v>
      </c>
      <c r="D66" s="719">
        <v>21852778</v>
      </c>
      <c r="E66" s="719">
        <f t="shared" si="0"/>
        <v>1506095066</v>
      </c>
      <c r="F66" s="720">
        <v>31192742.309500001</v>
      </c>
      <c r="G66" s="721">
        <v>54.3292</v>
      </c>
      <c r="H66" s="722">
        <f t="shared" si="2"/>
        <v>48.283499999999997</v>
      </c>
      <c r="I66" s="723">
        <f t="shared" si="1"/>
        <v>6.05</v>
      </c>
    </row>
    <row r="67" spans="2:16" s="727" customFormat="1">
      <c r="B67" s="718">
        <v>43706</v>
      </c>
      <c r="C67" s="719">
        <v>1535690726</v>
      </c>
      <c r="D67" s="719">
        <v>22369919</v>
      </c>
      <c r="E67" s="719">
        <f t="shared" si="0"/>
        <v>1513320807</v>
      </c>
      <c r="F67" s="720">
        <v>31039193.911800001</v>
      </c>
      <c r="G67" s="721">
        <v>54.339399999999998</v>
      </c>
      <c r="H67" s="722">
        <f t="shared" si="2"/>
        <v>48.755200000000002</v>
      </c>
      <c r="I67" s="723">
        <f t="shared" si="1"/>
        <v>5.58</v>
      </c>
    </row>
    <row r="68" spans="2:16" s="727" customFormat="1">
      <c r="B68" s="718">
        <v>43707</v>
      </c>
      <c r="C68" s="719">
        <v>1538135896</v>
      </c>
      <c r="D68" s="719">
        <v>22483982</v>
      </c>
      <c r="E68" s="719">
        <f t="shared" si="0"/>
        <v>1515651914</v>
      </c>
      <c r="F68" s="720">
        <v>31116630.182500001</v>
      </c>
      <c r="G68" s="721">
        <v>54.349200000000003</v>
      </c>
      <c r="H68" s="722">
        <f t="shared" si="2"/>
        <v>48.7087</v>
      </c>
      <c r="I68" s="723">
        <f t="shared" si="1"/>
        <v>5.64</v>
      </c>
    </row>
    <row r="69" spans="2:16" s="727" customFormat="1">
      <c r="B69" s="718">
        <v>43708</v>
      </c>
      <c r="C69" s="719">
        <v>1579041692</v>
      </c>
      <c r="D69" s="719">
        <v>62916808</v>
      </c>
      <c r="E69" s="719">
        <f t="shared" si="0"/>
        <v>1516124884</v>
      </c>
      <c r="F69" s="720">
        <v>31021662.174199998</v>
      </c>
      <c r="G69" s="721">
        <v>54.3596</v>
      </c>
      <c r="H69" s="722">
        <f t="shared" si="2"/>
        <v>48.873100000000001</v>
      </c>
      <c r="I69" s="723">
        <f t="shared" si="1"/>
        <v>5.49</v>
      </c>
    </row>
    <row r="70" spans="2:16" s="727" customFormat="1">
      <c r="B70" s="718">
        <v>43709</v>
      </c>
      <c r="C70" s="719">
        <v>1579605254</v>
      </c>
      <c r="D70" s="719">
        <v>63006304</v>
      </c>
      <c r="E70" s="719">
        <f t="shared" si="0"/>
        <v>1516598950</v>
      </c>
      <c r="F70" s="720">
        <v>31021662.174199998</v>
      </c>
      <c r="G70" s="721">
        <v>54.369900000000001</v>
      </c>
      <c r="H70" s="722">
        <f t="shared" si="2"/>
        <v>48.888399999999997</v>
      </c>
      <c r="I70" s="723">
        <f t="shared" si="1"/>
        <v>5.48</v>
      </c>
    </row>
    <row r="71" spans="2:16" s="727" customFormat="1">
      <c r="B71" s="718">
        <v>43710</v>
      </c>
      <c r="C71" s="719">
        <v>2040585057</v>
      </c>
      <c r="D71" s="719">
        <v>502831435</v>
      </c>
      <c r="E71" s="719">
        <f t="shared" si="0"/>
        <v>1537753622</v>
      </c>
      <c r="F71" s="720">
        <v>31021662.174199998</v>
      </c>
      <c r="G71" s="721">
        <v>54.380200000000002</v>
      </c>
      <c r="H71" s="722">
        <f t="shared" si="2"/>
        <v>49.570300000000003</v>
      </c>
      <c r="I71" s="723">
        <f t="shared" si="1"/>
        <v>4.8099999999999996</v>
      </c>
    </row>
    <row r="72" spans="2:16" s="727" customFormat="1">
      <c r="B72" s="718">
        <v>43711</v>
      </c>
      <c r="C72" s="719">
        <v>1703164223</v>
      </c>
      <c r="D72" s="719">
        <v>160342855</v>
      </c>
      <c r="E72" s="719">
        <f t="shared" ref="E72:E135" si="3">C72-D72</f>
        <v>1542821368</v>
      </c>
      <c r="F72" s="720">
        <v>31075957.109099999</v>
      </c>
      <c r="G72" s="721">
        <v>54.389400000000002</v>
      </c>
      <c r="H72" s="722">
        <f t="shared" si="2"/>
        <v>49.646799999999999</v>
      </c>
      <c r="I72" s="723">
        <f t="shared" ref="I72:I105" si="4">ROUND(G72-H72,2)</f>
        <v>4.74</v>
      </c>
    </row>
    <row r="73" spans="2:16" s="727" customFormat="1">
      <c r="B73" s="718">
        <v>43712</v>
      </c>
      <c r="C73" s="719">
        <v>1709947668</v>
      </c>
      <c r="D73" s="719">
        <v>160833532</v>
      </c>
      <c r="E73" s="719">
        <f t="shared" si="3"/>
        <v>1549114136</v>
      </c>
      <c r="F73" s="720">
        <v>31055113.5625</v>
      </c>
      <c r="G73" s="721">
        <v>54.398899999999998</v>
      </c>
      <c r="H73" s="722">
        <f t="shared" ref="H73:H136" si="5">ROUND(E73/F73,4)</f>
        <v>49.8827</v>
      </c>
      <c r="I73" s="723">
        <f t="shared" si="4"/>
        <v>4.5199999999999996</v>
      </c>
    </row>
    <row r="74" spans="2:16">
      <c r="B74" s="718">
        <v>43713</v>
      </c>
      <c r="C74" s="719">
        <v>1684350464</v>
      </c>
      <c r="D74" s="719">
        <v>120946311</v>
      </c>
      <c r="E74" s="719">
        <f t="shared" si="3"/>
        <v>1563404153</v>
      </c>
      <c r="F74" s="720">
        <v>31055113.5625</v>
      </c>
      <c r="G74" s="721">
        <v>54.409100000000002</v>
      </c>
      <c r="H74" s="722">
        <f t="shared" si="5"/>
        <v>50.3429</v>
      </c>
      <c r="I74" s="723">
        <f t="shared" si="4"/>
        <v>4.07</v>
      </c>
      <c r="L74" s="727"/>
      <c r="M74" s="727"/>
      <c r="N74" s="727"/>
      <c r="O74" s="727"/>
      <c r="P74" s="727"/>
    </row>
    <row r="75" spans="2:16">
      <c r="B75" s="718">
        <v>43714</v>
      </c>
      <c r="C75" s="719">
        <v>1592122338</v>
      </c>
      <c r="D75" s="719">
        <v>22232584</v>
      </c>
      <c r="E75" s="719">
        <f t="shared" si="3"/>
        <v>1569889754</v>
      </c>
      <c r="F75" s="720">
        <v>30135852.0372</v>
      </c>
      <c r="G75" s="721">
        <v>54.419199999999996</v>
      </c>
      <c r="H75" s="722">
        <f t="shared" si="5"/>
        <v>52.093800000000002</v>
      </c>
      <c r="I75" s="723">
        <f t="shared" si="4"/>
        <v>2.33</v>
      </c>
      <c r="L75" s="727"/>
      <c r="M75" s="727"/>
      <c r="N75" s="727"/>
      <c r="O75" s="727"/>
      <c r="P75" s="727"/>
    </row>
    <row r="76" spans="2:16" s="727" customFormat="1">
      <c r="B76" s="718">
        <v>43715</v>
      </c>
      <c r="C76" s="719">
        <v>1592439217</v>
      </c>
      <c r="D76" s="719">
        <v>22324302</v>
      </c>
      <c r="E76" s="719">
        <f t="shared" si="3"/>
        <v>1570114915</v>
      </c>
      <c r="F76" s="720">
        <v>30125373.1798</v>
      </c>
      <c r="G76" s="721">
        <v>54.429499999999997</v>
      </c>
      <c r="H76" s="722">
        <f t="shared" si="5"/>
        <v>52.119399999999999</v>
      </c>
      <c r="I76" s="723">
        <f t="shared" si="4"/>
        <v>2.31</v>
      </c>
      <c r="L76" s="726"/>
      <c r="M76" s="726"/>
      <c r="N76" s="726"/>
      <c r="O76" s="726"/>
      <c r="P76" s="726"/>
    </row>
    <row r="77" spans="2:16">
      <c r="B77" s="718">
        <v>43716</v>
      </c>
      <c r="C77" s="719">
        <v>1593014805</v>
      </c>
      <c r="D77" s="719">
        <v>22415852</v>
      </c>
      <c r="E77" s="719">
        <f t="shared" si="3"/>
        <v>1570598953</v>
      </c>
      <c r="F77" s="720">
        <v>30125373.1798</v>
      </c>
      <c r="G77" s="721">
        <v>54.44</v>
      </c>
      <c r="H77" s="722">
        <f t="shared" si="5"/>
        <v>52.135399999999997</v>
      </c>
      <c r="I77" s="723">
        <f t="shared" si="4"/>
        <v>2.2999999999999998</v>
      </c>
    </row>
    <row r="78" spans="2:16" s="727" customFormat="1">
      <c r="B78" s="718">
        <v>43717</v>
      </c>
      <c r="C78" s="719">
        <v>1593590494</v>
      </c>
      <c r="D78" s="719">
        <v>22507420</v>
      </c>
      <c r="E78" s="719">
        <f t="shared" si="3"/>
        <v>1571083074</v>
      </c>
      <c r="F78" s="720">
        <v>30125373.1798</v>
      </c>
      <c r="G78" s="721">
        <v>54.450499999999998</v>
      </c>
      <c r="H78" s="722">
        <f t="shared" si="5"/>
        <v>52.151499999999999</v>
      </c>
      <c r="I78" s="723">
        <f t="shared" si="4"/>
        <v>2.2999999999999998</v>
      </c>
    </row>
    <row r="79" spans="2:16">
      <c r="B79" s="718">
        <v>43718</v>
      </c>
      <c r="C79" s="719">
        <v>1594165582</v>
      </c>
      <c r="D79" s="719">
        <v>22598914</v>
      </c>
      <c r="E79" s="719">
        <f t="shared" si="3"/>
        <v>1571566668</v>
      </c>
      <c r="F79" s="720">
        <v>28783013.0711</v>
      </c>
      <c r="G79" s="721">
        <v>54.448399999999999</v>
      </c>
      <c r="H79" s="722">
        <f t="shared" si="5"/>
        <v>54.600499999999997</v>
      </c>
      <c r="I79" s="723">
        <f t="shared" si="4"/>
        <v>-0.15</v>
      </c>
    </row>
    <row r="80" spans="2:16">
      <c r="B80" s="718">
        <v>43719</v>
      </c>
      <c r="C80" s="719">
        <v>1604500499</v>
      </c>
      <c r="D80" s="719">
        <v>22896195</v>
      </c>
      <c r="E80" s="719">
        <f t="shared" si="3"/>
        <v>1581604304</v>
      </c>
      <c r="F80" s="720">
        <v>28790320.3506</v>
      </c>
      <c r="G80" s="721">
        <v>54.459699999999998</v>
      </c>
      <c r="H80" s="722">
        <f t="shared" si="5"/>
        <v>54.935299999999998</v>
      </c>
      <c r="I80" s="723">
        <f t="shared" si="4"/>
        <v>-0.48</v>
      </c>
      <c r="L80" s="727"/>
      <c r="M80" s="727"/>
      <c r="N80" s="727"/>
      <c r="O80" s="727"/>
      <c r="P80" s="727"/>
    </row>
    <row r="81" spans="2:11">
      <c r="B81" s="718">
        <v>43720</v>
      </c>
      <c r="C81" s="719">
        <v>1618533657</v>
      </c>
      <c r="D81" s="719">
        <v>23746993</v>
      </c>
      <c r="E81" s="719">
        <f t="shared" si="3"/>
        <v>1594786664</v>
      </c>
      <c r="F81" s="720">
        <v>32549193.6774</v>
      </c>
      <c r="G81" s="721">
        <v>54.468600000000002</v>
      </c>
      <c r="H81" s="722">
        <f t="shared" si="5"/>
        <v>48.996200000000002</v>
      </c>
      <c r="I81" s="723">
        <f t="shared" si="4"/>
        <v>5.47</v>
      </c>
    </row>
    <row r="82" spans="2:11">
      <c r="B82" s="718">
        <v>43721</v>
      </c>
      <c r="C82" s="719">
        <v>1611401084</v>
      </c>
      <c r="D82" s="719">
        <v>23808717</v>
      </c>
      <c r="E82" s="719">
        <f t="shared" si="3"/>
        <v>1587592367</v>
      </c>
      <c r="F82" s="720">
        <v>32664571.93</v>
      </c>
      <c r="G82" s="721">
        <v>54.4788</v>
      </c>
      <c r="H82" s="722">
        <f t="shared" si="5"/>
        <v>48.602899999999998</v>
      </c>
      <c r="I82" s="723">
        <f t="shared" si="4"/>
        <v>5.88</v>
      </c>
      <c r="K82" s="735"/>
    </row>
    <row r="83" spans="2:11">
      <c r="B83" s="718">
        <v>43722</v>
      </c>
      <c r="C83" s="719">
        <v>1611993252</v>
      </c>
      <c r="D83" s="719">
        <v>23902590</v>
      </c>
      <c r="E83" s="719">
        <f t="shared" si="3"/>
        <v>1588090662</v>
      </c>
      <c r="F83" s="720">
        <v>34409791.953400001</v>
      </c>
      <c r="G83" s="721">
        <v>54.4895</v>
      </c>
      <c r="H83" s="722">
        <f t="shared" si="5"/>
        <v>46.152299999999997</v>
      </c>
      <c r="I83" s="723">
        <f t="shared" si="4"/>
        <v>8.34</v>
      </c>
      <c r="K83" s="735"/>
    </row>
    <row r="84" spans="2:11">
      <c r="B84" s="718">
        <v>43723</v>
      </c>
      <c r="C84" s="719">
        <v>1612585419</v>
      </c>
      <c r="D84" s="719">
        <v>23996467</v>
      </c>
      <c r="E84" s="719">
        <f t="shared" si="3"/>
        <v>1588588952</v>
      </c>
      <c r="F84" s="720">
        <v>34409791.953400001</v>
      </c>
      <c r="G84" s="721">
        <v>54.5002</v>
      </c>
      <c r="H84" s="722">
        <f t="shared" si="5"/>
        <v>46.166800000000002</v>
      </c>
      <c r="I84" s="723">
        <f t="shared" si="4"/>
        <v>8.33</v>
      </c>
      <c r="K84" s="735"/>
    </row>
    <row r="85" spans="2:11">
      <c r="B85" s="718">
        <v>43724</v>
      </c>
      <c r="C85" s="719">
        <v>1617650168</v>
      </c>
      <c r="D85" s="719">
        <v>24201127</v>
      </c>
      <c r="E85" s="719">
        <f t="shared" si="3"/>
        <v>1593449041</v>
      </c>
      <c r="F85" s="720">
        <v>34409791.953400001</v>
      </c>
      <c r="G85" s="721">
        <v>54.511000000000003</v>
      </c>
      <c r="H85" s="722">
        <f t="shared" si="5"/>
        <v>46.308</v>
      </c>
      <c r="I85" s="723">
        <f t="shared" si="4"/>
        <v>8.1999999999999993</v>
      </c>
      <c r="K85" s="735"/>
    </row>
    <row r="86" spans="2:11">
      <c r="B86" s="718">
        <v>43725</v>
      </c>
      <c r="C86" s="719">
        <v>1625407007</v>
      </c>
      <c r="D86" s="719">
        <v>24247517</v>
      </c>
      <c r="E86" s="719">
        <f t="shared" si="3"/>
        <v>1601159490</v>
      </c>
      <c r="F86" s="720">
        <v>34491149.929099999</v>
      </c>
      <c r="G86" s="721">
        <v>54.521500000000003</v>
      </c>
      <c r="H86" s="722">
        <f t="shared" si="5"/>
        <v>46.4223</v>
      </c>
      <c r="I86" s="723">
        <f t="shared" si="4"/>
        <v>8.1</v>
      </c>
      <c r="K86" s="735"/>
    </row>
    <row r="87" spans="2:11">
      <c r="B87" s="718">
        <v>43726</v>
      </c>
      <c r="C87" s="719">
        <v>1622827181</v>
      </c>
      <c r="D87" s="719">
        <v>22998011</v>
      </c>
      <c r="E87" s="719">
        <f t="shared" si="3"/>
        <v>1599829170</v>
      </c>
      <c r="F87" s="720">
        <v>34450093.983199999</v>
      </c>
      <c r="G87" s="721">
        <v>54.5321</v>
      </c>
      <c r="H87" s="722">
        <f t="shared" si="5"/>
        <v>46.439</v>
      </c>
      <c r="I87" s="723">
        <f t="shared" si="4"/>
        <v>8.09</v>
      </c>
      <c r="K87" s="735"/>
    </row>
    <row r="88" spans="2:11">
      <c r="B88" s="718">
        <v>43727</v>
      </c>
      <c r="C88" s="719">
        <v>1634099125</v>
      </c>
      <c r="D88" s="719">
        <v>23551146</v>
      </c>
      <c r="E88" s="719">
        <f t="shared" si="3"/>
        <v>1610547979</v>
      </c>
      <c r="F88" s="720">
        <v>34431568.127999999</v>
      </c>
      <c r="G88" s="721">
        <v>54.542900000000003</v>
      </c>
      <c r="H88" s="722">
        <f t="shared" si="5"/>
        <v>46.775300000000001</v>
      </c>
      <c r="I88" s="723">
        <f t="shared" si="4"/>
        <v>7.77</v>
      </c>
      <c r="K88" s="735"/>
    </row>
    <row r="89" spans="2:11">
      <c r="B89" s="718">
        <v>43728</v>
      </c>
      <c r="C89" s="719">
        <v>1633959751</v>
      </c>
      <c r="D89" s="719">
        <v>23739271</v>
      </c>
      <c r="E89" s="719">
        <f t="shared" si="3"/>
        <v>1610220480</v>
      </c>
      <c r="F89" s="720">
        <v>34431568.127999999</v>
      </c>
      <c r="G89" s="721">
        <v>54.553699999999999</v>
      </c>
      <c r="H89" s="722">
        <f t="shared" si="5"/>
        <v>46.765799999999999</v>
      </c>
      <c r="I89" s="723">
        <f t="shared" si="4"/>
        <v>7.79</v>
      </c>
      <c r="K89" s="735"/>
    </row>
    <row r="90" spans="2:11">
      <c r="B90" s="718">
        <v>43729</v>
      </c>
      <c r="C90" s="719">
        <v>1637764097</v>
      </c>
      <c r="D90" s="719">
        <v>23841029</v>
      </c>
      <c r="E90" s="719">
        <f t="shared" si="3"/>
        <v>1613923068</v>
      </c>
      <c r="F90" s="720">
        <v>34431568.127999999</v>
      </c>
      <c r="G90" s="721">
        <v>54.564599999999999</v>
      </c>
      <c r="H90" s="722">
        <f t="shared" si="5"/>
        <v>46.873399999999997</v>
      </c>
      <c r="I90" s="723">
        <f t="shared" si="4"/>
        <v>7.69</v>
      </c>
      <c r="K90" s="735"/>
    </row>
    <row r="91" spans="2:11">
      <c r="B91" s="718">
        <v>43730</v>
      </c>
      <c r="C91" s="719">
        <v>1638393810</v>
      </c>
      <c r="D91" s="719">
        <v>23940049</v>
      </c>
      <c r="E91" s="719">
        <f t="shared" si="3"/>
        <v>1614453761</v>
      </c>
      <c r="F91" s="720">
        <v>34431568.127999999</v>
      </c>
      <c r="G91" s="721">
        <v>54.575499999999998</v>
      </c>
      <c r="H91" s="722">
        <f t="shared" si="5"/>
        <v>46.888800000000003</v>
      </c>
      <c r="I91" s="723">
        <f t="shared" si="4"/>
        <v>7.69</v>
      </c>
      <c r="K91" s="735"/>
    </row>
    <row r="92" spans="2:11">
      <c r="B92" s="718">
        <v>43731</v>
      </c>
      <c r="C92" s="719">
        <v>1646911413</v>
      </c>
      <c r="D92" s="719">
        <v>24275933</v>
      </c>
      <c r="E92" s="719">
        <f t="shared" si="3"/>
        <v>1622635480</v>
      </c>
      <c r="F92" s="720">
        <v>34431568.127999999</v>
      </c>
      <c r="G92" s="721">
        <v>54.586300000000001</v>
      </c>
      <c r="H92" s="722">
        <f t="shared" si="5"/>
        <v>47.126399999999997</v>
      </c>
      <c r="I92" s="723">
        <f t="shared" si="4"/>
        <v>7.46</v>
      </c>
      <c r="K92" s="735"/>
    </row>
    <row r="93" spans="2:11">
      <c r="B93" s="718">
        <v>43732</v>
      </c>
      <c r="C93" s="719">
        <v>1645960645</v>
      </c>
      <c r="D93" s="719">
        <v>24559471</v>
      </c>
      <c r="E93" s="719">
        <f t="shared" si="3"/>
        <v>1621401174</v>
      </c>
      <c r="F93" s="720">
        <v>35052166.0348</v>
      </c>
      <c r="G93" s="721">
        <v>54.572499999999998</v>
      </c>
      <c r="H93" s="722">
        <f t="shared" si="5"/>
        <v>46.256799999999998</v>
      </c>
      <c r="I93" s="723">
        <f t="shared" si="4"/>
        <v>8.32</v>
      </c>
      <c r="K93" s="735"/>
    </row>
    <row r="94" spans="2:11">
      <c r="B94" s="718">
        <v>43733</v>
      </c>
      <c r="C94" s="719">
        <v>1670439210</v>
      </c>
      <c r="D94" s="719">
        <v>25129426</v>
      </c>
      <c r="E94" s="719">
        <f t="shared" si="3"/>
        <v>1645309784</v>
      </c>
      <c r="F94" s="720">
        <v>35043003.910999998</v>
      </c>
      <c r="G94" s="721">
        <v>54.583399999999997</v>
      </c>
      <c r="H94" s="722">
        <f t="shared" si="5"/>
        <v>46.9512</v>
      </c>
      <c r="I94" s="723">
        <f t="shared" si="4"/>
        <v>7.63</v>
      </c>
      <c r="K94" s="735"/>
    </row>
    <row r="95" spans="2:11">
      <c r="B95" s="718">
        <v>43734</v>
      </c>
      <c r="C95" s="719">
        <v>1598866163</v>
      </c>
      <c r="D95" s="719">
        <v>25828236</v>
      </c>
      <c r="E95" s="719">
        <f t="shared" si="3"/>
        <v>1573037927</v>
      </c>
      <c r="F95" s="720">
        <v>35157476.417599998</v>
      </c>
      <c r="G95" s="721">
        <v>54.594000000000001</v>
      </c>
      <c r="H95" s="722">
        <f t="shared" si="5"/>
        <v>44.742600000000003</v>
      </c>
      <c r="I95" s="723">
        <f t="shared" si="4"/>
        <v>9.85</v>
      </c>
      <c r="K95" s="735"/>
    </row>
    <row r="96" spans="2:11">
      <c r="B96" s="718">
        <v>43735</v>
      </c>
      <c r="C96" s="719">
        <v>1596451760</v>
      </c>
      <c r="D96" s="719">
        <v>26080251</v>
      </c>
      <c r="E96" s="719">
        <f t="shared" si="3"/>
        <v>1570371509</v>
      </c>
      <c r="F96" s="720">
        <v>35156320.944399998</v>
      </c>
      <c r="G96" s="721">
        <v>54.604799999999997</v>
      </c>
      <c r="H96" s="722">
        <f t="shared" si="5"/>
        <v>44.668300000000002</v>
      </c>
      <c r="I96" s="723">
        <f t="shared" si="4"/>
        <v>9.94</v>
      </c>
      <c r="K96" s="735"/>
    </row>
    <row r="97" spans="2:11">
      <c r="B97" s="718">
        <v>43736</v>
      </c>
      <c r="C97" s="719">
        <v>1596992628</v>
      </c>
      <c r="D97" s="719">
        <v>26063098</v>
      </c>
      <c r="E97" s="719">
        <f t="shared" si="3"/>
        <v>1570929530</v>
      </c>
      <c r="F97" s="720">
        <v>35242927.851499997</v>
      </c>
      <c r="G97" s="721">
        <v>54.615600000000001</v>
      </c>
      <c r="H97" s="722">
        <f t="shared" si="5"/>
        <v>44.574300000000001</v>
      </c>
      <c r="I97" s="723">
        <f t="shared" si="4"/>
        <v>10.039999999999999</v>
      </c>
      <c r="K97" s="735"/>
    </row>
    <row r="98" spans="2:11">
      <c r="B98" s="718">
        <v>43737</v>
      </c>
      <c r="C98" s="719">
        <v>1597602643</v>
      </c>
      <c r="D98" s="719">
        <v>26159157</v>
      </c>
      <c r="E98" s="719">
        <f t="shared" si="3"/>
        <v>1571443486</v>
      </c>
      <c r="F98" s="720">
        <v>35242927.851499997</v>
      </c>
      <c r="G98" s="721">
        <v>54.626100000000001</v>
      </c>
      <c r="H98" s="722">
        <f t="shared" si="5"/>
        <v>44.588900000000002</v>
      </c>
      <c r="I98" s="723">
        <f t="shared" si="4"/>
        <v>10.039999999999999</v>
      </c>
      <c r="K98" s="735"/>
    </row>
    <row r="99" spans="2:11">
      <c r="B99" s="718">
        <v>43738</v>
      </c>
      <c r="C99" s="719">
        <v>1655063289</v>
      </c>
      <c r="D99" s="719">
        <v>84131562</v>
      </c>
      <c r="E99" s="719">
        <f t="shared" si="3"/>
        <v>1570931727</v>
      </c>
      <c r="F99" s="720">
        <v>35242927.851499997</v>
      </c>
      <c r="G99" s="721">
        <v>54.637099999999997</v>
      </c>
      <c r="H99" s="722">
        <f t="shared" si="5"/>
        <v>44.574399999999997</v>
      </c>
      <c r="I99" s="723">
        <f t="shared" si="4"/>
        <v>10.06</v>
      </c>
      <c r="K99" s="735"/>
    </row>
    <row r="100" spans="2:11">
      <c r="B100" s="718">
        <v>43739</v>
      </c>
      <c r="C100" s="719">
        <v>1655839346</v>
      </c>
      <c r="D100" s="719">
        <v>84229464</v>
      </c>
      <c r="E100" s="719">
        <f t="shared" si="3"/>
        <v>1571609882</v>
      </c>
      <c r="F100" s="720">
        <v>34144356.5612</v>
      </c>
      <c r="G100" s="721">
        <v>54.648400000000002</v>
      </c>
      <c r="H100" s="722">
        <f t="shared" si="5"/>
        <v>46.028399999999998</v>
      </c>
      <c r="I100" s="723">
        <f t="shared" si="4"/>
        <v>8.6199999999999992</v>
      </c>
      <c r="K100" s="735"/>
    </row>
    <row r="101" spans="2:11">
      <c r="B101" s="718">
        <v>43740</v>
      </c>
      <c r="C101" s="719">
        <v>1651750627</v>
      </c>
      <c r="D101" s="719">
        <v>80283677</v>
      </c>
      <c r="E101" s="719">
        <f t="shared" si="3"/>
        <v>1571466950</v>
      </c>
      <c r="F101" s="720">
        <v>34498406.611900002</v>
      </c>
      <c r="G101" s="721">
        <v>54.6282</v>
      </c>
      <c r="H101" s="722">
        <f t="shared" si="5"/>
        <v>45.551900000000003</v>
      </c>
      <c r="I101" s="723">
        <f t="shared" si="4"/>
        <v>9.08</v>
      </c>
      <c r="K101" s="735"/>
    </row>
    <row r="102" spans="2:11">
      <c r="B102" s="718">
        <v>43741</v>
      </c>
      <c r="C102" s="719">
        <v>1602215452</v>
      </c>
      <c r="D102" s="719">
        <v>22610565</v>
      </c>
      <c r="E102" s="719">
        <f t="shared" si="3"/>
        <v>1579604887</v>
      </c>
      <c r="F102" s="720">
        <v>34494338.327600002</v>
      </c>
      <c r="G102" s="721">
        <v>54.639099999999999</v>
      </c>
      <c r="H102" s="722">
        <f t="shared" si="5"/>
        <v>45.793199999999999</v>
      </c>
      <c r="I102" s="723">
        <f t="shared" si="4"/>
        <v>8.85</v>
      </c>
      <c r="K102" s="735"/>
    </row>
    <row r="103" spans="2:11">
      <c r="B103" s="718">
        <v>43742</v>
      </c>
      <c r="C103" s="719">
        <v>1601525381</v>
      </c>
      <c r="D103" s="719">
        <v>22734619</v>
      </c>
      <c r="E103" s="719">
        <f t="shared" si="3"/>
        <v>1578790762</v>
      </c>
      <c r="F103" s="720">
        <v>34623150.931900002</v>
      </c>
      <c r="G103" s="721">
        <v>54.650700000000001</v>
      </c>
      <c r="H103" s="722">
        <f t="shared" si="5"/>
        <v>45.599299999999999</v>
      </c>
      <c r="I103" s="723">
        <f t="shared" si="4"/>
        <v>9.0500000000000007</v>
      </c>
      <c r="K103" s="735"/>
    </row>
    <row r="104" spans="2:11">
      <c r="B104" s="718">
        <v>43743</v>
      </c>
      <c r="C104" s="719">
        <v>1598384740</v>
      </c>
      <c r="D104" s="719">
        <v>22842699</v>
      </c>
      <c r="E104" s="719">
        <f t="shared" si="3"/>
        <v>1575542041</v>
      </c>
      <c r="F104" s="720">
        <v>34583680.199199997</v>
      </c>
      <c r="G104" s="721">
        <v>54.664000000000001</v>
      </c>
      <c r="H104" s="722">
        <f t="shared" si="5"/>
        <v>45.557400000000001</v>
      </c>
      <c r="I104" s="723">
        <f t="shared" si="4"/>
        <v>9.11</v>
      </c>
      <c r="K104" s="735"/>
    </row>
    <row r="105" spans="2:11">
      <c r="B105" s="718">
        <v>43744</v>
      </c>
      <c r="C105" s="719">
        <v>1599007132</v>
      </c>
      <c r="D105" s="719">
        <v>22940418</v>
      </c>
      <c r="E105" s="719">
        <f t="shared" si="3"/>
        <v>1576066714</v>
      </c>
      <c r="F105" s="720">
        <v>34583680.199199997</v>
      </c>
      <c r="G105" s="721">
        <v>54.675699999999999</v>
      </c>
      <c r="H105" s="722">
        <f t="shared" si="5"/>
        <v>45.572600000000001</v>
      </c>
      <c r="I105" s="723">
        <f t="shared" si="4"/>
        <v>9.1</v>
      </c>
      <c r="K105" s="735"/>
    </row>
    <row r="106" spans="2:11">
      <c r="B106" s="718">
        <v>43745</v>
      </c>
      <c r="C106" s="719">
        <v>1599877395</v>
      </c>
      <c r="D106" s="719">
        <v>23044607</v>
      </c>
      <c r="E106" s="719">
        <f t="shared" si="3"/>
        <v>1576832788</v>
      </c>
      <c r="F106" s="720">
        <v>34583680.199199997</v>
      </c>
      <c r="G106" s="722">
        <v>54.687399999999997</v>
      </c>
      <c r="H106" s="722">
        <f t="shared" si="5"/>
        <v>45.594700000000003</v>
      </c>
      <c r="I106" s="723"/>
      <c r="K106" s="735"/>
    </row>
    <row r="107" spans="2:11">
      <c r="B107" s="718">
        <v>43746</v>
      </c>
      <c r="C107" s="719">
        <v>1606493131</v>
      </c>
      <c r="D107" s="719">
        <v>23269338</v>
      </c>
      <c r="E107" s="719">
        <f t="shared" si="3"/>
        <v>1583223793</v>
      </c>
      <c r="F107" s="720">
        <v>35162373.229099996</v>
      </c>
      <c r="G107" s="721">
        <v>54.680500000000002</v>
      </c>
      <c r="H107" s="722">
        <f t="shared" si="5"/>
        <v>45.0261</v>
      </c>
      <c r="I107" s="723">
        <f t="shared" ref="I107:I140" si="6">ROUND(G107-H107,2)</f>
        <v>9.65</v>
      </c>
      <c r="K107" s="735"/>
    </row>
    <row r="108" spans="2:11">
      <c r="B108" s="718">
        <v>43747</v>
      </c>
      <c r="C108" s="719">
        <v>1626950514</v>
      </c>
      <c r="D108" s="719">
        <v>23607162</v>
      </c>
      <c r="E108" s="719">
        <f t="shared" si="3"/>
        <v>1603343352</v>
      </c>
      <c r="F108" s="720">
        <v>35775106.703199998</v>
      </c>
      <c r="G108" s="721">
        <v>54.691400000000002</v>
      </c>
      <c r="H108" s="722">
        <f t="shared" si="5"/>
        <v>44.817300000000003</v>
      </c>
      <c r="I108" s="723">
        <f t="shared" si="6"/>
        <v>9.8699999999999992</v>
      </c>
      <c r="K108" s="735"/>
    </row>
    <row r="109" spans="2:11">
      <c r="B109" s="718">
        <v>43748</v>
      </c>
      <c r="C109" s="719">
        <v>1628747307</v>
      </c>
      <c r="D109" s="719">
        <v>23996916</v>
      </c>
      <c r="E109" s="719">
        <f t="shared" si="3"/>
        <v>1604750391</v>
      </c>
      <c r="F109" s="720">
        <v>35929336.475400001</v>
      </c>
      <c r="G109" s="721">
        <v>54.703200000000002</v>
      </c>
      <c r="H109" s="722">
        <f t="shared" si="5"/>
        <v>44.664099999999998</v>
      </c>
      <c r="I109" s="723">
        <f t="shared" si="6"/>
        <v>10.039999999999999</v>
      </c>
      <c r="K109" s="735"/>
    </row>
    <row r="110" spans="2:11">
      <c r="B110" s="718">
        <v>43749</v>
      </c>
      <c r="C110" s="719">
        <v>1621566545</v>
      </c>
      <c r="D110" s="719">
        <v>24084636</v>
      </c>
      <c r="E110" s="719">
        <f t="shared" si="3"/>
        <v>1597481909</v>
      </c>
      <c r="F110" s="720">
        <v>35763302.2861</v>
      </c>
      <c r="G110" s="721">
        <v>54.699800000000003</v>
      </c>
      <c r="H110" s="722">
        <f t="shared" si="5"/>
        <v>44.668199999999999</v>
      </c>
      <c r="I110" s="723">
        <f t="shared" si="6"/>
        <v>10.029999999999999</v>
      </c>
      <c r="K110" s="735"/>
    </row>
    <row r="111" spans="2:11">
      <c r="B111" s="718">
        <v>43750</v>
      </c>
      <c r="C111" s="719">
        <v>1622070859</v>
      </c>
      <c r="D111" s="719">
        <v>24170436</v>
      </c>
      <c r="E111" s="719">
        <f t="shared" si="3"/>
        <v>1597900423</v>
      </c>
      <c r="F111" s="720">
        <v>35866424.008500002</v>
      </c>
      <c r="G111" s="721">
        <v>54.710999999999999</v>
      </c>
      <c r="H111" s="722">
        <f t="shared" si="5"/>
        <v>44.551400000000001</v>
      </c>
      <c r="I111" s="723">
        <f t="shared" si="6"/>
        <v>10.16</v>
      </c>
      <c r="K111" s="735"/>
    </row>
    <row r="112" spans="2:11">
      <c r="B112" s="718">
        <v>43751</v>
      </c>
      <c r="C112" s="719">
        <v>1622637114</v>
      </c>
      <c r="D112" s="719">
        <v>24261015</v>
      </c>
      <c r="E112" s="719">
        <f t="shared" si="3"/>
        <v>1598376099</v>
      </c>
      <c r="F112" s="720">
        <v>35866424.008500002</v>
      </c>
      <c r="G112" s="721">
        <v>54.7209</v>
      </c>
      <c r="H112" s="722">
        <f t="shared" si="5"/>
        <v>44.564700000000002</v>
      </c>
      <c r="I112" s="723">
        <f t="shared" si="6"/>
        <v>10.16</v>
      </c>
      <c r="K112" s="735"/>
    </row>
    <row r="113" spans="2:11">
      <c r="B113" s="718">
        <v>43752</v>
      </c>
      <c r="C113" s="719">
        <v>1620352854</v>
      </c>
      <c r="D113" s="719">
        <v>24309560</v>
      </c>
      <c r="E113" s="719">
        <f t="shared" si="3"/>
        <v>1596043294</v>
      </c>
      <c r="F113" s="720">
        <v>35866424.008500002</v>
      </c>
      <c r="G113" s="721">
        <v>54.732399999999998</v>
      </c>
      <c r="H113" s="722">
        <f t="shared" si="5"/>
        <v>44.499600000000001</v>
      </c>
      <c r="I113" s="723">
        <f t="shared" si="6"/>
        <v>10.23</v>
      </c>
      <c r="K113" s="735"/>
    </row>
    <row r="114" spans="2:11">
      <c r="B114" s="718">
        <v>43753</v>
      </c>
      <c r="C114" s="719">
        <v>2128097643</v>
      </c>
      <c r="D114" s="719">
        <v>524214479</v>
      </c>
      <c r="E114" s="719">
        <f t="shared" si="3"/>
        <v>1603883164</v>
      </c>
      <c r="F114" s="720">
        <v>35977604.712099999</v>
      </c>
      <c r="G114" s="721">
        <v>54.7532</v>
      </c>
      <c r="H114" s="722">
        <f t="shared" si="5"/>
        <v>44.58</v>
      </c>
      <c r="I114" s="723">
        <f t="shared" si="6"/>
        <v>10.17</v>
      </c>
      <c r="K114" s="735"/>
    </row>
    <row r="115" spans="2:11">
      <c r="B115" s="718">
        <v>43754</v>
      </c>
      <c r="C115" s="719">
        <v>2124143160</v>
      </c>
      <c r="D115" s="719">
        <v>521414892</v>
      </c>
      <c r="E115" s="719">
        <f t="shared" si="3"/>
        <v>1602728268</v>
      </c>
      <c r="F115" s="720">
        <v>36046518.939199999</v>
      </c>
      <c r="G115" s="721">
        <v>54.764600000000002</v>
      </c>
      <c r="H115" s="722">
        <f t="shared" si="5"/>
        <v>44.462800000000001</v>
      </c>
      <c r="I115" s="723">
        <f t="shared" si="6"/>
        <v>10.3</v>
      </c>
      <c r="K115" s="735"/>
    </row>
    <row r="116" spans="2:11">
      <c r="B116" s="718">
        <v>43755</v>
      </c>
      <c r="C116" s="719">
        <v>2098209594</v>
      </c>
      <c r="D116" s="719">
        <v>521639845</v>
      </c>
      <c r="E116" s="719">
        <f t="shared" si="3"/>
        <v>1576569749</v>
      </c>
      <c r="F116" s="720">
        <v>36120713.860299997</v>
      </c>
      <c r="G116" s="721">
        <v>54.781700000000001</v>
      </c>
      <c r="H116" s="722">
        <f t="shared" si="5"/>
        <v>43.647199999999998</v>
      </c>
      <c r="I116" s="723">
        <f t="shared" si="6"/>
        <v>11.13</v>
      </c>
      <c r="K116" s="735"/>
    </row>
    <row r="117" spans="2:11">
      <c r="B117" s="718">
        <v>43756</v>
      </c>
      <c r="C117" s="719">
        <v>2499839865</v>
      </c>
      <c r="D117" s="719">
        <v>921405254</v>
      </c>
      <c r="E117" s="719">
        <f t="shared" si="3"/>
        <v>1578434611</v>
      </c>
      <c r="F117" s="720">
        <v>35646404.900200002</v>
      </c>
      <c r="G117" s="721">
        <v>54.794600000000003</v>
      </c>
      <c r="H117" s="722">
        <f t="shared" si="5"/>
        <v>44.280299999999997</v>
      </c>
      <c r="I117" s="723">
        <f t="shared" si="6"/>
        <v>10.51</v>
      </c>
      <c r="K117" s="735"/>
    </row>
    <row r="118" spans="2:11">
      <c r="B118" s="718">
        <v>43757</v>
      </c>
      <c r="C118" s="719">
        <v>2499143159</v>
      </c>
      <c r="D118" s="719">
        <v>921086434</v>
      </c>
      <c r="E118" s="719">
        <f t="shared" si="3"/>
        <v>1578056725</v>
      </c>
      <c r="F118" s="720">
        <v>35537725.928000003</v>
      </c>
      <c r="G118" s="721">
        <v>54.805500000000002</v>
      </c>
      <c r="H118" s="722">
        <f t="shared" si="5"/>
        <v>44.405099999999997</v>
      </c>
      <c r="I118" s="723">
        <f t="shared" si="6"/>
        <v>10.4</v>
      </c>
      <c r="K118" s="735"/>
    </row>
    <row r="119" spans="2:11">
      <c r="B119" s="718">
        <v>43758</v>
      </c>
      <c r="C119" s="719">
        <v>2499339759</v>
      </c>
      <c r="D119" s="719">
        <v>921128504</v>
      </c>
      <c r="E119" s="719">
        <f t="shared" si="3"/>
        <v>1578211255</v>
      </c>
      <c r="F119" s="720">
        <v>35537725.928000003</v>
      </c>
      <c r="G119" s="721">
        <v>54.817300000000003</v>
      </c>
      <c r="H119" s="722">
        <f t="shared" si="5"/>
        <v>44.409500000000001</v>
      </c>
      <c r="I119" s="723">
        <f t="shared" si="6"/>
        <v>10.41</v>
      </c>
      <c r="K119" s="735"/>
    </row>
    <row r="120" spans="2:11">
      <c r="B120" s="718">
        <v>43759</v>
      </c>
      <c r="C120" s="719">
        <v>1599481348</v>
      </c>
      <c r="D120" s="719">
        <v>22165369</v>
      </c>
      <c r="E120" s="719">
        <f t="shared" si="3"/>
        <v>1577315979</v>
      </c>
      <c r="F120" s="720">
        <v>35537725.928000003</v>
      </c>
      <c r="G120" s="721">
        <v>54.829000000000001</v>
      </c>
      <c r="H120" s="722">
        <f t="shared" si="5"/>
        <v>44.384300000000003</v>
      </c>
      <c r="I120" s="723">
        <f t="shared" si="6"/>
        <v>10.44</v>
      </c>
      <c r="K120" s="735"/>
    </row>
    <row r="121" spans="2:11">
      <c r="B121" s="718">
        <v>43760</v>
      </c>
      <c r="C121" s="719">
        <v>1630201230</v>
      </c>
      <c r="D121" s="719">
        <v>22629088</v>
      </c>
      <c r="E121" s="719">
        <f t="shared" si="3"/>
        <v>1607572142</v>
      </c>
      <c r="F121" s="720">
        <v>35511754.5625</v>
      </c>
      <c r="G121" s="721">
        <v>54.840400000000002</v>
      </c>
      <c r="H121" s="722">
        <f t="shared" si="5"/>
        <v>45.268700000000003</v>
      </c>
      <c r="I121" s="723">
        <f t="shared" si="6"/>
        <v>9.57</v>
      </c>
      <c r="K121" s="735"/>
    </row>
    <row r="122" spans="2:11">
      <c r="B122" s="718">
        <v>43761</v>
      </c>
      <c r="C122" s="719">
        <v>1630519963</v>
      </c>
      <c r="D122" s="719">
        <v>22763987</v>
      </c>
      <c r="E122" s="719">
        <f t="shared" si="3"/>
        <v>1607755976</v>
      </c>
      <c r="F122" s="720">
        <v>34979098.012999997</v>
      </c>
      <c r="G122" s="721">
        <v>54.851399999999998</v>
      </c>
      <c r="H122" s="722">
        <f t="shared" si="5"/>
        <v>45.963299999999997</v>
      </c>
      <c r="I122" s="723">
        <f t="shared" si="6"/>
        <v>8.89</v>
      </c>
      <c r="K122" s="735"/>
    </row>
    <row r="123" spans="2:11">
      <c r="B123" s="718">
        <v>43762</v>
      </c>
      <c r="C123" s="719">
        <v>2123800583</v>
      </c>
      <c r="D123" s="719">
        <v>508982473</v>
      </c>
      <c r="E123" s="719">
        <f t="shared" si="3"/>
        <v>1614818110</v>
      </c>
      <c r="F123" s="720">
        <v>31754115.8442</v>
      </c>
      <c r="G123" s="721">
        <v>54.863599999999998</v>
      </c>
      <c r="H123" s="722">
        <f t="shared" si="5"/>
        <v>50.8538</v>
      </c>
      <c r="I123" s="723">
        <f t="shared" si="6"/>
        <v>4.01</v>
      </c>
      <c r="K123" s="735"/>
    </row>
    <row r="124" spans="2:11">
      <c r="B124" s="718">
        <v>43763</v>
      </c>
      <c r="C124" s="719">
        <v>2114378877</v>
      </c>
      <c r="D124" s="719">
        <v>509163507</v>
      </c>
      <c r="E124" s="719">
        <f t="shared" si="3"/>
        <v>1605215370</v>
      </c>
      <c r="F124" s="720">
        <v>26164525.8277</v>
      </c>
      <c r="G124" s="721">
        <v>54.911200000000001</v>
      </c>
      <c r="H124" s="722">
        <f t="shared" si="5"/>
        <v>61.3508</v>
      </c>
      <c r="I124" s="723">
        <f t="shared" si="6"/>
        <v>-6.44</v>
      </c>
      <c r="K124" s="735"/>
    </row>
    <row r="125" spans="2:11">
      <c r="B125" s="718">
        <v>43764</v>
      </c>
      <c r="C125" s="719">
        <v>2114927315</v>
      </c>
      <c r="D125" s="719">
        <v>509254734</v>
      </c>
      <c r="E125" s="719">
        <f t="shared" si="3"/>
        <v>1605672581</v>
      </c>
      <c r="F125" s="720">
        <v>26101200.427099999</v>
      </c>
      <c r="G125" s="721">
        <v>54.927999999999997</v>
      </c>
      <c r="H125" s="722">
        <f t="shared" si="5"/>
        <v>61.517200000000003</v>
      </c>
      <c r="I125" s="723">
        <f t="shared" si="6"/>
        <v>-6.59</v>
      </c>
      <c r="K125" s="735"/>
    </row>
    <row r="126" spans="2:11">
      <c r="B126" s="718">
        <v>43765</v>
      </c>
      <c r="C126" s="719">
        <v>2115484643</v>
      </c>
      <c r="D126" s="719">
        <v>509344520</v>
      </c>
      <c r="E126" s="719">
        <f t="shared" si="3"/>
        <v>1606140123</v>
      </c>
      <c r="F126" s="720">
        <v>26101200.427099999</v>
      </c>
      <c r="G126" s="721">
        <v>54.939700000000002</v>
      </c>
      <c r="H126" s="722">
        <f t="shared" si="5"/>
        <v>61.5351</v>
      </c>
      <c r="I126" s="723">
        <f t="shared" si="6"/>
        <v>-6.6</v>
      </c>
      <c r="K126" s="735"/>
    </row>
    <row r="127" spans="2:11">
      <c r="B127" s="718">
        <v>43766</v>
      </c>
      <c r="C127" s="719">
        <v>1629408657</v>
      </c>
      <c r="D127" s="719">
        <v>23588927</v>
      </c>
      <c r="E127" s="719">
        <f t="shared" si="3"/>
        <v>1605819730</v>
      </c>
      <c r="F127" s="720">
        <v>26101200.427099999</v>
      </c>
      <c r="G127" s="721">
        <v>54.951300000000003</v>
      </c>
      <c r="H127" s="722">
        <f t="shared" si="5"/>
        <v>61.522799999999997</v>
      </c>
      <c r="I127" s="723">
        <f t="shared" si="6"/>
        <v>-6.57</v>
      </c>
      <c r="K127" s="735"/>
    </row>
    <row r="128" spans="2:11">
      <c r="B128" s="718">
        <v>43767</v>
      </c>
      <c r="C128" s="719">
        <v>2723415657</v>
      </c>
      <c r="D128" s="719">
        <v>1120569939</v>
      </c>
      <c r="E128" s="719">
        <f t="shared" si="3"/>
        <v>1602845718</v>
      </c>
      <c r="F128" s="720">
        <v>26063717.0645</v>
      </c>
      <c r="G128" s="721">
        <v>54.963200000000001</v>
      </c>
      <c r="H128" s="722">
        <f t="shared" si="5"/>
        <v>61.497199999999999</v>
      </c>
      <c r="I128" s="723">
        <f t="shared" si="6"/>
        <v>-6.53</v>
      </c>
      <c r="K128" s="735"/>
    </row>
    <row r="129" spans="2:11">
      <c r="B129" s="718">
        <v>43768</v>
      </c>
      <c r="C129" s="719">
        <v>1630983671</v>
      </c>
      <c r="D129" s="719">
        <v>23318472</v>
      </c>
      <c r="E129" s="719">
        <f t="shared" si="3"/>
        <v>1607665199</v>
      </c>
      <c r="F129" s="720">
        <v>26471120.2423</v>
      </c>
      <c r="G129" s="721">
        <v>54.9985</v>
      </c>
      <c r="H129" s="722">
        <f t="shared" si="5"/>
        <v>60.732799999999997</v>
      </c>
      <c r="I129" s="723">
        <f t="shared" si="6"/>
        <v>-5.73</v>
      </c>
      <c r="K129" s="735"/>
    </row>
    <row r="130" spans="2:11">
      <c r="B130" s="718">
        <v>43769</v>
      </c>
      <c r="C130" s="719">
        <v>1641876114</v>
      </c>
      <c r="D130" s="719">
        <v>34911198</v>
      </c>
      <c r="E130" s="719">
        <f t="shared" si="3"/>
        <v>1606964916</v>
      </c>
      <c r="F130" s="720">
        <v>26639137.342</v>
      </c>
      <c r="G130" s="721">
        <v>55.010300000000001</v>
      </c>
      <c r="H130" s="722">
        <f t="shared" si="5"/>
        <v>60.323500000000003</v>
      </c>
      <c r="I130" s="723">
        <f t="shared" si="6"/>
        <v>-5.31</v>
      </c>
      <c r="K130" s="735"/>
    </row>
    <row r="131" spans="2:11">
      <c r="B131" s="718">
        <v>43770</v>
      </c>
      <c r="C131" s="719">
        <v>1631831293</v>
      </c>
      <c r="D131" s="719">
        <v>23502701</v>
      </c>
      <c r="E131" s="719">
        <f t="shared" si="3"/>
        <v>1608328592</v>
      </c>
      <c r="F131" s="720">
        <v>26688960.0891</v>
      </c>
      <c r="G131" s="721">
        <v>55.022100000000002</v>
      </c>
      <c r="H131" s="722">
        <f t="shared" si="5"/>
        <v>60.261899999999997</v>
      </c>
      <c r="I131" s="723">
        <f t="shared" si="6"/>
        <v>-5.24</v>
      </c>
      <c r="K131" s="735"/>
    </row>
    <row r="132" spans="2:11">
      <c r="B132" s="718">
        <v>43771</v>
      </c>
      <c r="C132" s="719">
        <v>1703106615</v>
      </c>
      <c r="D132" s="719">
        <v>23598207</v>
      </c>
      <c r="E132" s="719">
        <f t="shared" si="3"/>
        <v>1679508408</v>
      </c>
      <c r="F132" s="720">
        <v>26689953.311000001</v>
      </c>
      <c r="G132" s="721">
        <v>55.033999999999999</v>
      </c>
      <c r="H132" s="722">
        <f t="shared" si="5"/>
        <v>62.926600000000001</v>
      </c>
      <c r="I132" s="723">
        <f t="shared" si="6"/>
        <v>-7.89</v>
      </c>
      <c r="K132" s="735"/>
    </row>
    <row r="133" spans="2:11">
      <c r="B133" s="718">
        <v>43772</v>
      </c>
      <c r="C133" s="719">
        <v>1703692506</v>
      </c>
      <c r="D133" s="719">
        <v>23692083</v>
      </c>
      <c r="E133" s="719">
        <f t="shared" si="3"/>
        <v>1680000423</v>
      </c>
      <c r="F133" s="720">
        <v>26689953.311000001</v>
      </c>
      <c r="G133" s="721">
        <v>55.045900000000003</v>
      </c>
      <c r="H133" s="722">
        <f t="shared" si="5"/>
        <v>62.945</v>
      </c>
      <c r="I133" s="723">
        <f t="shared" si="6"/>
        <v>-7.9</v>
      </c>
      <c r="K133" s="735"/>
    </row>
    <row r="134" spans="2:11">
      <c r="B134" s="718">
        <v>43773</v>
      </c>
      <c r="C134" s="719">
        <v>1706608165</v>
      </c>
      <c r="D134" s="719">
        <v>23580483</v>
      </c>
      <c r="E134" s="719">
        <f t="shared" si="3"/>
        <v>1683027682</v>
      </c>
      <c r="F134" s="720">
        <v>26689953.311000001</v>
      </c>
      <c r="G134" s="721">
        <v>55.0578</v>
      </c>
      <c r="H134" s="722">
        <f t="shared" si="5"/>
        <v>63.058500000000002</v>
      </c>
      <c r="I134" s="723">
        <f t="shared" si="6"/>
        <v>-8</v>
      </c>
      <c r="K134" s="735"/>
    </row>
    <row r="135" spans="2:11">
      <c r="B135" s="718">
        <v>43774</v>
      </c>
      <c r="C135" s="719">
        <v>1713500408</v>
      </c>
      <c r="D135" s="719">
        <v>23879078</v>
      </c>
      <c r="E135" s="719">
        <f t="shared" si="3"/>
        <v>1689621330</v>
      </c>
      <c r="F135" s="720">
        <v>26101107.6162</v>
      </c>
      <c r="G135" s="721">
        <v>55.041200000000003</v>
      </c>
      <c r="H135" s="722">
        <f t="shared" si="5"/>
        <v>64.733699999999999</v>
      </c>
      <c r="I135" s="723">
        <f t="shared" si="6"/>
        <v>-9.69</v>
      </c>
      <c r="K135" s="735"/>
    </row>
    <row r="136" spans="2:11">
      <c r="B136" s="718">
        <v>43775</v>
      </c>
      <c r="C136" s="719">
        <v>1722384421</v>
      </c>
      <c r="D136" s="719">
        <v>19977918</v>
      </c>
      <c r="E136" s="719">
        <f t="shared" ref="E136:E199" si="7">C136-D136</f>
        <v>1702406503</v>
      </c>
      <c r="F136" s="720">
        <v>24204772.108600002</v>
      </c>
      <c r="G136" s="721">
        <v>55.0518</v>
      </c>
      <c r="H136" s="722">
        <f t="shared" si="5"/>
        <v>70.333500000000001</v>
      </c>
      <c r="I136" s="723">
        <f t="shared" si="6"/>
        <v>-15.28</v>
      </c>
      <c r="K136" s="735"/>
    </row>
    <row r="137" spans="2:11">
      <c r="B137" s="718">
        <v>43776</v>
      </c>
      <c r="C137" s="719">
        <v>2126255444</v>
      </c>
      <c r="D137" s="719">
        <v>464304894</v>
      </c>
      <c r="E137" s="719">
        <f t="shared" si="7"/>
        <v>1661950550</v>
      </c>
      <c r="F137" s="720">
        <v>24321954.907900002</v>
      </c>
      <c r="G137" s="721">
        <v>55.061999999999998</v>
      </c>
      <c r="H137" s="722">
        <f t="shared" ref="H137:H200" si="8">ROUND(E137/F137,4)</f>
        <v>68.331299999999999</v>
      </c>
      <c r="I137" s="723">
        <f t="shared" si="6"/>
        <v>-13.27</v>
      </c>
      <c r="K137" s="735"/>
    </row>
    <row r="138" spans="2:11">
      <c r="B138" s="718">
        <v>43777</v>
      </c>
      <c r="C138" s="719">
        <v>2132971923</v>
      </c>
      <c r="D138" s="719">
        <v>464588576</v>
      </c>
      <c r="E138" s="719">
        <f t="shared" si="7"/>
        <v>1668383347</v>
      </c>
      <c r="F138" s="720">
        <v>24057936.353999998</v>
      </c>
      <c r="G138" s="721">
        <v>55.075600000000001</v>
      </c>
      <c r="H138" s="722">
        <f t="shared" si="8"/>
        <v>69.348600000000005</v>
      </c>
      <c r="I138" s="723">
        <f t="shared" si="6"/>
        <v>-14.27</v>
      </c>
      <c r="K138" s="735"/>
    </row>
    <row r="139" spans="2:11">
      <c r="B139" s="718">
        <v>43778</v>
      </c>
      <c r="C139" s="719">
        <v>2133559412</v>
      </c>
      <c r="D139" s="719">
        <v>464682485</v>
      </c>
      <c r="E139" s="719">
        <f t="shared" si="7"/>
        <v>1668876927</v>
      </c>
      <c r="F139" s="720">
        <v>24116162.284000002</v>
      </c>
      <c r="G139" s="721">
        <v>55.087400000000002</v>
      </c>
      <c r="H139" s="722">
        <f t="shared" si="8"/>
        <v>69.201599999999999</v>
      </c>
      <c r="I139" s="723">
        <f t="shared" si="6"/>
        <v>-14.11</v>
      </c>
      <c r="K139" s="735"/>
    </row>
    <row r="140" spans="2:11">
      <c r="B140" s="718">
        <v>43779</v>
      </c>
      <c r="C140" s="719">
        <v>2134145974</v>
      </c>
      <c r="D140" s="719">
        <v>464776277</v>
      </c>
      <c r="E140" s="719">
        <f t="shared" si="7"/>
        <v>1669369697</v>
      </c>
      <c r="F140" s="720">
        <v>24116162.284000002</v>
      </c>
      <c r="G140" s="721">
        <v>55.099200000000003</v>
      </c>
      <c r="H140" s="722">
        <f t="shared" si="8"/>
        <v>69.221999999999994</v>
      </c>
      <c r="I140" s="723">
        <f t="shared" si="6"/>
        <v>-14.12</v>
      </c>
      <c r="K140" s="735"/>
    </row>
    <row r="141" spans="2:11">
      <c r="B141" s="718">
        <v>43780</v>
      </c>
      <c r="C141" s="719">
        <v>1686155009</v>
      </c>
      <c r="D141" s="719">
        <v>20616498</v>
      </c>
      <c r="E141" s="719">
        <f t="shared" si="7"/>
        <v>1665538511</v>
      </c>
      <c r="F141" s="720">
        <v>24116162.284000002</v>
      </c>
      <c r="G141" s="722">
        <v>55.110999999999997</v>
      </c>
      <c r="H141" s="722">
        <f t="shared" si="8"/>
        <v>69.063199999999995</v>
      </c>
      <c r="I141" s="723"/>
      <c r="K141" s="735"/>
    </row>
    <row r="142" spans="2:11">
      <c r="B142" s="718">
        <v>43781</v>
      </c>
      <c r="C142" s="719">
        <v>1678969642</v>
      </c>
      <c r="D142" s="719">
        <v>20596685</v>
      </c>
      <c r="E142" s="719">
        <f t="shared" si="7"/>
        <v>1658372957</v>
      </c>
      <c r="F142" s="720">
        <v>24129508.539799999</v>
      </c>
      <c r="G142" s="721">
        <v>55.122199999999999</v>
      </c>
      <c r="H142" s="722">
        <f t="shared" si="8"/>
        <v>68.727999999999994</v>
      </c>
      <c r="I142" s="723">
        <f t="shared" ref="I142:I156" si="9">ROUND(G142-H142,2)</f>
        <v>-13.61</v>
      </c>
      <c r="K142" s="735"/>
    </row>
    <row r="143" spans="2:11">
      <c r="B143" s="718">
        <v>43782</v>
      </c>
      <c r="C143" s="719">
        <v>1675169805</v>
      </c>
      <c r="D143" s="719">
        <v>20696052</v>
      </c>
      <c r="E143" s="719">
        <f t="shared" si="7"/>
        <v>1654473753</v>
      </c>
      <c r="F143" s="720">
        <v>24146812.8112</v>
      </c>
      <c r="G143" s="721">
        <v>55.132800000000003</v>
      </c>
      <c r="H143" s="722">
        <f t="shared" si="8"/>
        <v>68.517300000000006</v>
      </c>
      <c r="I143" s="723">
        <f t="shared" si="9"/>
        <v>-13.38</v>
      </c>
      <c r="K143" s="735"/>
    </row>
    <row r="144" spans="2:11">
      <c r="B144" s="718">
        <v>43783</v>
      </c>
      <c r="C144" s="719">
        <v>1674294449</v>
      </c>
      <c r="D144" s="719">
        <v>20984700</v>
      </c>
      <c r="E144" s="719">
        <f t="shared" si="7"/>
        <v>1653309749</v>
      </c>
      <c r="F144" s="720">
        <v>24124460.3939</v>
      </c>
      <c r="G144" s="721">
        <v>55.145499999999998</v>
      </c>
      <c r="H144" s="722">
        <f t="shared" si="8"/>
        <v>68.532499999999999</v>
      </c>
      <c r="I144" s="723">
        <f t="shared" si="9"/>
        <v>-13.39</v>
      </c>
      <c r="K144" s="735"/>
    </row>
    <row r="145" spans="2:11">
      <c r="B145" s="718">
        <v>43784</v>
      </c>
      <c r="C145" s="719">
        <v>1674072850</v>
      </c>
      <c r="D145" s="719">
        <v>21088626</v>
      </c>
      <c r="E145" s="719">
        <f t="shared" si="7"/>
        <v>1652984224</v>
      </c>
      <c r="F145" s="720">
        <v>24093888.615800001</v>
      </c>
      <c r="G145" s="721">
        <v>55.156100000000002</v>
      </c>
      <c r="H145" s="722">
        <f t="shared" si="8"/>
        <v>68.605999999999995</v>
      </c>
      <c r="I145" s="723">
        <f t="shared" si="9"/>
        <v>-13.45</v>
      </c>
      <c r="K145" s="735"/>
    </row>
    <row r="146" spans="2:11">
      <c r="B146" s="718">
        <v>43785</v>
      </c>
      <c r="C146" s="719">
        <v>1656431625</v>
      </c>
      <c r="D146" s="719">
        <v>21204672</v>
      </c>
      <c r="E146" s="719">
        <f t="shared" si="7"/>
        <v>1635226953</v>
      </c>
      <c r="F146" s="720">
        <v>24067402.515500002</v>
      </c>
      <c r="G146" s="721">
        <v>55.168599999999998</v>
      </c>
      <c r="H146" s="722">
        <f t="shared" si="8"/>
        <v>67.943600000000004</v>
      </c>
      <c r="I146" s="723">
        <f t="shared" si="9"/>
        <v>-12.78</v>
      </c>
      <c r="K146" s="735"/>
    </row>
    <row r="147" spans="2:11">
      <c r="B147" s="718">
        <v>43786</v>
      </c>
      <c r="C147" s="719">
        <v>1657031267</v>
      </c>
      <c r="D147" s="719">
        <v>21299874</v>
      </c>
      <c r="E147" s="719">
        <f t="shared" si="7"/>
        <v>1635731393</v>
      </c>
      <c r="F147" s="720">
        <v>24067402.515500002</v>
      </c>
      <c r="G147" s="721">
        <v>55.180900000000001</v>
      </c>
      <c r="H147" s="722">
        <f t="shared" si="8"/>
        <v>67.964600000000004</v>
      </c>
      <c r="I147" s="723">
        <f t="shared" si="9"/>
        <v>-12.78</v>
      </c>
      <c r="K147" s="735"/>
    </row>
    <row r="148" spans="2:11">
      <c r="B148" s="718">
        <v>43787</v>
      </c>
      <c r="C148" s="719">
        <v>1670306641</v>
      </c>
      <c r="D148" s="719">
        <v>21418203</v>
      </c>
      <c r="E148" s="719">
        <f t="shared" si="7"/>
        <v>1648888438</v>
      </c>
      <c r="F148" s="720">
        <v>24067402.515500002</v>
      </c>
      <c r="G148" s="721">
        <v>55.193300000000001</v>
      </c>
      <c r="H148" s="722">
        <f t="shared" si="8"/>
        <v>68.511300000000006</v>
      </c>
      <c r="I148" s="723">
        <f t="shared" si="9"/>
        <v>-13.32</v>
      </c>
      <c r="K148" s="735"/>
    </row>
    <row r="149" spans="2:11">
      <c r="B149" s="718">
        <v>43788</v>
      </c>
      <c r="C149" s="719">
        <v>1669591086</v>
      </c>
      <c r="D149" s="719">
        <v>21453003</v>
      </c>
      <c r="E149" s="719">
        <f t="shared" si="7"/>
        <v>1648138083</v>
      </c>
      <c r="F149" s="720">
        <v>24046022.225900002</v>
      </c>
      <c r="G149" s="721">
        <v>55.190899999999999</v>
      </c>
      <c r="H149" s="722">
        <f t="shared" si="8"/>
        <v>68.540999999999997</v>
      </c>
      <c r="I149" s="723">
        <f t="shared" si="9"/>
        <v>-13.35</v>
      </c>
      <c r="K149" s="735"/>
    </row>
    <row r="150" spans="2:11">
      <c r="B150" s="718">
        <v>43789</v>
      </c>
      <c r="C150" s="719">
        <v>1667611150</v>
      </c>
      <c r="D150" s="719">
        <v>21582425</v>
      </c>
      <c r="E150" s="719">
        <f t="shared" si="7"/>
        <v>1646028725</v>
      </c>
      <c r="F150" s="720">
        <v>24046067.468899999</v>
      </c>
      <c r="G150" s="721">
        <v>55.203200000000002</v>
      </c>
      <c r="H150" s="722">
        <f t="shared" si="8"/>
        <v>68.453100000000006</v>
      </c>
      <c r="I150" s="723">
        <f t="shared" si="9"/>
        <v>-13.25</v>
      </c>
      <c r="K150" s="735"/>
    </row>
    <row r="151" spans="2:11">
      <c r="B151" s="718">
        <v>43790</v>
      </c>
      <c r="C151" s="719">
        <v>1674065885</v>
      </c>
      <c r="D151" s="719">
        <v>21649159</v>
      </c>
      <c r="E151" s="719">
        <f t="shared" si="7"/>
        <v>1652416726</v>
      </c>
      <c r="F151" s="720">
        <v>24046067.468899999</v>
      </c>
      <c r="G151" s="721">
        <v>55.215800000000002</v>
      </c>
      <c r="H151" s="722">
        <f t="shared" si="8"/>
        <v>68.718800000000002</v>
      </c>
      <c r="I151" s="723">
        <f t="shared" si="9"/>
        <v>-13.5</v>
      </c>
      <c r="K151" s="735"/>
    </row>
    <row r="152" spans="2:11">
      <c r="B152" s="718">
        <v>43791</v>
      </c>
      <c r="C152" s="719">
        <v>1656399236</v>
      </c>
      <c r="D152" s="719">
        <v>21834300</v>
      </c>
      <c r="E152" s="719">
        <f t="shared" si="7"/>
        <v>1634564936</v>
      </c>
      <c r="F152" s="720">
        <v>24006259.943300001</v>
      </c>
      <c r="G152" s="721">
        <v>55.227499999999999</v>
      </c>
      <c r="H152" s="722">
        <f t="shared" si="8"/>
        <v>68.089100000000002</v>
      </c>
      <c r="I152" s="723">
        <f t="shared" si="9"/>
        <v>-12.86</v>
      </c>
      <c r="K152" s="735"/>
    </row>
    <row r="153" spans="2:11">
      <c r="B153" s="718">
        <v>43792</v>
      </c>
      <c r="C153" s="719">
        <v>1656994953</v>
      </c>
      <c r="D153" s="719">
        <v>21928983</v>
      </c>
      <c r="E153" s="719">
        <f t="shared" si="7"/>
        <v>1635065970</v>
      </c>
      <c r="F153" s="720">
        <v>24104585.636399999</v>
      </c>
      <c r="G153" s="721">
        <v>55.24</v>
      </c>
      <c r="H153" s="722">
        <f t="shared" si="8"/>
        <v>67.8322</v>
      </c>
      <c r="I153" s="723">
        <f t="shared" si="9"/>
        <v>-12.59</v>
      </c>
      <c r="K153" s="735"/>
    </row>
    <row r="154" spans="2:11">
      <c r="B154" s="718">
        <v>43793</v>
      </c>
      <c r="C154" s="719">
        <v>1657578589</v>
      </c>
      <c r="D154" s="719">
        <v>22022092</v>
      </c>
      <c r="E154" s="719">
        <f t="shared" si="7"/>
        <v>1635556497</v>
      </c>
      <c r="F154" s="720">
        <v>24104585.636399999</v>
      </c>
      <c r="G154" s="721">
        <v>55.247300000000003</v>
      </c>
      <c r="H154" s="722">
        <f t="shared" si="8"/>
        <v>67.852500000000006</v>
      </c>
      <c r="I154" s="723">
        <f t="shared" si="9"/>
        <v>-12.61</v>
      </c>
      <c r="K154" s="735"/>
    </row>
    <row r="155" spans="2:11">
      <c r="B155" s="718">
        <v>43794</v>
      </c>
      <c r="C155" s="719">
        <v>1633195921</v>
      </c>
      <c r="D155" s="719">
        <v>22109748</v>
      </c>
      <c r="E155" s="719">
        <f t="shared" si="7"/>
        <v>1611086173</v>
      </c>
      <c r="F155" s="720">
        <v>24104585.636399999</v>
      </c>
      <c r="G155" s="721">
        <v>55.259799999999998</v>
      </c>
      <c r="H155" s="722">
        <f t="shared" si="8"/>
        <v>66.837299999999999</v>
      </c>
      <c r="I155" s="723">
        <f t="shared" si="9"/>
        <v>-11.58</v>
      </c>
      <c r="K155" s="735"/>
    </row>
    <row r="156" spans="2:11">
      <c r="B156" s="718">
        <v>43795</v>
      </c>
      <c r="C156" s="719">
        <v>1628790840</v>
      </c>
      <c r="D156" s="719">
        <v>22203218</v>
      </c>
      <c r="E156" s="719">
        <f t="shared" si="7"/>
        <v>1606587622</v>
      </c>
      <c r="F156" s="720">
        <v>24085513.392000001</v>
      </c>
      <c r="G156" s="721">
        <v>55.2898</v>
      </c>
      <c r="H156" s="722">
        <f t="shared" si="8"/>
        <v>66.703500000000005</v>
      </c>
      <c r="I156" s="723">
        <f t="shared" si="9"/>
        <v>-11.41</v>
      </c>
      <c r="K156" s="735"/>
    </row>
    <row r="157" spans="2:11">
      <c r="B157" s="718">
        <v>43796</v>
      </c>
      <c r="C157" s="719">
        <v>1646203771</v>
      </c>
      <c r="D157" s="719">
        <v>22300901</v>
      </c>
      <c r="E157" s="719">
        <f t="shared" si="7"/>
        <v>1623902870</v>
      </c>
      <c r="F157" s="720">
        <v>24081698.3006</v>
      </c>
      <c r="G157" s="722">
        <v>55.301900000000003</v>
      </c>
      <c r="H157" s="722">
        <f t="shared" si="8"/>
        <v>67.433099999999996</v>
      </c>
      <c r="I157" s="723"/>
      <c r="K157" s="735"/>
    </row>
    <row r="158" spans="2:11">
      <c r="B158" s="718">
        <v>43797</v>
      </c>
      <c r="C158" s="719">
        <v>1640479518</v>
      </c>
      <c r="D158" s="719">
        <v>22438961</v>
      </c>
      <c r="E158" s="719">
        <f t="shared" si="7"/>
        <v>1618040557</v>
      </c>
      <c r="F158" s="720">
        <v>24079905.952799998</v>
      </c>
      <c r="G158" s="721">
        <v>55.3142</v>
      </c>
      <c r="H158" s="722">
        <f t="shared" si="8"/>
        <v>67.194599999999994</v>
      </c>
      <c r="I158" s="723">
        <f t="shared" ref="I158:I221" si="10">ROUND(G158-H158,2)</f>
        <v>-11.88</v>
      </c>
      <c r="K158" s="735"/>
    </row>
    <row r="159" spans="2:11">
      <c r="B159" s="718">
        <v>43798</v>
      </c>
      <c r="C159" s="719">
        <v>1639841754</v>
      </c>
      <c r="D159" s="719">
        <v>22536775</v>
      </c>
      <c r="E159" s="719">
        <f t="shared" si="7"/>
        <v>1617304979</v>
      </c>
      <c r="F159" s="720">
        <v>23881726.600499999</v>
      </c>
      <c r="G159" s="721">
        <v>55.329099999999997</v>
      </c>
      <c r="H159" s="722">
        <f t="shared" si="8"/>
        <v>67.721400000000003</v>
      </c>
      <c r="I159" s="723">
        <f t="shared" si="10"/>
        <v>-12.39</v>
      </c>
      <c r="K159" s="735"/>
    </row>
    <row r="160" spans="2:11">
      <c r="B160" s="718">
        <v>43799</v>
      </c>
      <c r="C160" s="719">
        <v>1642943631</v>
      </c>
      <c r="D160" s="719">
        <v>25118127</v>
      </c>
      <c r="E160" s="719">
        <f t="shared" si="7"/>
        <v>1617825504</v>
      </c>
      <c r="F160" s="720">
        <v>23881762.747900002</v>
      </c>
      <c r="G160" s="721">
        <v>55.341200000000001</v>
      </c>
      <c r="H160" s="722">
        <f t="shared" si="8"/>
        <v>67.743099999999998</v>
      </c>
      <c r="I160" s="723">
        <f t="shared" si="10"/>
        <v>-12.4</v>
      </c>
      <c r="K160" s="735"/>
    </row>
    <row r="161" spans="2:11">
      <c r="B161" s="718">
        <v>43800</v>
      </c>
      <c r="C161" s="719">
        <v>1643569907</v>
      </c>
      <c r="D161" s="719">
        <v>25216654</v>
      </c>
      <c r="E161" s="719">
        <f t="shared" si="7"/>
        <v>1618353253</v>
      </c>
      <c r="F161" s="720">
        <v>23881762.747900002</v>
      </c>
      <c r="G161" s="721">
        <v>55.352600000000002</v>
      </c>
      <c r="H161" s="722">
        <f t="shared" si="8"/>
        <v>67.765199999999993</v>
      </c>
      <c r="I161" s="723">
        <f t="shared" si="10"/>
        <v>-12.41</v>
      </c>
      <c r="K161" s="735"/>
    </row>
    <row r="162" spans="2:11">
      <c r="B162" s="718">
        <v>43801</v>
      </c>
      <c r="C162" s="719">
        <v>1625393309</v>
      </c>
      <c r="D162" s="719">
        <v>20441907</v>
      </c>
      <c r="E162" s="719">
        <f t="shared" si="7"/>
        <v>1604951402</v>
      </c>
      <c r="F162" s="720">
        <v>23881762.747900002</v>
      </c>
      <c r="G162" s="721">
        <v>55.365000000000002</v>
      </c>
      <c r="H162" s="722">
        <f t="shared" si="8"/>
        <v>67.204099999999997</v>
      </c>
      <c r="I162" s="723">
        <f t="shared" si="10"/>
        <v>-11.84</v>
      </c>
      <c r="K162" s="735"/>
    </row>
    <row r="163" spans="2:11">
      <c r="B163" s="718">
        <v>43802</v>
      </c>
      <c r="C163" s="719">
        <v>1626534320</v>
      </c>
      <c r="D163" s="719">
        <v>20542247</v>
      </c>
      <c r="E163" s="719">
        <f t="shared" si="7"/>
        <v>1605992073</v>
      </c>
      <c r="F163" s="720">
        <v>23955333.217</v>
      </c>
      <c r="G163" s="721">
        <v>55.345999999999997</v>
      </c>
      <c r="H163" s="722">
        <f t="shared" si="8"/>
        <v>67.0411</v>
      </c>
      <c r="I163" s="723">
        <f t="shared" si="10"/>
        <v>-11.7</v>
      </c>
      <c r="K163" s="735"/>
    </row>
    <row r="164" spans="2:11">
      <c r="B164" s="718">
        <v>43803</v>
      </c>
      <c r="C164" s="719">
        <v>1624993868</v>
      </c>
      <c r="D164" s="719">
        <v>20651453</v>
      </c>
      <c r="E164" s="719">
        <f t="shared" si="7"/>
        <v>1604342415</v>
      </c>
      <c r="F164" s="720">
        <v>23961116.016899999</v>
      </c>
      <c r="G164" s="721">
        <v>55.361800000000002</v>
      </c>
      <c r="H164" s="722">
        <f t="shared" si="8"/>
        <v>66.956100000000006</v>
      </c>
      <c r="I164" s="723">
        <f t="shared" si="10"/>
        <v>-11.59</v>
      </c>
      <c r="K164" s="735"/>
    </row>
    <row r="165" spans="2:11">
      <c r="B165" s="718">
        <v>43804</v>
      </c>
      <c r="C165" s="719">
        <v>1613420491</v>
      </c>
      <c r="D165" s="719">
        <v>20801239</v>
      </c>
      <c r="E165" s="719">
        <f t="shared" si="7"/>
        <v>1592619252</v>
      </c>
      <c r="F165" s="720">
        <v>24300029.3213</v>
      </c>
      <c r="G165" s="721">
        <v>55.368299999999998</v>
      </c>
      <c r="H165" s="722">
        <f t="shared" si="8"/>
        <v>65.5398</v>
      </c>
      <c r="I165" s="723">
        <f t="shared" si="10"/>
        <v>-10.17</v>
      </c>
      <c r="K165" s="735"/>
    </row>
    <row r="166" spans="2:11">
      <c r="B166" s="718">
        <v>43805</v>
      </c>
      <c r="C166" s="719">
        <v>1616334200</v>
      </c>
      <c r="D166" s="719">
        <v>20925387</v>
      </c>
      <c r="E166" s="719">
        <f t="shared" si="7"/>
        <v>1595408813</v>
      </c>
      <c r="F166" s="720">
        <v>24291596.612199999</v>
      </c>
      <c r="G166" s="721">
        <v>55.381</v>
      </c>
      <c r="H166" s="722">
        <f t="shared" si="8"/>
        <v>65.677400000000006</v>
      </c>
      <c r="I166" s="723">
        <f t="shared" si="10"/>
        <v>-10.3</v>
      </c>
      <c r="K166" s="735"/>
    </row>
    <row r="167" spans="2:11">
      <c r="B167" s="718">
        <v>43806</v>
      </c>
      <c r="C167" s="719">
        <v>1616449034</v>
      </c>
      <c r="D167" s="719">
        <v>21023112</v>
      </c>
      <c r="E167" s="719">
        <f t="shared" si="7"/>
        <v>1595425922</v>
      </c>
      <c r="F167" s="720">
        <v>24282388.139899999</v>
      </c>
      <c r="G167" s="721">
        <v>55.393799999999999</v>
      </c>
      <c r="H167" s="722">
        <f t="shared" si="8"/>
        <v>65.703000000000003</v>
      </c>
      <c r="I167" s="723">
        <f t="shared" si="10"/>
        <v>-10.31</v>
      </c>
      <c r="K167" s="735"/>
    </row>
    <row r="168" spans="2:11">
      <c r="B168" s="718">
        <v>43807</v>
      </c>
      <c r="C168" s="719">
        <v>1617043296</v>
      </c>
      <c r="D168" s="719">
        <v>21117329</v>
      </c>
      <c r="E168" s="719">
        <f t="shared" si="7"/>
        <v>1595925967</v>
      </c>
      <c r="F168" s="720">
        <v>24282388.139899999</v>
      </c>
      <c r="G168" s="721">
        <v>55.407200000000003</v>
      </c>
      <c r="H168" s="722">
        <f t="shared" si="8"/>
        <v>65.723600000000005</v>
      </c>
      <c r="I168" s="723">
        <f t="shared" si="10"/>
        <v>-10.32</v>
      </c>
      <c r="K168" s="735"/>
    </row>
    <row r="169" spans="2:11">
      <c r="B169" s="718">
        <v>43808</v>
      </c>
      <c r="C169" s="719">
        <v>1613258255</v>
      </c>
      <c r="D169" s="719">
        <v>21227847</v>
      </c>
      <c r="E169" s="719">
        <f t="shared" si="7"/>
        <v>1592030408</v>
      </c>
      <c r="F169" s="720">
        <v>24282388.139899999</v>
      </c>
      <c r="G169" s="721">
        <v>55.4206</v>
      </c>
      <c r="H169" s="722">
        <f t="shared" si="8"/>
        <v>65.563199999999995</v>
      </c>
      <c r="I169" s="723">
        <f t="shared" si="10"/>
        <v>-10.14</v>
      </c>
      <c r="K169" s="735"/>
    </row>
    <row r="170" spans="2:11">
      <c r="B170" s="718">
        <v>43809</v>
      </c>
      <c r="C170" s="719">
        <v>1612590329</v>
      </c>
      <c r="D170" s="719">
        <v>21347637</v>
      </c>
      <c r="E170" s="719">
        <f t="shared" si="7"/>
        <v>1591242692</v>
      </c>
      <c r="F170" s="720">
        <v>24295054.822299998</v>
      </c>
      <c r="G170" s="721">
        <v>55.433500000000002</v>
      </c>
      <c r="H170" s="722">
        <f t="shared" si="8"/>
        <v>65.496600000000001</v>
      </c>
      <c r="I170" s="723">
        <f t="shared" si="10"/>
        <v>-10.06</v>
      </c>
      <c r="K170" s="735"/>
    </row>
    <row r="171" spans="2:11">
      <c r="B171" s="718">
        <v>43810</v>
      </c>
      <c r="C171" s="719">
        <v>1606868167</v>
      </c>
      <c r="D171" s="719">
        <v>21462065</v>
      </c>
      <c r="E171" s="719">
        <f t="shared" si="7"/>
        <v>1585406102</v>
      </c>
      <c r="F171" s="720">
        <v>24279086.3246</v>
      </c>
      <c r="G171" s="721">
        <v>55.4482</v>
      </c>
      <c r="H171" s="722">
        <f t="shared" si="8"/>
        <v>65.299199999999999</v>
      </c>
      <c r="I171" s="723">
        <f t="shared" si="10"/>
        <v>-9.85</v>
      </c>
      <c r="K171" s="735"/>
    </row>
    <row r="172" spans="2:11">
      <c r="B172" s="718">
        <v>43811</v>
      </c>
      <c r="C172" s="719">
        <v>1676742420</v>
      </c>
      <c r="D172" s="719">
        <v>93703840</v>
      </c>
      <c r="E172" s="719">
        <f t="shared" si="7"/>
        <v>1583038580</v>
      </c>
      <c r="F172" s="720">
        <v>26314353.8455</v>
      </c>
      <c r="G172" s="721">
        <v>55.401400000000002</v>
      </c>
      <c r="H172" s="722">
        <f t="shared" si="8"/>
        <v>60.158700000000003</v>
      </c>
      <c r="I172" s="723">
        <f t="shared" si="10"/>
        <v>-4.76</v>
      </c>
      <c r="K172" s="735"/>
    </row>
    <row r="173" spans="2:11">
      <c r="B173" s="718">
        <v>43812</v>
      </c>
      <c r="C173" s="719">
        <v>1604619573</v>
      </c>
      <c r="D173" s="719">
        <v>21783498</v>
      </c>
      <c r="E173" s="719">
        <f t="shared" si="7"/>
        <v>1582836075</v>
      </c>
      <c r="F173" s="720">
        <v>26237345.823399998</v>
      </c>
      <c r="G173" s="721">
        <v>55.417999999999999</v>
      </c>
      <c r="H173" s="722">
        <f t="shared" si="8"/>
        <v>60.327599999999997</v>
      </c>
      <c r="I173" s="723">
        <f t="shared" si="10"/>
        <v>-4.91</v>
      </c>
      <c r="K173" s="735"/>
    </row>
    <row r="174" spans="2:11">
      <c r="B174" s="718">
        <v>43813</v>
      </c>
      <c r="C174" s="719">
        <v>1605159302</v>
      </c>
      <c r="D174" s="719">
        <v>21873242</v>
      </c>
      <c r="E174" s="719">
        <f t="shared" si="7"/>
        <v>1583286060</v>
      </c>
      <c r="F174" s="720">
        <v>27450572.261700001</v>
      </c>
      <c r="G174" s="721">
        <v>55.430900000000001</v>
      </c>
      <c r="H174" s="722">
        <f t="shared" si="8"/>
        <v>57.677700000000002</v>
      </c>
      <c r="I174" s="723">
        <f t="shared" si="10"/>
        <v>-2.25</v>
      </c>
      <c r="K174" s="735"/>
    </row>
    <row r="175" spans="2:11">
      <c r="B175" s="718">
        <v>43814</v>
      </c>
      <c r="C175" s="719">
        <v>1605723731</v>
      </c>
      <c r="D175" s="719">
        <v>21963451</v>
      </c>
      <c r="E175" s="719">
        <f t="shared" si="7"/>
        <v>1583760280</v>
      </c>
      <c r="F175" s="720">
        <v>27450572.261700001</v>
      </c>
      <c r="G175" s="721">
        <v>55.443199999999997</v>
      </c>
      <c r="H175" s="722">
        <f t="shared" si="8"/>
        <v>57.695</v>
      </c>
      <c r="I175" s="723">
        <f t="shared" si="10"/>
        <v>-2.25</v>
      </c>
      <c r="K175" s="735"/>
    </row>
    <row r="176" spans="2:11">
      <c r="B176" s="718">
        <v>43815</v>
      </c>
      <c r="C176" s="719">
        <v>1604338145</v>
      </c>
      <c r="D176" s="719">
        <v>22046502</v>
      </c>
      <c r="E176" s="719">
        <f t="shared" si="7"/>
        <v>1582291643</v>
      </c>
      <c r="F176" s="720">
        <v>27450572.261700001</v>
      </c>
      <c r="G176" s="721">
        <v>55.456699999999998</v>
      </c>
      <c r="H176" s="722">
        <f t="shared" si="8"/>
        <v>57.641500000000001</v>
      </c>
      <c r="I176" s="723">
        <f t="shared" si="10"/>
        <v>-2.1800000000000002</v>
      </c>
      <c r="K176" s="735"/>
    </row>
    <row r="177" spans="2:11">
      <c r="B177" s="718">
        <v>43816</v>
      </c>
      <c r="C177" s="719">
        <v>1663624252</v>
      </c>
      <c r="D177" s="719">
        <v>98704415</v>
      </c>
      <c r="E177" s="719">
        <f t="shared" si="7"/>
        <v>1564919837</v>
      </c>
      <c r="F177" s="720">
        <v>27478191.392499998</v>
      </c>
      <c r="G177" s="721">
        <v>55.534599999999998</v>
      </c>
      <c r="H177" s="722">
        <f t="shared" si="8"/>
        <v>56.951300000000003</v>
      </c>
      <c r="I177" s="723">
        <f t="shared" si="10"/>
        <v>-1.42</v>
      </c>
      <c r="K177" s="735"/>
    </row>
    <row r="178" spans="2:11">
      <c r="B178" s="718">
        <v>43817</v>
      </c>
      <c r="C178" s="719">
        <v>1556196720</v>
      </c>
      <c r="D178" s="719">
        <v>22462212</v>
      </c>
      <c r="E178" s="719">
        <f t="shared" si="7"/>
        <v>1533734508</v>
      </c>
      <c r="F178" s="720">
        <v>27460640.481800001</v>
      </c>
      <c r="G178" s="721">
        <v>55.547800000000002</v>
      </c>
      <c r="H178" s="722">
        <f t="shared" si="8"/>
        <v>55.8521</v>
      </c>
      <c r="I178" s="723">
        <f t="shared" si="10"/>
        <v>-0.3</v>
      </c>
      <c r="K178" s="735"/>
    </row>
    <row r="179" spans="2:11">
      <c r="B179" s="718">
        <v>43818</v>
      </c>
      <c r="C179" s="719">
        <v>1556230618</v>
      </c>
      <c r="D179" s="719">
        <v>22546258</v>
      </c>
      <c r="E179" s="719">
        <f t="shared" si="7"/>
        <v>1533684360</v>
      </c>
      <c r="F179" s="720">
        <v>27461790.966499999</v>
      </c>
      <c r="G179" s="721">
        <v>55.561300000000003</v>
      </c>
      <c r="H179" s="722">
        <f t="shared" si="8"/>
        <v>55.847900000000003</v>
      </c>
      <c r="I179" s="723">
        <f t="shared" si="10"/>
        <v>-0.28999999999999998</v>
      </c>
      <c r="K179" s="735"/>
    </row>
    <row r="180" spans="2:11">
      <c r="B180" s="718">
        <v>43819</v>
      </c>
      <c r="C180" s="719">
        <v>1666828539</v>
      </c>
      <c r="D180" s="719">
        <v>119794721</v>
      </c>
      <c r="E180" s="719">
        <f t="shared" si="7"/>
        <v>1547033818</v>
      </c>
      <c r="F180" s="720">
        <v>27364159.276799999</v>
      </c>
      <c r="G180" s="721">
        <v>55.575000000000003</v>
      </c>
      <c r="H180" s="722">
        <f t="shared" si="8"/>
        <v>56.534999999999997</v>
      </c>
      <c r="I180" s="723">
        <f t="shared" si="10"/>
        <v>-0.96</v>
      </c>
      <c r="K180" s="735"/>
    </row>
    <row r="181" spans="2:11">
      <c r="B181" s="718">
        <v>43820</v>
      </c>
      <c r="C181" s="719">
        <v>1667394601</v>
      </c>
      <c r="D181" s="719">
        <v>119883559</v>
      </c>
      <c r="E181" s="719">
        <f t="shared" si="7"/>
        <v>1547511042</v>
      </c>
      <c r="F181" s="720">
        <v>27211448.851599999</v>
      </c>
      <c r="G181" s="721">
        <v>55.5884</v>
      </c>
      <c r="H181" s="722">
        <f t="shared" si="8"/>
        <v>56.869900000000001</v>
      </c>
      <c r="I181" s="723">
        <f t="shared" si="10"/>
        <v>-1.28</v>
      </c>
      <c r="K181" s="735"/>
    </row>
    <row r="182" spans="2:11">
      <c r="B182" s="718">
        <v>43821</v>
      </c>
      <c r="C182" s="719">
        <v>1667959942</v>
      </c>
      <c r="D182" s="719">
        <v>119973565</v>
      </c>
      <c r="E182" s="719">
        <f t="shared" si="7"/>
        <v>1547986377</v>
      </c>
      <c r="F182" s="720">
        <v>27211448.851599999</v>
      </c>
      <c r="G182" s="721">
        <v>55.601300000000002</v>
      </c>
      <c r="H182" s="722">
        <f t="shared" si="8"/>
        <v>56.887300000000003</v>
      </c>
      <c r="I182" s="723">
        <f t="shared" si="10"/>
        <v>-1.29</v>
      </c>
      <c r="K182" s="735"/>
    </row>
    <row r="183" spans="2:11">
      <c r="B183" s="718">
        <v>43822</v>
      </c>
      <c r="C183" s="719">
        <v>1571217547</v>
      </c>
      <c r="D183" s="719">
        <v>22853894</v>
      </c>
      <c r="E183" s="719">
        <f t="shared" si="7"/>
        <v>1548363653</v>
      </c>
      <c r="F183" s="720">
        <v>27211448.851599999</v>
      </c>
      <c r="G183" s="721">
        <v>55.614899999999999</v>
      </c>
      <c r="H183" s="722">
        <f t="shared" si="8"/>
        <v>56.901200000000003</v>
      </c>
      <c r="I183" s="723">
        <f t="shared" si="10"/>
        <v>-1.29</v>
      </c>
      <c r="K183" s="735"/>
    </row>
    <row r="184" spans="2:11">
      <c r="B184" s="718">
        <v>43823</v>
      </c>
      <c r="C184" s="719">
        <v>1574733207</v>
      </c>
      <c r="D184" s="719">
        <v>22432869</v>
      </c>
      <c r="E184" s="719">
        <f t="shared" si="7"/>
        <v>1552300338</v>
      </c>
      <c r="F184" s="720">
        <v>27205989.342599999</v>
      </c>
      <c r="G184" s="721">
        <v>55.6282</v>
      </c>
      <c r="H184" s="722">
        <f t="shared" si="8"/>
        <v>57.057299999999998</v>
      </c>
      <c r="I184" s="723">
        <f t="shared" si="10"/>
        <v>-1.43</v>
      </c>
      <c r="K184" s="735"/>
    </row>
    <row r="185" spans="2:11">
      <c r="B185" s="718">
        <v>43824</v>
      </c>
      <c r="C185" s="719">
        <v>1575288526</v>
      </c>
      <c r="D185" s="719">
        <v>22521886</v>
      </c>
      <c r="E185" s="719">
        <f t="shared" si="7"/>
        <v>1552766640</v>
      </c>
      <c r="F185" s="720">
        <v>27205989.342599999</v>
      </c>
      <c r="G185" s="721">
        <v>55.6417</v>
      </c>
      <c r="H185" s="722">
        <f t="shared" si="8"/>
        <v>57.074399999999997</v>
      </c>
      <c r="I185" s="723">
        <f t="shared" si="10"/>
        <v>-1.43</v>
      </c>
      <c r="K185" s="735"/>
    </row>
    <row r="186" spans="2:11">
      <c r="B186" s="718">
        <v>43825</v>
      </c>
      <c r="C186" s="719">
        <v>1575422747</v>
      </c>
      <c r="D186" s="719">
        <v>22500650</v>
      </c>
      <c r="E186" s="719">
        <f t="shared" si="7"/>
        <v>1552922097</v>
      </c>
      <c r="F186" s="720">
        <v>23597525.727200001</v>
      </c>
      <c r="G186" s="721">
        <v>55.659599999999998</v>
      </c>
      <c r="H186" s="722">
        <f t="shared" si="8"/>
        <v>65.808700000000002</v>
      </c>
      <c r="I186" s="723">
        <f t="shared" si="10"/>
        <v>-10.15</v>
      </c>
      <c r="K186" s="735"/>
    </row>
    <row r="187" spans="2:11">
      <c r="B187" s="718">
        <v>43826</v>
      </c>
      <c r="C187" s="719">
        <v>1571859716</v>
      </c>
      <c r="D187" s="719">
        <v>22205469</v>
      </c>
      <c r="E187" s="719">
        <f t="shared" si="7"/>
        <v>1549654247</v>
      </c>
      <c r="F187" s="720">
        <v>27692327.673099998</v>
      </c>
      <c r="G187" s="721">
        <v>55.671599999999998</v>
      </c>
      <c r="H187" s="722">
        <f t="shared" si="8"/>
        <v>55.959699999999998</v>
      </c>
      <c r="I187" s="723">
        <f t="shared" si="10"/>
        <v>-0.28999999999999998</v>
      </c>
      <c r="K187" s="735"/>
    </row>
    <row r="188" spans="2:11">
      <c r="B188" s="718">
        <v>43827</v>
      </c>
      <c r="C188" s="719">
        <v>1572409257</v>
      </c>
      <c r="D188" s="719">
        <v>22295304</v>
      </c>
      <c r="E188" s="719">
        <f t="shared" si="7"/>
        <v>1550113953</v>
      </c>
      <c r="F188" s="720">
        <v>27775851.448199999</v>
      </c>
      <c r="G188" s="721">
        <v>55.6751</v>
      </c>
      <c r="H188" s="722">
        <f t="shared" si="8"/>
        <v>55.808</v>
      </c>
      <c r="I188" s="723">
        <f t="shared" si="10"/>
        <v>-0.13</v>
      </c>
      <c r="K188" s="735"/>
    </row>
    <row r="189" spans="2:11">
      <c r="B189" s="718">
        <v>43828</v>
      </c>
      <c r="C189" s="719">
        <v>1572971100</v>
      </c>
      <c r="D189" s="719">
        <v>22384879</v>
      </c>
      <c r="E189" s="719">
        <f t="shared" si="7"/>
        <v>1550586221</v>
      </c>
      <c r="F189" s="720">
        <v>27775851.448199999</v>
      </c>
      <c r="G189" s="721">
        <v>55.6877</v>
      </c>
      <c r="H189" s="722">
        <f t="shared" si="8"/>
        <v>55.825000000000003</v>
      </c>
      <c r="I189" s="723">
        <f t="shared" si="10"/>
        <v>-0.14000000000000001</v>
      </c>
      <c r="K189" s="735"/>
    </row>
    <row r="190" spans="2:11">
      <c r="B190" s="718">
        <v>43829</v>
      </c>
      <c r="C190" s="719">
        <v>1867461187</v>
      </c>
      <c r="D190" s="719">
        <v>313433255</v>
      </c>
      <c r="E190" s="719">
        <f t="shared" si="7"/>
        <v>1554027932</v>
      </c>
      <c r="F190" s="720">
        <v>27775851.448199999</v>
      </c>
      <c r="G190" s="721">
        <v>55.7012</v>
      </c>
      <c r="H190" s="722">
        <f t="shared" si="8"/>
        <v>55.948900000000002</v>
      </c>
      <c r="I190" s="723">
        <f t="shared" si="10"/>
        <v>-0.25</v>
      </c>
      <c r="K190" s="735"/>
    </row>
    <row r="191" spans="2:11">
      <c r="B191" s="718">
        <v>43830</v>
      </c>
      <c r="C191" s="719">
        <v>1867218866</v>
      </c>
      <c r="D191" s="719">
        <v>313527021</v>
      </c>
      <c r="E191" s="719">
        <f t="shared" si="7"/>
        <v>1553691845</v>
      </c>
      <c r="F191" s="720">
        <v>26947311.889800001</v>
      </c>
      <c r="G191" s="721">
        <v>55.718499999999999</v>
      </c>
      <c r="H191" s="722">
        <f t="shared" si="8"/>
        <v>57.656700000000001</v>
      </c>
      <c r="I191" s="723">
        <f t="shared" si="10"/>
        <v>-1.94</v>
      </c>
      <c r="K191" s="735"/>
    </row>
    <row r="192" spans="2:11">
      <c r="B192" s="718">
        <v>43831</v>
      </c>
      <c r="C192" s="719">
        <v>1859865694</v>
      </c>
      <c r="D192" s="719">
        <v>313290183</v>
      </c>
      <c r="E192" s="719">
        <f t="shared" si="7"/>
        <v>1546575511</v>
      </c>
      <c r="F192" s="720">
        <v>26947311.889699999</v>
      </c>
      <c r="G192" s="721">
        <v>55.731999999999999</v>
      </c>
      <c r="H192" s="722">
        <f t="shared" si="8"/>
        <v>57.392600000000002</v>
      </c>
      <c r="I192" s="723">
        <f t="shared" si="10"/>
        <v>-1.66</v>
      </c>
      <c r="K192" s="735"/>
    </row>
    <row r="193" spans="2:11">
      <c r="B193" s="718">
        <v>43832</v>
      </c>
      <c r="C193" s="719">
        <v>1993013488</v>
      </c>
      <c r="D193" s="719">
        <v>446254535</v>
      </c>
      <c r="E193" s="719">
        <f t="shared" si="7"/>
        <v>1546758953</v>
      </c>
      <c r="F193" s="720">
        <v>26979804.073899999</v>
      </c>
      <c r="G193" s="721">
        <v>55.744999999999997</v>
      </c>
      <c r="H193" s="722">
        <f t="shared" si="8"/>
        <v>57.330300000000001</v>
      </c>
      <c r="I193" s="723">
        <f t="shared" si="10"/>
        <v>-1.59</v>
      </c>
      <c r="K193" s="735"/>
    </row>
    <row r="194" spans="2:11">
      <c r="B194" s="718">
        <v>43833</v>
      </c>
      <c r="C194" s="719">
        <v>1969608211</v>
      </c>
      <c r="D194" s="719">
        <v>446383736</v>
      </c>
      <c r="E194" s="719">
        <f t="shared" si="7"/>
        <v>1523224475</v>
      </c>
      <c r="F194" s="720">
        <v>27399990.4714</v>
      </c>
      <c r="G194" s="721">
        <v>55.758099999999999</v>
      </c>
      <c r="H194" s="722">
        <f t="shared" si="8"/>
        <v>55.592199999999998</v>
      </c>
      <c r="I194" s="723">
        <f t="shared" si="10"/>
        <v>0.17</v>
      </c>
      <c r="K194" s="735"/>
    </row>
    <row r="195" spans="2:11">
      <c r="B195" s="718">
        <v>43834</v>
      </c>
      <c r="C195" s="719">
        <v>1970117683</v>
      </c>
      <c r="D195" s="719">
        <v>446466644</v>
      </c>
      <c r="E195" s="719">
        <f t="shared" si="7"/>
        <v>1523651039</v>
      </c>
      <c r="F195" s="720">
        <v>27405642.1252</v>
      </c>
      <c r="G195" s="721">
        <v>55.771500000000003</v>
      </c>
      <c r="H195" s="722">
        <f t="shared" si="8"/>
        <v>55.596299999999999</v>
      </c>
      <c r="I195" s="723">
        <f t="shared" si="10"/>
        <v>0.18</v>
      </c>
      <c r="K195" s="735"/>
    </row>
    <row r="196" spans="2:11">
      <c r="B196" s="718">
        <v>43835</v>
      </c>
      <c r="C196" s="719">
        <v>1970656370</v>
      </c>
      <c r="D196" s="719">
        <v>446552843</v>
      </c>
      <c r="E196" s="719">
        <f t="shared" si="7"/>
        <v>1524103527</v>
      </c>
      <c r="F196" s="720">
        <v>27405642.1252</v>
      </c>
      <c r="G196" s="721">
        <v>55.784799999999997</v>
      </c>
      <c r="H196" s="722">
        <f t="shared" si="8"/>
        <v>55.6128</v>
      </c>
      <c r="I196" s="723">
        <f t="shared" si="10"/>
        <v>0.17</v>
      </c>
      <c r="K196" s="735"/>
    </row>
    <row r="197" spans="2:11">
      <c r="B197" s="718">
        <v>43836</v>
      </c>
      <c r="C197" s="719">
        <v>1972666766</v>
      </c>
      <c r="D197" s="719">
        <v>446622932</v>
      </c>
      <c r="E197" s="719">
        <f t="shared" si="7"/>
        <v>1526043834</v>
      </c>
      <c r="F197" s="720">
        <v>27405642.1252</v>
      </c>
      <c r="G197" s="721">
        <v>55.798200000000001</v>
      </c>
      <c r="H197" s="722">
        <f t="shared" si="8"/>
        <v>55.683599999999998</v>
      </c>
      <c r="I197" s="723">
        <f t="shared" si="10"/>
        <v>0.11</v>
      </c>
      <c r="K197" s="735"/>
    </row>
    <row r="198" spans="2:11">
      <c r="B198" s="718">
        <v>43837</v>
      </c>
      <c r="C198" s="719">
        <v>1982184874</v>
      </c>
      <c r="D198" s="719">
        <v>444496954</v>
      </c>
      <c r="E198" s="719">
        <f t="shared" si="7"/>
        <v>1537687920</v>
      </c>
      <c r="F198" s="720">
        <v>27401639.162</v>
      </c>
      <c r="G198" s="721">
        <v>55.813000000000002</v>
      </c>
      <c r="H198" s="722">
        <f t="shared" si="8"/>
        <v>56.116599999999998</v>
      </c>
      <c r="I198" s="723">
        <f t="shared" si="10"/>
        <v>-0.3</v>
      </c>
      <c r="K198" s="735"/>
    </row>
    <row r="199" spans="2:11">
      <c r="B199" s="718">
        <v>43838</v>
      </c>
      <c r="C199" s="719">
        <v>1864582029</v>
      </c>
      <c r="D199" s="719">
        <v>345436604</v>
      </c>
      <c r="E199" s="719">
        <f t="shared" si="7"/>
        <v>1519145425</v>
      </c>
      <c r="F199" s="720">
        <v>27365080.2766</v>
      </c>
      <c r="G199" s="721">
        <v>55.825499999999998</v>
      </c>
      <c r="H199" s="722">
        <f t="shared" si="8"/>
        <v>55.514000000000003</v>
      </c>
      <c r="I199" s="723">
        <f t="shared" si="10"/>
        <v>0.31</v>
      </c>
      <c r="K199" s="735"/>
    </row>
    <row r="200" spans="2:11">
      <c r="B200" s="718">
        <v>43839</v>
      </c>
      <c r="C200" s="719">
        <v>1870883887</v>
      </c>
      <c r="D200" s="719">
        <v>345751492</v>
      </c>
      <c r="E200" s="719">
        <f t="shared" ref="E200:E263" si="11">C200-D200</f>
        <v>1525132395</v>
      </c>
      <c r="F200" s="720">
        <v>27350832.4463</v>
      </c>
      <c r="G200" s="721">
        <v>55.838000000000001</v>
      </c>
      <c r="H200" s="722">
        <f t="shared" si="8"/>
        <v>55.761800000000001</v>
      </c>
      <c r="I200" s="723">
        <f t="shared" si="10"/>
        <v>0.08</v>
      </c>
      <c r="K200" s="735"/>
    </row>
    <row r="201" spans="2:11">
      <c r="B201" s="718">
        <v>43840</v>
      </c>
      <c r="C201" s="719">
        <v>1855999013</v>
      </c>
      <c r="D201" s="719">
        <v>345840804</v>
      </c>
      <c r="E201" s="719">
        <f t="shared" si="11"/>
        <v>1510158209</v>
      </c>
      <c r="F201" s="720">
        <v>27355059.873300001</v>
      </c>
      <c r="G201" s="721">
        <v>55.851799999999997</v>
      </c>
      <c r="H201" s="722">
        <f t="shared" ref="H201:H264" si="12">ROUND(E201/F201,4)</f>
        <v>55.205800000000004</v>
      </c>
      <c r="I201" s="723">
        <f t="shared" si="10"/>
        <v>0.65</v>
      </c>
      <c r="K201" s="735"/>
    </row>
    <row r="202" spans="2:11">
      <c r="B202" s="718">
        <v>43841</v>
      </c>
      <c r="C202" s="719">
        <v>1856526171</v>
      </c>
      <c r="D202" s="719">
        <v>345925374</v>
      </c>
      <c r="E202" s="719">
        <f t="shared" si="11"/>
        <v>1510600797</v>
      </c>
      <c r="F202" s="720">
        <v>27432612.603700001</v>
      </c>
      <c r="G202" s="721">
        <v>55.865200000000002</v>
      </c>
      <c r="H202" s="722">
        <f t="shared" si="12"/>
        <v>55.065899999999999</v>
      </c>
      <c r="I202" s="723">
        <f t="shared" si="10"/>
        <v>0.8</v>
      </c>
      <c r="K202" s="735"/>
    </row>
    <row r="203" spans="2:11">
      <c r="B203" s="718">
        <v>43842</v>
      </c>
      <c r="C203" s="719">
        <v>1857053679</v>
      </c>
      <c r="D203" s="719">
        <v>346009996</v>
      </c>
      <c r="E203" s="719">
        <f t="shared" si="11"/>
        <v>1511043683</v>
      </c>
      <c r="F203" s="720">
        <v>27432612.603700001</v>
      </c>
      <c r="G203" s="721">
        <v>55.878900000000002</v>
      </c>
      <c r="H203" s="722">
        <f t="shared" si="12"/>
        <v>55.082000000000001</v>
      </c>
      <c r="I203" s="723">
        <f t="shared" si="10"/>
        <v>0.8</v>
      </c>
      <c r="K203" s="735"/>
    </row>
    <row r="204" spans="2:11">
      <c r="B204" s="718">
        <v>43843</v>
      </c>
      <c r="C204" s="719">
        <v>1854781082</v>
      </c>
      <c r="D204" s="719">
        <v>344581472</v>
      </c>
      <c r="E204" s="719">
        <f t="shared" si="11"/>
        <v>1510199610</v>
      </c>
      <c r="F204" s="720">
        <v>27432612.603700001</v>
      </c>
      <c r="G204" s="721">
        <v>55.892499999999998</v>
      </c>
      <c r="H204" s="722">
        <f t="shared" si="12"/>
        <v>55.051200000000001</v>
      </c>
      <c r="I204" s="723">
        <f t="shared" si="10"/>
        <v>0.84</v>
      </c>
      <c r="K204" s="735"/>
    </row>
    <row r="205" spans="2:11">
      <c r="B205" s="718">
        <v>43844</v>
      </c>
      <c r="C205" s="719">
        <v>1632067825</v>
      </c>
      <c r="D205" s="719">
        <v>121225516</v>
      </c>
      <c r="E205" s="719">
        <f t="shared" si="11"/>
        <v>1510842309</v>
      </c>
      <c r="F205" s="720">
        <v>27474066.543200001</v>
      </c>
      <c r="G205" s="721">
        <v>55.900500000000001</v>
      </c>
      <c r="H205" s="722">
        <f t="shared" si="12"/>
        <v>54.991599999999998</v>
      </c>
      <c r="I205" s="723">
        <f t="shared" si="10"/>
        <v>0.91</v>
      </c>
      <c r="K205" s="735"/>
    </row>
    <row r="206" spans="2:11">
      <c r="B206" s="718">
        <v>43845</v>
      </c>
      <c r="C206" s="719">
        <v>1632148215</v>
      </c>
      <c r="D206" s="719">
        <v>121347210</v>
      </c>
      <c r="E206" s="719">
        <f t="shared" si="11"/>
        <v>1510801005</v>
      </c>
      <c r="F206" s="720">
        <v>27711056.217900001</v>
      </c>
      <c r="G206" s="721">
        <v>55.913400000000003</v>
      </c>
      <c r="H206" s="722">
        <f t="shared" si="12"/>
        <v>54.519799999999996</v>
      </c>
      <c r="I206" s="723">
        <f t="shared" si="10"/>
        <v>1.39</v>
      </c>
      <c r="K206" s="735"/>
    </row>
    <row r="207" spans="2:11">
      <c r="B207" s="718">
        <v>43846</v>
      </c>
      <c r="C207" s="719">
        <v>1629836254</v>
      </c>
      <c r="D207" s="719">
        <v>121459179</v>
      </c>
      <c r="E207" s="719">
        <f t="shared" si="11"/>
        <v>1508377075</v>
      </c>
      <c r="F207" s="720">
        <v>27737821.879000001</v>
      </c>
      <c r="G207" s="721">
        <v>55.927300000000002</v>
      </c>
      <c r="H207" s="722">
        <f t="shared" si="12"/>
        <v>54.379800000000003</v>
      </c>
      <c r="I207" s="723">
        <f t="shared" si="10"/>
        <v>1.55</v>
      </c>
      <c r="K207" s="735"/>
    </row>
    <row r="208" spans="2:11">
      <c r="B208" s="718">
        <v>43847</v>
      </c>
      <c r="C208" s="719">
        <v>1630338544</v>
      </c>
      <c r="D208" s="719">
        <v>121425849</v>
      </c>
      <c r="E208" s="719">
        <f t="shared" si="11"/>
        <v>1508912695</v>
      </c>
      <c r="F208" s="720">
        <v>27748260.752300002</v>
      </c>
      <c r="G208" s="721">
        <v>55.941200000000002</v>
      </c>
      <c r="H208" s="722">
        <f t="shared" si="12"/>
        <v>54.378599999999999</v>
      </c>
      <c r="I208" s="723">
        <f t="shared" si="10"/>
        <v>1.56</v>
      </c>
      <c r="K208" s="735"/>
    </row>
    <row r="209" spans="2:11">
      <c r="B209" s="718">
        <v>43848</v>
      </c>
      <c r="C209" s="719">
        <v>1634166544</v>
      </c>
      <c r="D209" s="719">
        <v>121515004</v>
      </c>
      <c r="E209" s="719">
        <f t="shared" si="11"/>
        <v>1512651540</v>
      </c>
      <c r="F209" s="720">
        <v>27472030.597399998</v>
      </c>
      <c r="G209" s="721">
        <v>55.953800000000001</v>
      </c>
      <c r="H209" s="722">
        <f t="shared" si="12"/>
        <v>55.061500000000002</v>
      </c>
      <c r="I209" s="723">
        <f t="shared" si="10"/>
        <v>0.89</v>
      </c>
      <c r="K209" s="735"/>
    </row>
    <row r="210" spans="2:11">
      <c r="B210" s="718">
        <v>43849</v>
      </c>
      <c r="C210" s="719">
        <v>1634703324</v>
      </c>
      <c r="D210" s="719">
        <v>121603761</v>
      </c>
      <c r="E210" s="719">
        <f t="shared" si="11"/>
        <v>1513099563</v>
      </c>
      <c r="F210" s="720">
        <v>27472030.597399998</v>
      </c>
      <c r="G210" s="721">
        <v>55.966700000000003</v>
      </c>
      <c r="H210" s="722">
        <f t="shared" si="12"/>
        <v>55.077800000000003</v>
      </c>
      <c r="I210" s="723">
        <f t="shared" si="10"/>
        <v>0.89</v>
      </c>
      <c r="K210" s="735"/>
    </row>
    <row r="211" spans="2:11">
      <c r="B211" s="718">
        <v>43850</v>
      </c>
      <c r="C211" s="719">
        <v>2086660929</v>
      </c>
      <c r="D211" s="719">
        <v>570935458</v>
      </c>
      <c r="E211" s="719">
        <f t="shared" si="11"/>
        <v>1515725471</v>
      </c>
      <c r="F211" s="720">
        <v>27472030.597399998</v>
      </c>
      <c r="G211" s="721">
        <v>55.980200000000004</v>
      </c>
      <c r="H211" s="722">
        <f t="shared" si="12"/>
        <v>55.173400000000001</v>
      </c>
      <c r="I211" s="723">
        <f t="shared" si="10"/>
        <v>0.81</v>
      </c>
      <c r="K211" s="735"/>
    </row>
    <row r="212" spans="2:11">
      <c r="B212" s="718">
        <v>43851</v>
      </c>
      <c r="C212" s="719">
        <v>2087372801</v>
      </c>
      <c r="D212" s="719">
        <v>571003500</v>
      </c>
      <c r="E212" s="719">
        <f t="shared" si="11"/>
        <v>1516369301</v>
      </c>
      <c r="F212" s="720">
        <v>27193292.026999999</v>
      </c>
      <c r="G212" s="721">
        <v>55.9938</v>
      </c>
      <c r="H212" s="722">
        <f t="shared" si="12"/>
        <v>55.762599999999999</v>
      </c>
      <c r="I212" s="723">
        <f t="shared" si="10"/>
        <v>0.23</v>
      </c>
      <c r="K212" s="735"/>
    </row>
    <row r="213" spans="2:11">
      <c r="B213" s="718">
        <v>43852</v>
      </c>
      <c r="C213" s="719">
        <v>2090545616</v>
      </c>
      <c r="D213" s="719">
        <v>571079050</v>
      </c>
      <c r="E213" s="719">
        <f t="shared" si="11"/>
        <v>1519466566</v>
      </c>
      <c r="F213" s="720">
        <v>27274187.530200001</v>
      </c>
      <c r="G213" s="721">
        <v>56.007399999999997</v>
      </c>
      <c r="H213" s="722">
        <f t="shared" si="12"/>
        <v>55.710799999999999</v>
      </c>
      <c r="I213" s="723">
        <f t="shared" si="10"/>
        <v>0.3</v>
      </c>
      <c r="K213" s="735"/>
    </row>
    <row r="214" spans="2:11">
      <c r="B214" s="718">
        <v>43853</v>
      </c>
      <c r="C214" s="719">
        <v>2096313791</v>
      </c>
      <c r="D214" s="719">
        <v>571213544</v>
      </c>
      <c r="E214" s="719">
        <f t="shared" si="11"/>
        <v>1525100247</v>
      </c>
      <c r="F214" s="720">
        <v>27073681.274799999</v>
      </c>
      <c r="G214" s="721">
        <v>56.0837</v>
      </c>
      <c r="H214" s="722">
        <f t="shared" si="12"/>
        <v>56.331499999999998</v>
      </c>
      <c r="I214" s="723">
        <f t="shared" si="10"/>
        <v>-0.25</v>
      </c>
      <c r="K214" s="735"/>
    </row>
    <row r="215" spans="2:11">
      <c r="B215" s="718">
        <v>43854</v>
      </c>
      <c r="C215" s="719">
        <v>1548836417</v>
      </c>
      <c r="D215" s="719">
        <v>22504678</v>
      </c>
      <c r="E215" s="719">
        <f t="shared" si="11"/>
        <v>1526331739</v>
      </c>
      <c r="F215" s="720">
        <v>27064251.212400001</v>
      </c>
      <c r="G215" s="721">
        <v>56.097200000000001</v>
      </c>
      <c r="H215" s="722">
        <f t="shared" si="12"/>
        <v>56.396599999999999</v>
      </c>
      <c r="I215" s="723">
        <f t="shared" si="10"/>
        <v>-0.3</v>
      </c>
      <c r="K215" s="735"/>
    </row>
    <row r="216" spans="2:11">
      <c r="B216" s="718">
        <v>43855</v>
      </c>
      <c r="C216" s="719">
        <v>1549405767</v>
      </c>
      <c r="D216" s="719">
        <v>22595076</v>
      </c>
      <c r="E216" s="719">
        <f t="shared" si="11"/>
        <v>1526810691</v>
      </c>
      <c r="F216" s="720">
        <v>27098858.327399999</v>
      </c>
      <c r="G216" s="721">
        <v>56.110999999999997</v>
      </c>
      <c r="H216" s="722">
        <f t="shared" si="12"/>
        <v>56.342300000000002</v>
      </c>
      <c r="I216" s="723">
        <f t="shared" si="10"/>
        <v>-0.23</v>
      </c>
      <c r="K216" s="735"/>
    </row>
    <row r="217" spans="2:11">
      <c r="B217" s="718">
        <v>43856</v>
      </c>
      <c r="C217" s="719">
        <v>1549985401</v>
      </c>
      <c r="D217" s="719">
        <v>22686822</v>
      </c>
      <c r="E217" s="719">
        <f t="shared" si="11"/>
        <v>1527298579</v>
      </c>
      <c r="F217" s="720">
        <v>27098858.327399999</v>
      </c>
      <c r="G217" s="721">
        <v>56.124899999999997</v>
      </c>
      <c r="H217" s="722">
        <f t="shared" si="12"/>
        <v>56.360300000000002</v>
      </c>
      <c r="I217" s="723">
        <f t="shared" si="10"/>
        <v>-0.24</v>
      </c>
      <c r="K217" s="735"/>
    </row>
    <row r="218" spans="2:11">
      <c r="B218" s="718">
        <v>43857</v>
      </c>
      <c r="C218" s="719">
        <v>1550466722</v>
      </c>
      <c r="D218" s="719">
        <v>22778661</v>
      </c>
      <c r="E218" s="719">
        <f t="shared" si="11"/>
        <v>1527688061</v>
      </c>
      <c r="F218" s="720">
        <v>27098858.327399999</v>
      </c>
      <c r="G218" s="721">
        <v>56.138500000000001</v>
      </c>
      <c r="H218" s="722">
        <f t="shared" si="12"/>
        <v>56.374600000000001</v>
      </c>
      <c r="I218" s="723">
        <f t="shared" si="10"/>
        <v>-0.24</v>
      </c>
      <c r="K218" s="735"/>
    </row>
    <row r="219" spans="2:11">
      <c r="B219" s="718">
        <v>43858</v>
      </c>
      <c r="C219" s="719">
        <v>1558364873</v>
      </c>
      <c r="D219" s="719">
        <v>23094288</v>
      </c>
      <c r="E219" s="719">
        <f t="shared" si="11"/>
        <v>1535270585</v>
      </c>
      <c r="F219" s="720">
        <v>27137913.580800001</v>
      </c>
      <c r="G219" s="721">
        <v>56.068800000000003</v>
      </c>
      <c r="H219" s="722">
        <f t="shared" si="12"/>
        <v>56.572899999999997</v>
      </c>
      <c r="I219" s="723">
        <f t="shared" si="10"/>
        <v>-0.5</v>
      </c>
      <c r="K219" s="735"/>
    </row>
    <row r="220" spans="2:11">
      <c r="B220" s="718">
        <v>43859</v>
      </c>
      <c r="C220" s="719">
        <v>1560013330</v>
      </c>
      <c r="D220" s="719">
        <v>23193321</v>
      </c>
      <c r="E220" s="719">
        <f t="shared" si="11"/>
        <v>1536820009</v>
      </c>
      <c r="F220" s="720">
        <v>27072575.233800001</v>
      </c>
      <c r="G220" s="721">
        <v>56.082999999999998</v>
      </c>
      <c r="H220" s="722">
        <f t="shared" si="12"/>
        <v>56.7667</v>
      </c>
      <c r="I220" s="723">
        <f t="shared" si="10"/>
        <v>-0.68</v>
      </c>
      <c r="K220" s="735"/>
    </row>
    <row r="221" spans="2:11">
      <c r="B221" s="718">
        <v>43860</v>
      </c>
      <c r="C221" s="719">
        <v>2576836939</v>
      </c>
      <c r="D221" s="719">
        <v>1042511793</v>
      </c>
      <c r="E221" s="719">
        <f t="shared" si="11"/>
        <v>1534325146</v>
      </c>
      <c r="F221" s="720">
        <v>27149824.6096</v>
      </c>
      <c r="G221" s="721">
        <v>56.096499999999999</v>
      </c>
      <c r="H221" s="722">
        <f t="shared" si="12"/>
        <v>56.513300000000001</v>
      </c>
      <c r="I221" s="723">
        <f t="shared" si="10"/>
        <v>-0.42</v>
      </c>
      <c r="K221" s="735"/>
    </row>
    <row r="222" spans="2:11">
      <c r="B222" s="718">
        <v>43861</v>
      </c>
      <c r="C222" s="719">
        <v>1857600470</v>
      </c>
      <c r="D222" s="719">
        <v>322766031</v>
      </c>
      <c r="E222" s="719">
        <f t="shared" si="11"/>
        <v>1534834439</v>
      </c>
      <c r="F222" s="720">
        <v>23213533.482099999</v>
      </c>
      <c r="G222" s="721">
        <v>56.110599999999998</v>
      </c>
      <c r="H222" s="722">
        <f t="shared" si="12"/>
        <v>66.118099999999998</v>
      </c>
      <c r="I222" s="723">
        <f t="shared" ref="I222:I285" si="13">ROUND(G222-H222,2)</f>
        <v>-10.01</v>
      </c>
      <c r="K222" s="735"/>
    </row>
    <row r="223" spans="2:11">
      <c r="B223" s="718">
        <v>43862</v>
      </c>
      <c r="C223" s="719">
        <v>1858142224</v>
      </c>
      <c r="D223" s="719">
        <v>322852879</v>
      </c>
      <c r="E223" s="719">
        <f t="shared" si="11"/>
        <v>1535289345</v>
      </c>
      <c r="F223" s="720">
        <v>25480151.137800001</v>
      </c>
      <c r="G223" s="721">
        <v>56.1235</v>
      </c>
      <c r="H223" s="722">
        <f t="shared" si="12"/>
        <v>60.254300000000001</v>
      </c>
      <c r="I223" s="723">
        <f t="shared" si="13"/>
        <v>-4.13</v>
      </c>
      <c r="K223" s="735"/>
    </row>
    <row r="224" spans="2:11">
      <c r="B224" s="718">
        <v>43863</v>
      </c>
      <c r="C224" s="719">
        <v>1858884285</v>
      </c>
      <c r="D224" s="719">
        <v>322965922</v>
      </c>
      <c r="E224" s="719">
        <f t="shared" si="11"/>
        <v>1535918363</v>
      </c>
      <c r="F224" s="720">
        <v>25480151.137800001</v>
      </c>
      <c r="G224" s="721">
        <v>56.137300000000003</v>
      </c>
      <c r="H224" s="722">
        <f t="shared" si="12"/>
        <v>60.279000000000003</v>
      </c>
      <c r="I224" s="723">
        <f t="shared" si="13"/>
        <v>-4.1399999999999997</v>
      </c>
      <c r="K224" s="735"/>
    </row>
    <row r="225" spans="2:11">
      <c r="B225" s="718">
        <v>43864</v>
      </c>
      <c r="C225" s="719">
        <v>1858012670</v>
      </c>
      <c r="D225" s="719">
        <v>323050675</v>
      </c>
      <c r="E225" s="719">
        <f t="shared" si="11"/>
        <v>1534961995</v>
      </c>
      <c r="F225" s="720">
        <v>25480151.137800001</v>
      </c>
      <c r="G225" s="721">
        <v>56.1509</v>
      </c>
      <c r="H225" s="722">
        <f t="shared" si="12"/>
        <v>60.241500000000002</v>
      </c>
      <c r="I225" s="723">
        <f t="shared" si="13"/>
        <v>-4.09</v>
      </c>
      <c r="K225" s="735"/>
    </row>
    <row r="226" spans="2:11">
      <c r="B226" s="718">
        <v>43865</v>
      </c>
      <c r="C226" s="719">
        <v>2106076297</v>
      </c>
      <c r="D226" s="719">
        <v>563965556</v>
      </c>
      <c r="E226" s="719">
        <f t="shared" si="11"/>
        <v>1542110741</v>
      </c>
      <c r="F226" s="720">
        <v>25087589.922600001</v>
      </c>
      <c r="G226" s="721">
        <v>56.141800000000003</v>
      </c>
      <c r="H226" s="722">
        <f t="shared" si="12"/>
        <v>61.469099999999997</v>
      </c>
      <c r="I226" s="723">
        <f t="shared" si="13"/>
        <v>-5.33</v>
      </c>
      <c r="K226" s="735"/>
    </row>
    <row r="227" spans="2:11">
      <c r="B227" s="718">
        <v>43866</v>
      </c>
      <c r="C227" s="719">
        <v>2106519161</v>
      </c>
      <c r="D227" s="719">
        <v>564039589</v>
      </c>
      <c r="E227" s="719">
        <f t="shared" si="11"/>
        <v>1542479572</v>
      </c>
      <c r="F227" s="720">
        <v>25087589.922600001</v>
      </c>
      <c r="G227" s="721">
        <v>56.155500000000004</v>
      </c>
      <c r="H227" s="722">
        <f t="shared" si="12"/>
        <v>61.483800000000002</v>
      </c>
      <c r="I227" s="723">
        <f t="shared" si="13"/>
        <v>-5.33</v>
      </c>
      <c r="K227" s="735"/>
    </row>
    <row r="228" spans="2:11">
      <c r="B228" s="718">
        <v>43867</v>
      </c>
      <c r="C228" s="719">
        <v>1858182105</v>
      </c>
      <c r="D228" s="719">
        <v>320992487</v>
      </c>
      <c r="E228" s="719">
        <f t="shared" si="11"/>
        <v>1537189618</v>
      </c>
      <c r="F228" s="720">
        <v>22905568.173500001</v>
      </c>
      <c r="G228" s="721">
        <v>56.1693</v>
      </c>
      <c r="H228" s="722">
        <f t="shared" si="12"/>
        <v>67.109899999999996</v>
      </c>
      <c r="I228" s="723">
        <f t="shared" si="13"/>
        <v>-10.94</v>
      </c>
      <c r="K228" s="735"/>
    </row>
    <row r="229" spans="2:11">
      <c r="B229" s="718">
        <v>43868</v>
      </c>
      <c r="C229" s="719">
        <v>1854300671</v>
      </c>
      <c r="D229" s="719">
        <v>318780975</v>
      </c>
      <c r="E229" s="719">
        <f t="shared" si="11"/>
        <v>1535519696</v>
      </c>
      <c r="F229" s="720">
        <v>22858408.3072</v>
      </c>
      <c r="G229" s="721">
        <v>56.1815</v>
      </c>
      <c r="H229" s="722">
        <f t="shared" si="12"/>
        <v>67.175299999999993</v>
      </c>
      <c r="I229" s="723">
        <f t="shared" si="13"/>
        <v>-10.99</v>
      </c>
      <c r="K229" s="735"/>
    </row>
    <row r="230" spans="2:11">
      <c r="B230" s="718">
        <v>43869</v>
      </c>
      <c r="C230" s="719">
        <v>1881438638</v>
      </c>
      <c r="D230" s="719">
        <v>318866754</v>
      </c>
      <c r="E230" s="719">
        <f t="shared" si="11"/>
        <v>1562571884</v>
      </c>
      <c r="F230" s="720">
        <v>22982020.785500001</v>
      </c>
      <c r="G230" s="721">
        <v>56.195399999999999</v>
      </c>
      <c r="H230" s="722">
        <f t="shared" si="12"/>
        <v>67.991100000000003</v>
      </c>
      <c r="I230" s="723">
        <f t="shared" si="13"/>
        <v>-11.8</v>
      </c>
      <c r="K230" s="735"/>
    </row>
    <row r="231" spans="2:11">
      <c r="B231" s="718">
        <v>43870</v>
      </c>
      <c r="C231" s="719">
        <v>1881970796</v>
      </c>
      <c r="D231" s="719">
        <v>318952645</v>
      </c>
      <c r="E231" s="719">
        <f t="shared" si="11"/>
        <v>1563018151</v>
      </c>
      <c r="F231" s="720">
        <v>22982020.785500001</v>
      </c>
      <c r="G231" s="721">
        <v>56.229799999999997</v>
      </c>
      <c r="H231" s="722">
        <f t="shared" si="12"/>
        <v>68.010499999999993</v>
      </c>
      <c r="I231" s="723">
        <f t="shared" si="13"/>
        <v>-11.78</v>
      </c>
      <c r="K231" s="735"/>
    </row>
    <row r="232" spans="2:11">
      <c r="B232" s="718">
        <v>43871</v>
      </c>
      <c r="C232" s="719">
        <v>1995058063</v>
      </c>
      <c r="D232" s="719">
        <v>429958190</v>
      </c>
      <c r="E232" s="719">
        <f t="shared" si="11"/>
        <v>1565099873</v>
      </c>
      <c r="F232" s="720">
        <v>22982020.785500001</v>
      </c>
      <c r="G232" s="721">
        <v>56.2438</v>
      </c>
      <c r="H232" s="722">
        <f t="shared" si="12"/>
        <v>68.101100000000002</v>
      </c>
      <c r="I232" s="723">
        <f t="shared" si="13"/>
        <v>-11.86</v>
      </c>
      <c r="K232" s="735"/>
    </row>
    <row r="233" spans="2:11">
      <c r="B233" s="718">
        <v>43872</v>
      </c>
      <c r="C233" s="719">
        <v>2013030965</v>
      </c>
      <c r="D233" s="719">
        <v>430049091</v>
      </c>
      <c r="E233" s="719">
        <f t="shared" si="11"/>
        <v>1582981874</v>
      </c>
      <c r="F233" s="720">
        <v>22861264.124899998</v>
      </c>
      <c r="G233" s="721">
        <v>56.264499999999998</v>
      </c>
      <c r="H233" s="722">
        <f t="shared" si="12"/>
        <v>69.242999999999995</v>
      </c>
      <c r="I233" s="723">
        <f t="shared" si="13"/>
        <v>-12.98</v>
      </c>
      <c r="K233" s="735"/>
    </row>
    <row r="234" spans="2:11">
      <c r="B234" s="718">
        <v>43873</v>
      </c>
      <c r="C234" s="719">
        <v>2010627998</v>
      </c>
      <c r="D234" s="719">
        <v>430151103</v>
      </c>
      <c r="E234" s="719">
        <f t="shared" si="11"/>
        <v>1580476895</v>
      </c>
      <c r="F234" s="720">
        <v>22900877.387600001</v>
      </c>
      <c r="G234" s="721">
        <v>56.287500000000001</v>
      </c>
      <c r="H234" s="722">
        <f t="shared" si="12"/>
        <v>69.013800000000003</v>
      </c>
      <c r="I234" s="723">
        <f t="shared" si="13"/>
        <v>-12.73</v>
      </c>
      <c r="K234" s="735"/>
    </row>
    <row r="235" spans="2:11">
      <c r="B235" s="718">
        <v>43874</v>
      </c>
      <c r="C235" s="719">
        <v>1894885048</v>
      </c>
      <c r="D235" s="719">
        <v>319352065</v>
      </c>
      <c r="E235" s="719">
        <f t="shared" si="11"/>
        <v>1575532983</v>
      </c>
      <c r="F235" s="720">
        <v>22848525.0546</v>
      </c>
      <c r="G235" s="721">
        <v>56.3018</v>
      </c>
      <c r="H235" s="722">
        <f t="shared" si="12"/>
        <v>68.955600000000004</v>
      </c>
      <c r="I235" s="723">
        <f t="shared" si="13"/>
        <v>-12.65</v>
      </c>
      <c r="K235" s="735"/>
    </row>
    <row r="236" spans="2:11">
      <c r="B236" s="718">
        <v>43875</v>
      </c>
      <c r="C236" s="719">
        <v>1696786502</v>
      </c>
      <c r="D236" s="719">
        <v>121678669</v>
      </c>
      <c r="E236" s="719">
        <f t="shared" si="11"/>
        <v>1575107833</v>
      </c>
      <c r="F236" s="720">
        <v>22847122.953499999</v>
      </c>
      <c r="G236" s="721">
        <v>56.313699999999997</v>
      </c>
      <c r="H236" s="722">
        <f t="shared" si="12"/>
        <v>68.941199999999995</v>
      </c>
      <c r="I236" s="723">
        <f t="shared" si="13"/>
        <v>-12.63</v>
      </c>
      <c r="K236" s="735"/>
    </row>
    <row r="237" spans="2:11">
      <c r="B237" s="718">
        <v>43876</v>
      </c>
      <c r="C237" s="719">
        <v>1697356884</v>
      </c>
      <c r="D237" s="719">
        <v>121769671</v>
      </c>
      <c r="E237" s="719">
        <f t="shared" si="11"/>
        <v>1575587213</v>
      </c>
      <c r="F237" s="720">
        <v>22850549.430399999</v>
      </c>
      <c r="G237" s="721">
        <v>56.353200000000001</v>
      </c>
      <c r="H237" s="722">
        <f t="shared" si="12"/>
        <v>68.951800000000006</v>
      </c>
      <c r="I237" s="723">
        <f t="shared" si="13"/>
        <v>-12.6</v>
      </c>
      <c r="K237" s="735"/>
    </row>
    <row r="238" spans="2:11">
      <c r="B238" s="718">
        <v>43877</v>
      </c>
      <c r="C238" s="719">
        <v>1697930843</v>
      </c>
      <c r="D238" s="719">
        <v>121861144</v>
      </c>
      <c r="E238" s="719">
        <f t="shared" si="11"/>
        <v>1576069699</v>
      </c>
      <c r="F238" s="720">
        <v>22850549.430500001</v>
      </c>
      <c r="G238" s="721">
        <v>56.367899999999999</v>
      </c>
      <c r="H238" s="722">
        <f t="shared" si="12"/>
        <v>68.972899999999996</v>
      </c>
      <c r="I238" s="723">
        <f t="shared" si="13"/>
        <v>-12.61</v>
      </c>
      <c r="K238" s="735"/>
    </row>
    <row r="239" spans="2:11">
      <c r="B239" s="718">
        <v>43878</v>
      </c>
      <c r="C239" s="719">
        <v>1695993060</v>
      </c>
      <c r="D239" s="719">
        <v>121977686</v>
      </c>
      <c r="E239" s="719">
        <f t="shared" si="11"/>
        <v>1574015374</v>
      </c>
      <c r="F239" s="720">
        <v>22850549.430500001</v>
      </c>
      <c r="G239" s="721">
        <v>56.382399999999997</v>
      </c>
      <c r="H239" s="722">
        <f t="shared" si="12"/>
        <v>68.882999999999996</v>
      </c>
      <c r="I239" s="723">
        <f t="shared" si="13"/>
        <v>-12.5</v>
      </c>
      <c r="K239" s="735"/>
    </row>
    <row r="240" spans="2:11">
      <c r="B240" s="718">
        <v>43879</v>
      </c>
      <c r="C240" s="719">
        <v>1696383316</v>
      </c>
      <c r="D240" s="719">
        <v>122036380</v>
      </c>
      <c r="E240" s="719">
        <f t="shared" si="11"/>
        <v>1574346936</v>
      </c>
      <c r="F240" s="720">
        <v>22805299.740800001</v>
      </c>
      <c r="G240" s="721">
        <v>56.3992</v>
      </c>
      <c r="H240" s="722">
        <f t="shared" si="12"/>
        <v>69.034300000000002</v>
      </c>
      <c r="I240" s="723">
        <f t="shared" si="13"/>
        <v>-12.64</v>
      </c>
      <c r="K240" s="735"/>
    </row>
    <row r="241" spans="2:11">
      <c r="B241" s="718">
        <v>43880</v>
      </c>
      <c r="C241" s="719">
        <v>1701336614</v>
      </c>
      <c r="D241" s="719">
        <v>122382576</v>
      </c>
      <c r="E241" s="719">
        <f t="shared" si="11"/>
        <v>1578954038</v>
      </c>
      <c r="F241" s="720">
        <v>22685226.729600001</v>
      </c>
      <c r="G241" s="721">
        <v>56.408999999999999</v>
      </c>
      <c r="H241" s="722">
        <f t="shared" si="12"/>
        <v>69.602699999999999</v>
      </c>
      <c r="I241" s="723">
        <f t="shared" si="13"/>
        <v>-13.19</v>
      </c>
      <c r="K241" s="735"/>
    </row>
    <row r="242" spans="2:11">
      <c r="B242" s="718">
        <v>43881</v>
      </c>
      <c r="C242" s="719">
        <v>1695550287</v>
      </c>
      <c r="D242" s="719">
        <v>122592702</v>
      </c>
      <c r="E242" s="719">
        <f t="shared" si="11"/>
        <v>1572957585</v>
      </c>
      <c r="F242" s="720">
        <v>22752392.448800001</v>
      </c>
      <c r="G242" s="721">
        <v>56.447800000000001</v>
      </c>
      <c r="H242" s="722">
        <f t="shared" si="12"/>
        <v>69.133700000000005</v>
      </c>
      <c r="I242" s="723">
        <f t="shared" si="13"/>
        <v>-12.69</v>
      </c>
      <c r="K242" s="735"/>
    </row>
    <row r="243" spans="2:11">
      <c r="B243" s="718">
        <v>43882</v>
      </c>
      <c r="C243" s="719">
        <v>1700711827</v>
      </c>
      <c r="D243" s="719">
        <v>122875018</v>
      </c>
      <c r="E243" s="719">
        <f t="shared" si="11"/>
        <v>1577836809</v>
      </c>
      <c r="F243" s="720">
        <v>22670827.7522</v>
      </c>
      <c r="G243" s="721">
        <v>56.462899999999998</v>
      </c>
      <c r="H243" s="722">
        <f t="shared" si="12"/>
        <v>69.597700000000003</v>
      </c>
      <c r="I243" s="723">
        <f t="shared" si="13"/>
        <v>-13.13</v>
      </c>
      <c r="K243" s="735"/>
    </row>
    <row r="244" spans="2:11">
      <c r="B244" s="718">
        <v>43883</v>
      </c>
      <c r="C244" s="719">
        <v>1704188470</v>
      </c>
      <c r="D244" s="719">
        <v>122866044</v>
      </c>
      <c r="E244" s="719">
        <f t="shared" si="11"/>
        <v>1581322426</v>
      </c>
      <c r="F244" s="720">
        <v>22670905.6404</v>
      </c>
      <c r="G244" s="721">
        <v>56.478900000000003</v>
      </c>
      <c r="H244" s="722">
        <f t="shared" si="12"/>
        <v>69.751199999999997</v>
      </c>
      <c r="I244" s="723">
        <f t="shared" si="13"/>
        <v>-13.27</v>
      </c>
      <c r="K244" s="735"/>
    </row>
    <row r="245" spans="2:11">
      <c r="B245" s="718">
        <v>43884</v>
      </c>
      <c r="C245" s="719">
        <v>1704750000</v>
      </c>
      <c r="D245" s="719">
        <v>122955944</v>
      </c>
      <c r="E245" s="719">
        <f t="shared" si="11"/>
        <v>1581794056</v>
      </c>
      <c r="F245" s="720">
        <v>22670905.6404</v>
      </c>
      <c r="G245" s="721">
        <v>56.494799999999998</v>
      </c>
      <c r="H245" s="722">
        <f t="shared" si="12"/>
        <v>69.772000000000006</v>
      </c>
      <c r="I245" s="723">
        <f t="shared" si="13"/>
        <v>-13.28</v>
      </c>
      <c r="K245" s="735"/>
    </row>
    <row r="246" spans="2:11">
      <c r="B246" s="718">
        <v>43885</v>
      </c>
      <c r="C246" s="719">
        <v>1705006856</v>
      </c>
      <c r="D246" s="719">
        <v>123050106</v>
      </c>
      <c r="E246" s="719">
        <f t="shared" si="11"/>
        <v>1581956750</v>
      </c>
      <c r="F246" s="720">
        <v>22670905.6404</v>
      </c>
      <c r="G246" s="721">
        <v>56.509700000000002</v>
      </c>
      <c r="H246" s="722">
        <f t="shared" si="12"/>
        <v>69.779200000000003</v>
      </c>
      <c r="I246" s="723">
        <f t="shared" si="13"/>
        <v>-13.27</v>
      </c>
      <c r="K246" s="735"/>
    </row>
    <row r="247" spans="2:11">
      <c r="B247" s="718">
        <v>43886</v>
      </c>
      <c r="C247" s="719">
        <v>1761035023</v>
      </c>
      <c r="D247" s="719">
        <v>173064567</v>
      </c>
      <c r="E247" s="719">
        <f t="shared" si="11"/>
        <v>1587970456</v>
      </c>
      <c r="F247" s="720">
        <v>22673899.474199999</v>
      </c>
      <c r="G247" s="721">
        <v>56.512300000000003</v>
      </c>
      <c r="H247" s="722">
        <f t="shared" si="12"/>
        <v>70.035200000000003</v>
      </c>
      <c r="I247" s="723">
        <f t="shared" si="13"/>
        <v>-13.52</v>
      </c>
      <c r="K247" s="735"/>
    </row>
    <row r="248" spans="2:11">
      <c r="B248" s="718">
        <v>43887</v>
      </c>
      <c r="C248" s="719">
        <v>1712101080</v>
      </c>
      <c r="D248" s="719">
        <v>123100074</v>
      </c>
      <c r="E248" s="719">
        <f t="shared" si="11"/>
        <v>1589001006</v>
      </c>
      <c r="F248" s="720">
        <v>22702835.253699999</v>
      </c>
      <c r="G248" s="721">
        <v>56.526699999999998</v>
      </c>
      <c r="H248" s="722">
        <f t="shared" si="12"/>
        <v>69.991299999999995</v>
      </c>
      <c r="I248" s="723">
        <f t="shared" si="13"/>
        <v>-13.46</v>
      </c>
      <c r="K248" s="735"/>
    </row>
    <row r="249" spans="2:11">
      <c r="B249" s="718">
        <v>43888</v>
      </c>
      <c r="C249" s="719">
        <v>2222604365</v>
      </c>
      <c r="D249" s="719">
        <v>631283786</v>
      </c>
      <c r="E249" s="719">
        <f t="shared" si="11"/>
        <v>1591320579</v>
      </c>
      <c r="F249" s="720">
        <v>22896749.0722</v>
      </c>
      <c r="G249" s="721">
        <v>56.536799999999999</v>
      </c>
      <c r="H249" s="722">
        <f t="shared" si="12"/>
        <v>69.499799999999993</v>
      </c>
      <c r="I249" s="723">
        <f t="shared" si="13"/>
        <v>-12.96</v>
      </c>
      <c r="K249" s="735"/>
    </row>
    <row r="250" spans="2:11">
      <c r="B250" s="718">
        <v>43889</v>
      </c>
      <c r="C250" s="719">
        <v>2123343296</v>
      </c>
      <c r="D250" s="719">
        <v>531949861</v>
      </c>
      <c r="E250" s="719">
        <f t="shared" si="11"/>
        <v>1591393435</v>
      </c>
      <c r="F250" s="720">
        <v>22649647.8035</v>
      </c>
      <c r="G250" s="721">
        <v>56.551600000000001</v>
      </c>
      <c r="H250" s="722">
        <f t="shared" si="12"/>
        <v>70.261300000000006</v>
      </c>
      <c r="I250" s="723">
        <f t="shared" si="13"/>
        <v>-13.71</v>
      </c>
      <c r="K250" s="735"/>
    </row>
    <row r="251" spans="2:11">
      <c r="B251" s="718">
        <v>43890</v>
      </c>
      <c r="C251" s="719">
        <v>2143928632</v>
      </c>
      <c r="D251" s="719">
        <v>552042768</v>
      </c>
      <c r="E251" s="719">
        <f t="shared" si="11"/>
        <v>1591885864</v>
      </c>
      <c r="F251" s="720">
        <v>23726469.157000002</v>
      </c>
      <c r="G251" s="721">
        <v>56.548499999999997</v>
      </c>
      <c r="H251" s="722">
        <f t="shared" si="12"/>
        <v>67.093199999999996</v>
      </c>
      <c r="I251" s="723">
        <f t="shared" si="13"/>
        <v>-10.54</v>
      </c>
      <c r="K251" s="735"/>
    </row>
    <row r="252" spans="2:11">
      <c r="B252" s="718">
        <v>43891</v>
      </c>
      <c r="C252" s="719">
        <v>2144500546</v>
      </c>
      <c r="D252" s="719">
        <v>552134120</v>
      </c>
      <c r="E252" s="719">
        <f t="shared" si="11"/>
        <v>1592366426</v>
      </c>
      <c r="F252" s="720">
        <v>25864955.196699999</v>
      </c>
      <c r="G252" s="721">
        <v>56.561399999999999</v>
      </c>
      <c r="H252" s="722">
        <f t="shared" si="12"/>
        <v>61.564599999999999</v>
      </c>
      <c r="I252" s="723">
        <f t="shared" si="13"/>
        <v>-5</v>
      </c>
      <c r="K252" s="735"/>
    </row>
    <row r="253" spans="2:11">
      <c r="B253" s="718">
        <v>43892</v>
      </c>
      <c r="C253" s="719">
        <v>1636542113</v>
      </c>
      <c r="D253" s="719">
        <v>44055069</v>
      </c>
      <c r="E253" s="719">
        <f t="shared" si="11"/>
        <v>1592487044</v>
      </c>
      <c r="F253" s="720">
        <v>25864955.196699999</v>
      </c>
      <c r="G253" s="721">
        <v>56.574300000000001</v>
      </c>
      <c r="H253" s="722">
        <f t="shared" si="12"/>
        <v>61.569299999999998</v>
      </c>
      <c r="I253" s="723">
        <f t="shared" si="13"/>
        <v>-5</v>
      </c>
      <c r="K253" s="735"/>
    </row>
    <row r="254" spans="2:11">
      <c r="B254" s="718">
        <v>43893</v>
      </c>
      <c r="C254" s="719">
        <v>1613185164</v>
      </c>
      <c r="D254" s="719">
        <v>24194203</v>
      </c>
      <c r="E254" s="719">
        <f t="shared" si="11"/>
        <v>1588990961</v>
      </c>
      <c r="F254" s="720">
        <v>25583678.8061</v>
      </c>
      <c r="G254" s="721">
        <v>56.589300000000001</v>
      </c>
      <c r="H254" s="722">
        <f t="shared" si="12"/>
        <v>62.1096</v>
      </c>
      <c r="I254" s="723">
        <f t="shared" si="13"/>
        <v>-5.52</v>
      </c>
      <c r="K254" s="735"/>
    </row>
    <row r="255" spans="2:11">
      <c r="B255" s="718">
        <v>43894</v>
      </c>
      <c r="C255" s="719">
        <v>1616859160</v>
      </c>
      <c r="D255" s="719">
        <v>24348487</v>
      </c>
      <c r="E255" s="719">
        <f t="shared" si="11"/>
        <v>1592510673</v>
      </c>
      <c r="F255" s="720">
        <v>23292474.6723</v>
      </c>
      <c r="G255" s="721">
        <v>56.603700000000003</v>
      </c>
      <c r="H255" s="722">
        <f t="shared" si="12"/>
        <v>68.370199999999997</v>
      </c>
      <c r="I255" s="723">
        <f t="shared" si="13"/>
        <v>-11.77</v>
      </c>
      <c r="K255" s="735"/>
    </row>
    <row r="256" spans="2:11">
      <c r="B256" s="718">
        <v>43895</v>
      </c>
      <c r="C256" s="719">
        <v>1864114985</v>
      </c>
      <c r="D256" s="719">
        <v>270934771</v>
      </c>
      <c r="E256" s="719">
        <f t="shared" si="11"/>
        <v>1593180214</v>
      </c>
      <c r="F256" s="720">
        <v>23452500.793000001</v>
      </c>
      <c r="G256" s="721">
        <v>56.618200000000002</v>
      </c>
      <c r="H256" s="722">
        <f t="shared" si="12"/>
        <v>67.932199999999995</v>
      </c>
      <c r="I256" s="723">
        <f t="shared" si="13"/>
        <v>-11.31</v>
      </c>
    </row>
    <row r="257" spans="2:9">
      <c r="B257" s="718">
        <v>43896</v>
      </c>
      <c r="C257" s="719">
        <v>1863763098</v>
      </c>
      <c r="D257" s="719">
        <v>271241939</v>
      </c>
      <c r="E257" s="719">
        <f t="shared" si="11"/>
        <v>1592521159</v>
      </c>
      <c r="F257" s="720">
        <v>23494249.519099999</v>
      </c>
      <c r="G257" s="721">
        <v>56.605600000000003</v>
      </c>
      <c r="H257" s="722">
        <f t="shared" si="12"/>
        <v>67.7834</v>
      </c>
      <c r="I257" s="723">
        <f t="shared" si="13"/>
        <v>-11.18</v>
      </c>
    </row>
    <row r="258" spans="2:9">
      <c r="B258" s="718">
        <v>43897</v>
      </c>
      <c r="C258" s="719">
        <v>1864797010</v>
      </c>
      <c r="D258" s="719">
        <v>271337451</v>
      </c>
      <c r="E258" s="719">
        <f t="shared" si="11"/>
        <v>1593459559</v>
      </c>
      <c r="F258" s="720">
        <v>23519628.2377</v>
      </c>
      <c r="G258" s="721">
        <v>56.633899999999997</v>
      </c>
      <c r="H258" s="722">
        <f t="shared" si="12"/>
        <v>67.750200000000007</v>
      </c>
      <c r="I258" s="723">
        <f t="shared" si="13"/>
        <v>-11.12</v>
      </c>
    </row>
    <row r="259" spans="2:9">
      <c r="B259" s="718">
        <v>43898</v>
      </c>
      <c r="C259" s="719">
        <v>1865356878</v>
      </c>
      <c r="D259" s="719">
        <v>271427047</v>
      </c>
      <c r="E259" s="719">
        <f t="shared" si="11"/>
        <v>1593929831</v>
      </c>
      <c r="F259" s="720">
        <v>23519628.2377</v>
      </c>
      <c r="G259" s="721">
        <v>56.648699999999998</v>
      </c>
      <c r="H259" s="722">
        <f t="shared" si="12"/>
        <v>67.770200000000003</v>
      </c>
      <c r="I259" s="723">
        <f t="shared" si="13"/>
        <v>-11.12</v>
      </c>
    </row>
    <row r="260" spans="2:9">
      <c r="B260" s="718">
        <v>43899</v>
      </c>
      <c r="C260" s="719">
        <v>2018185634</v>
      </c>
      <c r="D260" s="719">
        <v>420356352</v>
      </c>
      <c r="E260" s="719">
        <f t="shared" si="11"/>
        <v>1597829282</v>
      </c>
      <c r="F260" s="720">
        <v>23519628.2377</v>
      </c>
      <c r="G260" s="721">
        <v>56.663499999999999</v>
      </c>
      <c r="H260" s="722">
        <f t="shared" si="12"/>
        <v>67.936000000000007</v>
      </c>
      <c r="I260" s="723">
        <f t="shared" si="13"/>
        <v>-11.27</v>
      </c>
    </row>
    <row r="261" spans="2:9">
      <c r="B261" s="718">
        <v>43900</v>
      </c>
      <c r="C261" s="719">
        <v>2089881819</v>
      </c>
      <c r="D261" s="719">
        <v>490378007</v>
      </c>
      <c r="E261" s="719">
        <f t="shared" si="11"/>
        <v>1599503812</v>
      </c>
      <c r="F261" s="720">
        <v>23679637.5513</v>
      </c>
      <c r="G261" s="721">
        <v>56.648800000000001</v>
      </c>
      <c r="H261" s="722">
        <f t="shared" si="12"/>
        <v>67.547600000000003</v>
      </c>
      <c r="I261" s="723">
        <f t="shared" si="13"/>
        <v>-10.9</v>
      </c>
    </row>
    <row r="262" spans="2:9">
      <c r="B262" s="718">
        <v>43901</v>
      </c>
      <c r="C262" s="719">
        <v>2062698522</v>
      </c>
      <c r="D262" s="719">
        <v>440824310</v>
      </c>
      <c r="E262" s="719">
        <f t="shared" si="11"/>
        <v>1621874212</v>
      </c>
      <c r="F262" s="720">
        <v>23608560.598700002</v>
      </c>
      <c r="G262" s="721">
        <v>56.662999999999997</v>
      </c>
      <c r="H262" s="722">
        <f t="shared" si="12"/>
        <v>68.698599999999999</v>
      </c>
      <c r="I262" s="723">
        <f t="shared" si="13"/>
        <v>-12.04</v>
      </c>
    </row>
    <row r="263" spans="2:9">
      <c r="B263" s="718">
        <v>43902</v>
      </c>
      <c r="C263" s="719">
        <v>2265107206</v>
      </c>
      <c r="D263" s="719">
        <v>664835025</v>
      </c>
      <c r="E263" s="719">
        <f t="shared" si="11"/>
        <v>1600272181</v>
      </c>
      <c r="F263" s="720">
        <v>23443832.047600001</v>
      </c>
      <c r="G263" s="721">
        <v>56.677900000000001</v>
      </c>
      <c r="H263" s="722">
        <f t="shared" si="12"/>
        <v>68.259799999999998</v>
      </c>
      <c r="I263" s="723">
        <f t="shared" si="13"/>
        <v>-11.58</v>
      </c>
    </row>
    <row r="264" spans="2:9">
      <c r="B264" s="718">
        <v>43903</v>
      </c>
      <c r="C264" s="719">
        <v>1839775810</v>
      </c>
      <c r="D264" s="719">
        <v>246854367</v>
      </c>
      <c r="E264" s="719">
        <f t="shared" ref="E264:E327" si="14">C264-D264</f>
        <v>1592921443</v>
      </c>
      <c r="F264" s="720">
        <v>22862016.284699999</v>
      </c>
      <c r="G264" s="721">
        <v>56.691299999999998</v>
      </c>
      <c r="H264" s="722">
        <f t="shared" si="12"/>
        <v>69.6755</v>
      </c>
      <c r="I264" s="723">
        <f t="shared" si="13"/>
        <v>-12.98</v>
      </c>
    </row>
    <row r="265" spans="2:9">
      <c r="B265" s="718">
        <v>43904</v>
      </c>
      <c r="C265" s="719">
        <v>1840307997</v>
      </c>
      <c r="D265" s="719">
        <v>246940339</v>
      </c>
      <c r="E265" s="719">
        <f t="shared" si="14"/>
        <v>1593367658</v>
      </c>
      <c r="F265" s="720">
        <v>21922233.3026</v>
      </c>
      <c r="G265" s="721">
        <v>56.708500000000001</v>
      </c>
      <c r="H265" s="722">
        <f t="shared" ref="H265:H328" si="15">ROUND(E265/F265,4)</f>
        <v>72.682699999999997</v>
      </c>
      <c r="I265" s="723">
        <f t="shared" si="13"/>
        <v>-15.97</v>
      </c>
    </row>
    <row r="266" spans="2:9">
      <c r="B266" s="718">
        <v>43905</v>
      </c>
      <c r="C266" s="719">
        <v>1840840687</v>
      </c>
      <c r="D266" s="719">
        <v>247026233</v>
      </c>
      <c r="E266" s="719">
        <f t="shared" si="14"/>
        <v>1593814454</v>
      </c>
      <c r="F266" s="720">
        <v>24200604.6043</v>
      </c>
      <c r="G266" s="721">
        <v>56.720599999999997</v>
      </c>
      <c r="H266" s="722">
        <f t="shared" si="15"/>
        <v>65.858500000000006</v>
      </c>
      <c r="I266" s="723">
        <f t="shared" si="13"/>
        <v>-9.14</v>
      </c>
    </row>
    <row r="267" spans="2:9">
      <c r="B267" s="718">
        <v>43906</v>
      </c>
      <c r="C267" s="719">
        <v>1606748778</v>
      </c>
      <c r="D267" s="719">
        <v>24180205</v>
      </c>
      <c r="E267" s="719">
        <f t="shared" si="14"/>
        <v>1582568573</v>
      </c>
      <c r="F267" s="720">
        <v>24200604.6043</v>
      </c>
      <c r="G267" s="721">
        <v>56.733600000000003</v>
      </c>
      <c r="H267" s="722">
        <f t="shared" si="15"/>
        <v>65.393799999999999</v>
      </c>
      <c r="I267" s="723">
        <f t="shared" si="13"/>
        <v>-8.66</v>
      </c>
    </row>
    <row r="268" spans="2:9">
      <c r="B268" s="718">
        <v>43907</v>
      </c>
      <c r="C268" s="719">
        <v>1617694856</v>
      </c>
      <c r="D268" s="719">
        <v>24476887</v>
      </c>
      <c r="E268" s="719">
        <f t="shared" si="14"/>
        <v>1593217969</v>
      </c>
      <c r="F268" s="720">
        <v>24188311.570300002</v>
      </c>
      <c r="G268" s="721">
        <v>56.748399999999997</v>
      </c>
      <c r="H268" s="722">
        <f t="shared" si="15"/>
        <v>65.8673</v>
      </c>
      <c r="I268" s="723">
        <f t="shared" si="13"/>
        <v>-9.1199999999999992</v>
      </c>
    </row>
    <row r="269" spans="2:9">
      <c r="B269" s="718">
        <v>43908</v>
      </c>
      <c r="C269" s="719">
        <v>2264213333</v>
      </c>
      <c r="D269" s="719">
        <v>672046649</v>
      </c>
      <c r="E269" s="719">
        <f t="shared" si="14"/>
        <v>1592166684</v>
      </c>
      <c r="F269" s="720">
        <v>21899996.973200001</v>
      </c>
      <c r="G269" s="721">
        <v>56.762799999999999</v>
      </c>
      <c r="H269" s="722">
        <f t="shared" si="15"/>
        <v>72.701700000000002</v>
      </c>
      <c r="I269" s="723">
        <f t="shared" si="13"/>
        <v>-15.94</v>
      </c>
    </row>
    <row r="270" spans="2:9">
      <c r="B270" s="718">
        <v>43909</v>
      </c>
      <c r="C270" s="719">
        <v>2201059910</v>
      </c>
      <c r="D270" s="719">
        <v>624425872</v>
      </c>
      <c r="E270" s="719">
        <f t="shared" si="14"/>
        <v>1576634038</v>
      </c>
      <c r="F270" s="720">
        <v>21532718.743000001</v>
      </c>
      <c r="G270" s="721">
        <v>56.7774</v>
      </c>
      <c r="H270" s="722">
        <f t="shared" si="15"/>
        <v>73.220399999999998</v>
      </c>
      <c r="I270" s="723">
        <f t="shared" si="13"/>
        <v>-16.440000000000001</v>
      </c>
    </row>
    <row r="271" spans="2:9">
      <c r="B271" s="718">
        <v>43910</v>
      </c>
      <c r="C271" s="719">
        <v>2199488148</v>
      </c>
      <c r="D271" s="719">
        <v>624562059</v>
      </c>
      <c r="E271" s="719">
        <f t="shared" si="14"/>
        <v>1574926089</v>
      </c>
      <c r="F271" s="720">
        <v>21548779.745099999</v>
      </c>
      <c r="G271" s="721">
        <v>56.7928</v>
      </c>
      <c r="H271" s="722">
        <f t="shared" si="15"/>
        <v>73.086600000000004</v>
      </c>
      <c r="I271" s="723">
        <f t="shared" si="13"/>
        <v>-16.29</v>
      </c>
    </row>
    <row r="272" spans="2:9">
      <c r="B272" s="718">
        <v>43911</v>
      </c>
      <c r="C272" s="719">
        <v>2238991457</v>
      </c>
      <c r="D272" s="719">
        <v>624647952</v>
      </c>
      <c r="E272" s="719">
        <f t="shared" si="14"/>
        <v>1614343505</v>
      </c>
      <c r="F272" s="720">
        <v>21659788.076099999</v>
      </c>
      <c r="G272" s="721">
        <v>56.8095</v>
      </c>
      <c r="H272" s="722">
        <f t="shared" si="15"/>
        <v>74.531800000000004</v>
      </c>
      <c r="I272" s="723">
        <f t="shared" si="13"/>
        <v>-17.72</v>
      </c>
    </row>
    <row r="273" spans="2:9">
      <c r="B273" s="718">
        <v>43912</v>
      </c>
      <c r="C273" s="719">
        <v>2239521759</v>
      </c>
      <c r="D273" s="719">
        <v>624733869</v>
      </c>
      <c r="E273" s="719">
        <f t="shared" si="14"/>
        <v>1614787890</v>
      </c>
      <c r="F273" s="720">
        <v>21659788.076099999</v>
      </c>
      <c r="G273" s="721">
        <v>56.826700000000002</v>
      </c>
      <c r="H273" s="722">
        <f t="shared" si="15"/>
        <v>74.552300000000002</v>
      </c>
      <c r="I273" s="723">
        <f t="shared" si="13"/>
        <v>-17.73</v>
      </c>
    </row>
    <row r="274" spans="2:9">
      <c r="B274" s="718">
        <v>43913</v>
      </c>
      <c r="C274" s="719">
        <v>2240052662</v>
      </c>
      <c r="D274" s="719">
        <v>624819869</v>
      </c>
      <c r="E274" s="719">
        <f t="shared" si="14"/>
        <v>1615232793</v>
      </c>
      <c r="F274" s="720">
        <v>21659788.076099999</v>
      </c>
      <c r="G274" s="721">
        <v>56.8414</v>
      </c>
      <c r="H274" s="722">
        <f t="shared" si="15"/>
        <v>74.572900000000004</v>
      </c>
      <c r="I274" s="723">
        <f t="shared" si="13"/>
        <v>-17.73</v>
      </c>
    </row>
    <row r="275" spans="2:9">
      <c r="B275" s="718">
        <v>43914</v>
      </c>
      <c r="C275" s="719">
        <v>1642592620</v>
      </c>
      <c r="D275" s="719">
        <v>25496539</v>
      </c>
      <c r="E275" s="719">
        <f t="shared" si="14"/>
        <v>1617096081</v>
      </c>
      <c r="F275" s="720">
        <v>21703197.403200001</v>
      </c>
      <c r="G275" s="721">
        <v>56.841500000000003</v>
      </c>
      <c r="H275" s="722">
        <f t="shared" si="15"/>
        <v>74.509600000000006</v>
      </c>
      <c r="I275" s="723">
        <f t="shared" si="13"/>
        <v>-17.670000000000002</v>
      </c>
    </row>
    <row r="276" spans="2:9">
      <c r="B276" s="718">
        <v>43915</v>
      </c>
      <c r="C276" s="719">
        <v>1652792659</v>
      </c>
      <c r="D276" s="719">
        <v>26193686</v>
      </c>
      <c r="E276" s="719">
        <f t="shared" si="14"/>
        <v>1626598973</v>
      </c>
      <c r="F276" s="720">
        <v>21701504.217099998</v>
      </c>
      <c r="G276" s="721">
        <v>56.856299999999997</v>
      </c>
      <c r="H276" s="722">
        <f t="shared" si="15"/>
        <v>74.953299999999999</v>
      </c>
      <c r="I276" s="723">
        <f t="shared" si="13"/>
        <v>-18.100000000000001</v>
      </c>
    </row>
    <row r="277" spans="2:9">
      <c r="B277" s="718">
        <v>43916</v>
      </c>
      <c r="C277" s="719">
        <v>1658843341</v>
      </c>
      <c r="D277" s="719">
        <v>26330918</v>
      </c>
      <c r="E277" s="719">
        <f t="shared" si="14"/>
        <v>1632512423</v>
      </c>
      <c r="F277" s="720">
        <v>21747969.716899998</v>
      </c>
      <c r="G277" s="721">
        <v>56.865200000000002</v>
      </c>
      <c r="H277" s="722">
        <f t="shared" si="15"/>
        <v>75.064999999999998</v>
      </c>
      <c r="I277" s="723">
        <f t="shared" si="13"/>
        <v>-18.2</v>
      </c>
    </row>
    <row r="278" spans="2:9">
      <c r="B278" s="718">
        <v>43917</v>
      </c>
      <c r="C278" s="719">
        <v>1662374540</v>
      </c>
      <c r="D278" s="719">
        <v>26421823</v>
      </c>
      <c r="E278" s="719">
        <f t="shared" si="14"/>
        <v>1635952717</v>
      </c>
      <c r="F278" s="720">
        <v>21671907.868999999</v>
      </c>
      <c r="G278" s="721">
        <v>56.879800000000003</v>
      </c>
      <c r="H278" s="722">
        <f t="shared" si="15"/>
        <v>75.487200000000001</v>
      </c>
      <c r="I278" s="723">
        <f t="shared" si="13"/>
        <v>-18.61</v>
      </c>
    </row>
    <row r="279" spans="2:9">
      <c r="B279" s="718">
        <v>43918</v>
      </c>
      <c r="C279" s="719">
        <v>1663067488</v>
      </c>
      <c r="D279" s="719">
        <v>26533591</v>
      </c>
      <c r="E279" s="719">
        <f t="shared" si="14"/>
        <v>1636533897</v>
      </c>
      <c r="F279" s="720">
        <v>21664237.440200001</v>
      </c>
      <c r="G279" s="721">
        <v>56.895600000000002</v>
      </c>
      <c r="H279" s="722">
        <f t="shared" si="15"/>
        <v>75.540800000000004</v>
      </c>
      <c r="I279" s="723">
        <f t="shared" si="13"/>
        <v>-18.649999999999999</v>
      </c>
    </row>
    <row r="280" spans="2:9">
      <c r="B280" s="718">
        <v>43919</v>
      </c>
      <c r="C280" s="719">
        <v>1663662806</v>
      </c>
      <c r="D280" s="719">
        <v>26630977</v>
      </c>
      <c r="E280" s="719">
        <f t="shared" si="14"/>
        <v>1637031829</v>
      </c>
      <c r="F280" s="720">
        <v>21664237.440200001</v>
      </c>
      <c r="G280" s="721">
        <v>56.910699999999999</v>
      </c>
      <c r="H280" s="722">
        <f t="shared" si="15"/>
        <v>75.563800000000001</v>
      </c>
      <c r="I280" s="723">
        <f t="shared" si="13"/>
        <v>-18.649999999999999</v>
      </c>
    </row>
    <row r="281" spans="2:9">
      <c r="B281" s="718">
        <v>43920</v>
      </c>
      <c r="C281" s="719">
        <v>1820041176</v>
      </c>
      <c r="D281" s="719">
        <v>209220085</v>
      </c>
      <c r="E281" s="719">
        <f t="shared" si="14"/>
        <v>1610821091</v>
      </c>
      <c r="F281" s="720">
        <v>22030775.325399999</v>
      </c>
      <c r="G281" s="721">
        <v>56.923999999999999</v>
      </c>
      <c r="H281" s="722">
        <f t="shared" si="15"/>
        <v>73.116900000000001</v>
      </c>
      <c r="I281" s="723">
        <f t="shared" si="13"/>
        <v>-16.190000000000001</v>
      </c>
    </row>
    <row r="282" spans="2:9">
      <c r="B282" s="718">
        <v>43921</v>
      </c>
      <c r="C282" s="719">
        <v>1855813956</v>
      </c>
      <c r="D282" s="719">
        <v>209349649</v>
      </c>
      <c r="E282" s="719">
        <f t="shared" si="14"/>
        <v>1646464307</v>
      </c>
      <c r="F282" s="720">
        <v>22058411.546999998</v>
      </c>
      <c r="G282" s="721">
        <v>56.938600000000001</v>
      </c>
      <c r="H282" s="722">
        <f t="shared" si="15"/>
        <v>74.641099999999994</v>
      </c>
      <c r="I282" s="723">
        <f t="shared" si="13"/>
        <v>-17.7</v>
      </c>
    </row>
    <row r="283" spans="2:9">
      <c r="B283" s="718">
        <v>43922</v>
      </c>
      <c r="C283" s="719">
        <v>1669938529</v>
      </c>
      <c r="D283" s="719">
        <v>21986900</v>
      </c>
      <c r="E283" s="719">
        <f t="shared" si="14"/>
        <v>1647951629</v>
      </c>
      <c r="F283" s="720">
        <v>22181210.6472</v>
      </c>
      <c r="G283" s="721">
        <v>56.952500000000001</v>
      </c>
      <c r="H283" s="722">
        <f t="shared" si="15"/>
        <v>74.294899999999998</v>
      </c>
      <c r="I283" s="723">
        <f t="shared" si="13"/>
        <v>-17.34</v>
      </c>
    </row>
    <row r="284" spans="2:9">
      <c r="B284" s="718">
        <v>43923</v>
      </c>
      <c r="C284" s="719">
        <v>1674694499</v>
      </c>
      <c r="D284" s="719">
        <v>22296889</v>
      </c>
      <c r="E284" s="719">
        <f t="shared" si="14"/>
        <v>1652397610</v>
      </c>
      <c r="F284" s="720">
        <v>22105391.703200001</v>
      </c>
      <c r="G284" s="721">
        <v>56.968299999999999</v>
      </c>
      <c r="H284" s="722">
        <f t="shared" si="15"/>
        <v>74.750900000000001</v>
      </c>
      <c r="I284" s="723">
        <f t="shared" si="13"/>
        <v>-17.78</v>
      </c>
    </row>
    <row r="285" spans="2:9">
      <c r="B285" s="718">
        <v>43924</v>
      </c>
      <c r="C285" s="719">
        <v>1817674054</v>
      </c>
      <c r="D285" s="719">
        <v>169753728</v>
      </c>
      <c r="E285" s="719">
        <f t="shared" si="14"/>
        <v>1647920326</v>
      </c>
      <c r="F285" s="720">
        <v>21995268.9014</v>
      </c>
      <c r="G285" s="721">
        <v>56.983499999999999</v>
      </c>
      <c r="H285" s="722">
        <f t="shared" si="15"/>
        <v>74.921599999999998</v>
      </c>
      <c r="I285" s="723">
        <f t="shared" si="13"/>
        <v>-17.940000000000001</v>
      </c>
    </row>
    <row r="286" spans="2:9">
      <c r="B286" s="718">
        <v>43925</v>
      </c>
      <c r="C286" s="719">
        <v>1833145353</v>
      </c>
      <c r="D286" s="719">
        <v>169849621</v>
      </c>
      <c r="E286" s="719">
        <f t="shared" si="14"/>
        <v>1663295732</v>
      </c>
      <c r="F286" s="720">
        <v>22019796.251699999</v>
      </c>
      <c r="G286" s="721">
        <v>56.993499999999997</v>
      </c>
      <c r="H286" s="722">
        <f t="shared" si="15"/>
        <v>75.5364</v>
      </c>
      <c r="I286" s="723">
        <f t="shared" ref="I286:I349" si="16">ROUND(G286-H286,2)</f>
        <v>-18.54</v>
      </c>
    </row>
    <row r="287" spans="2:9">
      <c r="B287" s="718">
        <v>43926</v>
      </c>
      <c r="C287" s="719">
        <v>1833730994</v>
      </c>
      <c r="D287" s="719">
        <v>169943211</v>
      </c>
      <c r="E287" s="719">
        <f t="shared" si="14"/>
        <v>1663787783</v>
      </c>
      <c r="F287" s="720">
        <v>22019539.913199998</v>
      </c>
      <c r="G287" s="721">
        <v>57.004899999999999</v>
      </c>
      <c r="H287" s="722">
        <f t="shared" si="15"/>
        <v>75.559600000000003</v>
      </c>
      <c r="I287" s="723">
        <f t="shared" si="16"/>
        <v>-18.55</v>
      </c>
    </row>
    <row r="288" spans="2:9">
      <c r="B288" s="718">
        <v>43927</v>
      </c>
      <c r="C288" s="719">
        <v>1833669246</v>
      </c>
      <c r="D288" s="719">
        <v>169941473</v>
      </c>
      <c r="E288" s="719">
        <f t="shared" si="14"/>
        <v>1663727773</v>
      </c>
      <c r="F288" s="720">
        <v>22019539.913199998</v>
      </c>
      <c r="G288" s="721">
        <v>57.020099999999999</v>
      </c>
      <c r="H288" s="722">
        <f t="shared" si="15"/>
        <v>75.556899999999999</v>
      </c>
      <c r="I288" s="723">
        <f t="shared" si="16"/>
        <v>-18.54</v>
      </c>
    </row>
    <row r="289" spans="2:9">
      <c r="B289" s="718">
        <v>43928</v>
      </c>
      <c r="C289" s="719">
        <v>1737168108</v>
      </c>
      <c r="D289" s="719">
        <v>68742979</v>
      </c>
      <c r="E289" s="719">
        <f t="shared" si="14"/>
        <v>1668425129</v>
      </c>
      <c r="F289" s="720">
        <v>22036710.352899998</v>
      </c>
      <c r="G289" s="721">
        <v>57.016399999999997</v>
      </c>
      <c r="H289" s="722">
        <f t="shared" si="15"/>
        <v>75.711200000000005</v>
      </c>
      <c r="I289" s="723">
        <f t="shared" si="16"/>
        <v>-18.690000000000001</v>
      </c>
    </row>
    <row r="290" spans="2:9">
      <c r="B290" s="718">
        <v>43929</v>
      </c>
      <c r="C290" s="719">
        <v>1668513439</v>
      </c>
      <c r="D290" s="719">
        <v>23122277</v>
      </c>
      <c r="E290" s="719">
        <f t="shared" si="14"/>
        <v>1645391162</v>
      </c>
      <c r="F290" s="720">
        <v>21742521.415100001</v>
      </c>
      <c r="G290" s="721">
        <v>57.033000000000001</v>
      </c>
      <c r="H290" s="722">
        <f t="shared" si="15"/>
        <v>75.676199999999994</v>
      </c>
      <c r="I290" s="723">
        <f t="shared" si="16"/>
        <v>-18.64</v>
      </c>
    </row>
    <row r="291" spans="2:9">
      <c r="B291" s="718">
        <v>43930</v>
      </c>
      <c r="C291" s="719">
        <v>2324356964</v>
      </c>
      <c r="D291" s="719">
        <v>676580179</v>
      </c>
      <c r="E291" s="719">
        <f t="shared" si="14"/>
        <v>1647776785</v>
      </c>
      <c r="F291" s="720">
        <v>21676000.207600001</v>
      </c>
      <c r="G291" s="721">
        <v>57.048999999999999</v>
      </c>
      <c r="H291" s="722">
        <f t="shared" si="15"/>
        <v>76.018500000000003</v>
      </c>
      <c r="I291" s="723">
        <f t="shared" si="16"/>
        <v>-18.97</v>
      </c>
    </row>
    <row r="292" spans="2:9">
      <c r="B292" s="718">
        <v>43931</v>
      </c>
      <c r="C292" s="719">
        <v>1992044260</v>
      </c>
      <c r="D292" s="719">
        <v>343557251</v>
      </c>
      <c r="E292" s="719">
        <f t="shared" si="14"/>
        <v>1648487009</v>
      </c>
      <c r="F292" s="720">
        <v>21762384.081700001</v>
      </c>
      <c r="G292" s="721">
        <v>57.070500000000003</v>
      </c>
      <c r="H292" s="722">
        <f t="shared" si="15"/>
        <v>75.749399999999994</v>
      </c>
      <c r="I292" s="723">
        <f t="shared" si="16"/>
        <v>-18.68</v>
      </c>
    </row>
    <row r="293" spans="2:9">
      <c r="B293" s="718">
        <v>43932</v>
      </c>
      <c r="C293" s="719">
        <v>1992457792</v>
      </c>
      <c r="D293" s="719">
        <v>343628206</v>
      </c>
      <c r="E293" s="719">
        <f t="shared" si="14"/>
        <v>1648829586</v>
      </c>
      <c r="F293" s="720">
        <v>21726429.105700001</v>
      </c>
      <c r="G293" s="721">
        <v>57.074199999999998</v>
      </c>
      <c r="H293" s="722">
        <f t="shared" si="15"/>
        <v>75.890500000000003</v>
      </c>
      <c r="I293" s="723">
        <f t="shared" si="16"/>
        <v>-18.82</v>
      </c>
    </row>
    <row r="294" spans="2:9">
      <c r="B294" s="718">
        <v>43933</v>
      </c>
      <c r="C294" s="719">
        <v>1992871527</v>
      </c>
      <c r="D294" s="719">
        <v>343699191</v>
      </c>
      <c r="E294" s="719">
        <f t="shared" si="14"/>
        <v>1649172336</v>
      </c>
      <c r="F294" s="720">
        <v>21726429.105700001</v>
      </c>
      <c r="G294" s="721">
        <v>57.090299999999999</v>
      </c>
      <c r="H294" s="722">
        <f t="shared" si="15"/>
        <v>75.906300000000002</v>
      </c>
      <c r="I294" s="723">
        <f t="shared" si="16"/>
        <v>-18.82</v>
      </c>
    </row>
    <row r="295" spans="2:9">
      <c r="B295" s="718">
        <v>43934</v>
      </c>
      <c r="C295" s="719">
        <v>1992351857</v>
      </c>
      <c r="D295" s="719">
        <v>343772917</v>
      </c>
      <c r="E295" s="719">
        <f t="shared" si="14"/>
        <v>1648578940</v>
      </c>
      <c r="F295" s="720">
        <v>21726429.105700001</v>
      </c>
      <c r="G295" s="721">
        <v>57.106200000000001</v>
      </c>
      <c r="H295" s="722">
        <f t="shared" si="15"/>
        <v>75.879000000000005</v>
      </c>
      <c r="I295" s="723">
        <f t="shared" si="16"/>
        <v>-18.77</v>
      </c>
    </row>
    <row r="296" spans="2:9">
      <c r="B296" s="718">
        <v>43935</v>
      </c>
      <c r="C296" s="719">
        <v>1681283124</v>
      </c>
      <c r="D296" s="719">
        <v>23984548</v>
      </c>
      <c r="E296" s="719">
        <f t="shared" si="14"/>
        <v>1657298576</v>
      </c>
      <c r="F296" s="720">
        <v>21848380.454799999</v>
      </c>
      <c r="G296" s="721">
        <v>57.148000000000003</v>
      </c>
      <c r="H296" s="722">
        <f t="shared" si="15"/>
        <v>75.854500000000002</v>
      </c>
      <c r="I296" s="723">
        <f t="shared" si="16"/>
        <v>-18.71</v>
      </c>
    </row>
    <row r="297" spans="2:9">
      <c r="B297" s="718">
        <v>43936</v>
      </c>
      <c r="C297" s="719">
        <v>1676550196</v>
      </c>
      <c r="D297" s="719">
        <v>23999934</v>
      </c>
      <c r="E297" s="719">
        <f t="shared" si="14"/>
        <v>1652550262</v>
      </c>
      <c r="F297" s="720">
        <v>22204063.5189</v>
      </c>
      <c r="G297" s="721">
        <v>57.161900000000003</v>
      </c>
      <c r="H297" s="722">
        <f t="shared" si="15"/>
        <v>74.425600000000003</v>
      </c>
      <c r="I297" s="723">
        <f t="shared" si="16"/>
        <v>-17.260000000000002</v>
      </c>
    </row>
    <row r="298" spans="2:9">
      <c r="B298" s="718">
        <v>43937</v>
      </c>
      <c r="C298" s="719">
        <v>1675776185</v>
      </c>
      <c r="D298" s="719">
        <v>24152899</v>
      </c>
      <c r="E298" s="719">
        <f t="shared" si="14"/>
        <v>1651623286</v>
      </c>
      <c r="F298" s="720">
        <v>22208707.827799998</v>
      </c>
      <c r="G298" s="721">
        <v>57.184399999999997</v>
      </c>
      <c r="H298" s="722">
        <f t="shared" si="15"/>
        <v>74.368300000000005</v>
      </c>
      <c r="I298" s="723">
        <f t="shared" si="16"/>
        <v>-17.18</v>
      </c>
    </row>
    <row r="299" spans="2:9">
      <c r="B299" s="718">
        <v>43938</v>
      </c>
      <c r="C299" s="719">
        <v>1682615026</v>
      </c>
      <c r="D299" s="719">
        <v>25445687</v>
      </c>
      <c r="E299" s="719">
        <f t="shared" si="14"/>
        <v>1657169339</v>
      </c>
      <c r="F299" s="720">
        <v>22340031.593499999</v>
      </c>
      <c r="G299" s="721">
        <v>57.214199999999998</v>
      </c>
      <c r="H299" s="722">
        <f t="shared" si="15"/>
        <v>74.179400000000001</v>
      </c>
      <c r="I299" s="723">
        <f t="shared" si="16"/>
        <v>-16.97</v>
      </c>
    </row>
    <row r="300" spans="2:9">
      <c r="B300" s="718">
        <v>43939</v>
      </c>
      <c r="C300" s="719">
        <v>1655651126</v>
      </c>
      <c r="D300" s="719">
        <v>25628290</v>
      </c>
      <c r="E300" s="719">
        <f t="shared" si="14"/>
        <v>1630022836</v>
      </c>
      <c r="F300" s="720">
        <v>22340555.8035</v>
      </c>
      <c r="G300" s="721">
        <v>57.229300000000002</v>
      </c>
      <c r="H300" s="722">
        <f t="shared" si="15"/>
        <v>72.962500000000006</v>
      </c>
      <c r="I300" s="723">
        <f t="shared" si="16"/>
        <v>-15.73</v>
      </c>
    </row>
    <row r="301" spans="2:9">
      <c r="B301" s="718">
        <v>43940</v>
      </c>
      <c r="C301" s="719">
        <v>1656123913</v>
      </c>
      <c r="D301" s="719">
        <v>25697352</v>
      </c>
      <c r="E301" s="719">
        <f t="shared" si="14"/>
        <v>1630426561</v>
      </c>
      <c r="F301" s="720">
        <v>22344290.219599999</v>
      </c>
      <c r="G301" s="721">
        <v>57.244799999999998</v>
      </c>
      <c r="H301" s="722">
        <f t="shared" si="15"/>
        <v>72.968400000000003</v>
      </c>
      <c r="I301" s="723">
        <f t="shared" si="16"/>
        <v>-15.72</v>
      </c>
    </row>
    <row r="302" spans="2:9">
      <c r="B302" s="718">
        <v>43941</v>
      </c>
      <c r="C302" s="719">
        <v>1771533607</v>
      </c>
      <c r="D302" s="719">
        <v>129366119</v>
      </c>
      <c r="E302" s="719">
        <f t="shared" si="14"/>
        <v>1642167488</v>
      </c>
      <c r="F302" s="720">
        <v>22344290.219599999</v>
      </c>
      <c r="G302" s="721">
        <v>57.260199999999998</v>
      </c>
      <c r="H302" s="722">
        <f t="shared" si="15"/>
        <v>73.493799999999993</v>
      </c>
      <c r="I302" s="723">
        <f t="shared" si="16"/>
        <v>-16.23</v>
      </c>
    </row>
    <row r="303" spans="2:9">
      <c r="B303" s="718">
        <v>43942</v>
      </c>
      <c r="C303" s="719">
        <v>2415816851</v>
      </c>
      <c r="D303" s="719">
        <v>774870139</v>
      </c>
      <c r="E303" s="719">
        <f t="shared" si="14"/>
        <v>1640946712</v>
      </c>
      <c r="F303" s="720">
        <v>22337402.730500001</v>
      </c>
      <c r="G303" s="721">
        <v>57.271799999999999</v>
      </c>
      <c r="H303" s="722">
        <f t="shared" si="15"/>
        <v>73.461799999999997</v>
      </c>
      <c r="I303" s="723">
        <f t="shared" si="16"/>
        <v>-16.190000000000001</v>
      </c>
    </row>
    <row r="304" spans="2:9">
      <c r="B304" s="718">
        <v>43943</v>
      </c>
      <c r="C304" s="719">
        <v>2403376518</v>
      </c>
      <c r="D304" s="719">
        <v>775567326</v>
      </c>
      <c r="E304" s="719">
        <f t="shared" si="14"/>
        <v>1627809192</v>
      </c>
      <c r="F304" s="720">
        <v>22538035.602899998</v>
      </c>
      <c r="G304" s="721">
        <v>57.286299999999997</v>
      </c>
      <c r="H304" s="722">
        <f t="shared" si="15"/>
        <v>72.224999999999994</v>
      </c>
      <c r="I304" s="723">
        <f t="shared" si="16"/>
        <v>-14.94</v>
      </c>
    </row>
    <row r="305" spans="2:9">
      <c r="B305" s="718">
        <v>43944</v>
      </c>
      <c r="C305" s="719">
        <v>3611151809</v>
      </c>
      <c r="D305" s="719">
        <v>1978529494</v>
      </c>
      <c r="E305" s="719">
        <f t="shared" si="14"/>
        <v>1632622315</v>
      </c>
      <c r="F305" s="720">
        <v>22690223.5262</v>
      </c>
      <c r="G305" s="721">
        <v>57.300600000000003</v>
      </c>
      <c r="H305" s="722">
        <f t="shared" si="15"/>
        <v>71.952699999999993</v>
      </c>
      <c r="I305" s="723">
        <f t="shared" si="16"/>
        <v>-14.65</v>
      </c>
    </row>
    <row r="306" spans="2:9">
      <c r="B306" s="718">
        <v>43945</v>
      </c>
      <c r="C306" s="719">
        <v>3667749750</v>
      </c>
      <c r="D306" s="719">
        <v>1978571574</v>
      </c>
      <c r="E306" s="719">
        <f t="shared" si="14"/>
        <v>1689178176</v>
      </c>
      <c r="F306" s="720">
        <v>22672833.960200001</v>
      </c>
      <c r="G306" s="721">
        <v>57.316400000000002</v>
      </c>
      <c r="H306" s="722">
        <f t="shared" si="15"/>
        <v>74.502300000000005</v>
      </c>
      <c r="I306" s="723">
        <f t="shared" si="16"/>
        <v>-17.190000000000001</v>
      </c>
    </row>
    <row r="307" spans="2:9">
      <c r="B307" s="718">
        <v>43946</v>
      </c>
      <c r="C307" s="719">
        <v>3668199655</v>
      </c>
      <c r="D307" s="719">
        <v>1978647649</v>
      </c>
      <c r="E307" s="719">
        <f t="shared" si="14"/>
        <v>1689552006</v>
      </c>
      <c r="F307" s="720">
        <v>22788691.785500001</v>
      </c>
      <c r="G307" s="721">
        <v>57.331099999999999</v>
      </c>
      <c r="H307" s="722">
        <f t="shared" si="15"/>
        <v>74.139899999999997</v>
      </c>
      <c r="I307" s="723">
        <f t="shared" si="16"/>
        <v>-16.809999999999999</v>
      </c>
    </row>
    <row r="308" spans="2:9">
      <c r="B308" s="718">
        <v>43947</v>
      </c>
      <c r="C308" s="719">
        <v>3668649260</v>
      </c>
      <c r="D308" s="719">
        <v>1978723688</v>
      </c>
      <c r="E308" s="719">
        <f t="shared" si="14"/>
        <v>1689925572</v>
      </c>
      <c r="F308" s="720">
        <v>22788691.785500001</v>
      </c>
      <c r="G308" s="721">
        <v>57.349200000000003</v>
      </c>
      <c r="H308" s="722">
        <f t="shared" si="15"/>
        <v>74.156300000000002</v>
      </c>
      <c r="I308" s="723">
        <f t="shared" si="16"/>
        <v>-16.809999999999999</v>
      </c>
    </row>
    <row r="309" spans="2:9">
      <c r="B309" s="718">
        <v>43948</v>
      </c>
      <c r="C309" s="719">
        <v>3672915848</v>
      </c>
      <c r="D309" s="719">
        <v>1978805002</v>
      </c>
      <c r="E309" s="719">
        <f t="shared" si="14"/>
        <v>1694110846</v>
      </c>
      <c r="F309" s="720">
        <v>22788691.785500001</v>
      </c>
      <c r="G309" s="721">
        <v>57.364899999999999</v>
      </c>
      <c r="H309" s="722">
        <f t="shared" si="15"/>
        <v>74.34</v>
      </c>
      <c r="I309" s="723">
        <f t="shared" si="16"/>
        <v>-16.98</v>
      </c>
    </row>
    <row r="310" spans="2:9">
      <c r="B310" s="718">
        <v>43949</v>
      </c>
      <c r="C310" s="719">
        <v>2820690232</v>
      </c>
      <c r="D310" s="719">
        <v>1126258002</v>
      </c>
      <c r="E310" s="719">
        <f t="shared" si="14"/>
        <v>1694432230</v>
      </c>
      <c r="F310" s="720">
        <v>22759134.015500002</v>
      </c>
      <c r="G310" s="721">
        <v>57.380600000000001</v>
      </c>
      <c r="H310" s="722">
        <f t="shared" si="15"/>
        <v>74.450599999999994</v>
      </c>
      <c r="I310" s="723">
        <f t="shared" si="16"/>
        <v>-17.07</v>
      </c>
    </row>
    <row r="311" spans="2:9">
      <c r="B311" s="718">
        <v>43950</v>
      </c>
      <c r="C311" s="719">
        <v>1672328713</v>
      </c>
      <c r="D311" s="719">
        <v>27633304</v>
      </c>
      <c r="E311" s="719">
        <f t="shared" si="14"/>
        <v>1644695409</v>
      </c>
      <c r="F311" s="720">
        <v>22868924.557100002</v>
      </c>
      <c r="G311" s="721">
        <v>57.396500000000003</v>
      </c>
      <c r="H311" s="722">
        <f t="shared" si="15"/>
        <v>71.918400000000005</v>
      </c>
      <c r="I311" s="723">
        <f t="shared" si="16"/>
        <v>-14.52</v>
      </c>
    </row>
    <row r="312" spans="2:9">
      <c r="B312" s="718">
        <v>43951</v>
      </c>
      <c r="C312" s="719">
        <v>1710331938</v>
      </c>
      <c r="D312" s="719">
        <v>27906632</v>
      </c>
      <c r="E312" s="719">
        <f t="shared" si="14"/>
        <v>1682425306</v>
      </c>
      <c r="F312" s="720">
        <v>22868924.557100002</v>
      </c>
      <c r="G312" s="721">
        <v>57.412300000000002</v>
      </c>
      <c r="H312" s="722">
        <f t="shared" si="15"/>
        <v>73.568200000000004</v>
      </c>
      <c r="I312" s="723">
        <f t="shared" si="16"/>
        <v>-16.16</v>
      </c>
    </row>
    <row r="313" spans="2:9">
      <c r="B313" s="718">
        <v>43952</v>
      </c>
      <c r="C313" s="719">
        <v>1710787166</v>
      </c>
      <c r="D313" s="719">
        <v>27982964</v>
      </c>
      <c r="E313" s="719">
        <f t="shared" si="14"/>
        <v>1682804202</v>
      </c>
      <c r="F313" s="720">
        <v>22926353.6219</v>
      </c>
      <c r="G313" s="721">
        <v>57.429299999999998</v>
      </c>
      <c r="H313" s="722">
        <f t="shared" si="15"/>
        <v>73.400400000000005</v>
      </c>
      <c r="I313" s="723">
        <f t="shared" si="16"/>
        <v>-15.97</v>
      </c>
    </row>
    <row r="314" spans="2:9">
      <c r="B314" s="718">
        <v>43953</v>
      </c>
      <c r="C314" s="719">
        <v>1711513080</v>
      </c>
      <c r="D314" s="719">
        <v>28095069</v>
      </c>
      <c r="E314" s="719">
        <f t="shared" si="14"/>
        <v>1683418011</v>
      </c>
      <c r="F314" s="720">
        <v>22930705.1875</v>
      </c>
      <c r="G314" s="721">
        <v>57.445099999999996</v>
      </c>
      <c r="H314" s="722">
        <f t="shared" si="15"/>
        <v>73.413300000000007</v>
      </c>
      <c r="I314" s="723">
        <f t="shared" si="16"/>
        <v>-15.97</v>
      </c>
    </row>
    <row r="315" spans="2:9">
      <c r="B315" s="718">
        <v>43954</v>
      </c>
      <c r="C315" s="719">
        <v>1711960445</v>
      </c>
      <c r="D315" s="719">
        <v>28170762</v>
      </c>
      <c r="E315" s="719">
        <f t="shared" si="14"/>
        <v>1683789683</v>
      </c>
      <c r="F315" s="720">
        <v>22930705.1875</v>
      </c>
      <c r="G315" s="721">
        <v>57.460900000000002</v>
      </c>
      <c r="H315" s="722">
        <f t="shared" si="15"/>
        <v>73.429500000000004</v>
      </c>
      <c r="I315" s="723">
        <f t="shared" si="16"/>
        <v>-15.97</v>
      </c>
    </row>
    <row r="316" spans="2:9">
      <c r="B316" s="718">
        <v>43955</v>
      </c>
      <c r="C316" s="719">
        <v>2226270953</v>
      </c>
      <c r="D316" s="719">
        <v>518552298</v>
      </c>
      <c r="E316" s="719">
        <f t="shared" si="14"/>
        <v>1707718655</v>
      </c>
      <c r="F316" s="720">
        <v>22930705.1875</v>
      </c>
      <c r="G316" s="721">
        <v>57.476799999999997</v>
      </c>
      <c r="H316" s="722">
        <f t="shared" si="15"/>
        <v>74.472999999999999</v>
      </c>
      <c r="I316" s="723">
        <f t="shared" si="16"/>
        <v>-17</v>
      </c>
    </row>
    <row r="317" spans="2:9">
      <c r="B317" s="718">
        <v>43956</v>
      </c>
      <c r="C317" s="719">
        <v>2247165043</v>
      </c>
      <c r="D317" s="719">
        <v>518588951</v>
      </c>
      <c r="E317" s="719">
        <f t="shared" si="14"/>
        <v>1728576092</v>
      </c>
      <c r="F317" s="720">
        <v>23039599.232999999</v>
      </c>
      <c r="G317" s="721">
        <v>57.4709</v>
      </c>
      <c r="H317" s="722">
        <f t="shared" si="15"/>
        <v>75.026300000000006</v>
      </c>
      <c r="I317" s="723">
        <f t="shared" si="16"/>
        <v>-17.559999999999999</v>
      </c>
    </row>
    <row r="318" spans="2:9">
      <c r="B318" s="718">
        <v>43957</v>
      </c>
      <c r="C318" s="719">
        <v>2238090828</v>
      </c>
      <c r="D318" s="719">
        <v>518626936</v>
      </c>
      <c r="E318" s="719">
        <f t="shared" si="14"/>
        <v>1719463892</v>
      </c>
      <c r="F318" s="720">
        <v>23316441.1633</v>
      </c>
      <c r="G318" s="721">
        <v>57.485700000000001</v>
      </c>
      <c r="H318" s="722">
        <f t="shared" si="15"/>
        <v>73.744699999999995</v>
      </c>
      <c r="I318" s="723">
        <f t="shared" si="16"/>
        <v>-16.260000000000002</v>
      </c>
    </row>
    <row r="319" spans="2:9">
      <c r="B319" s="718">
        <v>43958</v>
      </c>
      <c r="C319" s="719">
        <v>2217430912</v>
      </c>
      <c r="D319" s="719">
        <v>518505240</v>
      </c>
      <c r="E319" s="719">
        <f t="shared" si="14"/>
        <v>1698925672</v>
      </c>
      <c r="F319" s="720">
        <v>23411905.730099998</v>
      </c>
      <c r="G319" s="721">
        <v>57.5015</v>
      </c>
      <c r="H319" s="722">
        <f t="shared" si="15"/>
        <v>72.566699999999997</v>
      </c>
      <c r="I319" s="723">
        <f t="shared" si="16"/>
        <v>-15.07</v>
      </c>
    </row>
    <row r="320" spans="2:9">
      <c r="B320" s="718">
        <v>43959</v>
      </c>
      <c r="C320" s="719">
        <v>2217267636</v>
      </c>
      <c r="D320" s="719">
        <v>518495340</v>
      </c>
      <c r="E320" s="719">
        <f t="shared" si="14"/>
        <v>1698772296</v>
      </c>
      <c r="F320" s="720">
        <v>23344045.8596</v>
      </c>
      <c r="G320" s="721">
        <v>57.5137</v>
      </c>
      <c r="H320" s="722">
        <f t="shared" si="15"/>
        <v>72.771100000000004</v>
      </c>
      <c r="I320" s="723">
        <f t="shared" si="16"/>
        <v>-15.26</v>
      </c>
    </row>
    <row r="321" spans="2:9">
      <c r="B321" s="718">
        <v>43960</v>
      </c>
      <c r="C321" s="719">
        <v>2217747151</v>
      </c>
      <c r="D321" s="719">
        <v>518574583</v>
      </c>
      <c r="E321" s="719">
        <f t="shared" si="14"/>
        <v>1699172568</v>
      </c>
      <c r="F321" s="720">
        <v>23664549.0931</v>
      </c>
      <c r="G321" s="721">
        <v>57.525300000000001</v>
      </c>
      <c r="H321" s="722">
        <f t="shared" si="15"/>
        <v>71.802400000000006</v>
      </c>
      <c r="I321" s="723">
        <f t="shared" si="16"/>
        <v>-14.28</v>
      </c>
    </row>
    <row r="322" spans="2:9">
      <c r="B322" s="718">
        <v>43961</v>
      </c>
      <c r="C322" s="719">
        <v>2218226890</v>
      </c>
      <c r="D322" s="719">
        <v>518654649</v>
      </c>
      <c r="E322" s="719">
        <f t="shared" si="14"/>
        <v>1699572241</v>
      </c>
      <c r="F322" s="720">
        <v>23664549.0931</v>
      </c>
      <c r="G322" s="721">
        <v>57.540700000000001</v>
      </c>
      <c r="H322" s="722">
        <f t="shared" si="15"/>
        <v>71.819299999999998</v>
      </c>
      <c r="I322" s="723">
        <f t="shared" si="16"/>
        <v>-14.28</v>
      </c>
    </row>
    <row r="323" spans="2:9">
      <c r="B323" s="718">
        <v>43962</v>
      </c>
      <c r="C323" s="719">
        <v>2235547364</v>
      </c>
      <c r="D323" s="719">
        <v>518699614</v>
      </c>
      <c r="E323" s="719">
        <f t="shared" si="14"/>
        <v>1716847750</v>
      </c>
      <c r="F323" s="720">
        <v>23664549.0931</v>
      </c>
      <c r="G323" s="721">
        <v>57.555999999999997</v>
      </c>
      <c r="H323" s="722">
        <f t="shared" si="15"/>
        <v>72.549400000000006</v>
      </c>
      <c r="I323" s="723">
        <f t="shared" si="16"/>
        <v>-14.99</v>
      </c>
    </row>
    <row r="324" spans="2:9">
      <c r="B324" s="718">
        <v>43963</v>
      </c>
      <c r="C324" s="719">
        <v>2231257243</v>
      </c>
      <c r="D324" s="719">
        <v>522757271</v>
      </c>
      <c r="E324" s="719">
        <f t="shared" si="14"/>
        <v>1708499972</v>
      </c>
      <c r="F324" s="720">
        <v>23619405.3213</v>
      </c>
      <c r="G324" s="721">
        <v>57.5351</v>
      </c>
      <c r="H324" s="722">
        <f t="shared" si="15"/>
        <v>72.334599999999995</v>
      </c>
      <c r="I324" s="723">
        <f t="shared" si="16"/>
        <v>-14.8</v>
      </c>
    </row>
    <row r="325" spans="2:9">
      <c r="B325" s="718">
        <v>43964</v>
      </c>
      <c r="C325" s="719">
        <v>2230447459</v>
      </c>
      <c r="D325" s="719">
        <v>522813719</v>
      </c>
      <c r="E325" s="719">
        <f t="shared" si="14"/>
        <v>1707633740</v>
      </c>
      <c r="F325" s="720">
        <v>23751221.663400002</v>
      </c>
      <c r="G325" s="721">
        <v>57.351700000000001</v>
      </c>
      <c r="H325" s="722">
        <f t="shared" si="15"/>
        <v>71.896699999999996</v>
      </c>
      <c r="I325" s="723">
        <f t="shared" si="16"/>
        <v>-14.55</v>
      </c>
    </row>
    <row r="326" spans="2:9">
      <c r="B326" s="718">
        <v>43965</v>
      </c>
      <c r="C326" s="719">
        <v>2246717682</v>
      </c>
      <c r="D326" s="719">
        <v>523064744</v>
      </c>
      <c r="E326" s="719">
        <f t="shared" si="14"/>
        <v>1723652938</v>
      </c>
      <c r="F326" s="720">
        <v>23696020.0645</v>
      </c>
      <c r="G326" s="721">
        <v>57.358699999999999</v>
      </c>
      <c r="H326" s="722">
        <f t="shared" si="15"/>
        <v>72.740200000000002</v>
      </c>
      <c r="I326" s="723">
        <f t="shared" si="16"/>
        <v>-15.38</v>
      </c>
    </row>
    <row r="327" spans="2:9">
      <c r="B327" s="718">
        <v>43966</v>
      </c>
      <c r="C327" s="719">
        <v>2336412844</v>
      </c>
      <c r="D327" s="719">
        <v>523295353</v>
      </c>
      <c r="E327" s="719">
        <f t="shared" si="14"/>
        <v>1813117491</v>
      </c>
      <c r="F327" s="720">
        <v>25479170.995000001</v>
      </c>
      <c r="G327" s="721">
        <v>57.375999999999998</v>
      </c>
      <c r="H327" s="722">
        <f t="shared" si="15"/>
        <v>71.160799999999995</v>
      </c>
      <c r="I327" s="723">
        <f t="shared" si="16"/>
        <v>-13.78</v>
      </c>
    </row>
    <row r="328" spans="2:9">
      <c r="B328" s="718">
        <v>43967</v>
      </c>
      <c r="C328" s="719">
        <v>2448228575</v>
      </c>
      <c r="D328" s="719">
        <v>523362987</v>
      </c>
      <c r="E328" s="719">
        <f t="shared" ref="E328:E368" si="17">C328-D328</f>
        <v>1924865588</v>
      </c>
      <c r="F328" s="720">
        <v>25467984.525600001</v>
      </c>
      <c r="G328" s="721">
        <v>57.391199999999998</v>
      </c>
      <c r="H328" s="722">
        <f t="shared" si="15"/>
        <v>75.579800000000006</v>
      </c>
      <c r="I328" s="723">
        <f t="shared" si="16"/>
        <v>-18.190000000000001</v>
      </c>
    </row>
    <row r="329" spans="2:9">
      <c r="B329" s="718">
        <v>43968</v>
      </c>
      <c r="C329" s="719">
        <v>2448728038</v>
      </c>
      <c r="D329" s="719">
        <v>523447649</v>
      </c>
      <c r="E329" s="719">
        <f t="shared" si="17"/>
        <v>1925280389</v>
      </c>
      <c r="F329" s="720">
        <v>25434167.613000002</v>
      </c>
      <c r="G329" s="721">
        <v>57.4071</v>
      </c>
      <c r="H329" s="722">
        <f t="shared" ref="H329:H373" si="18">ROUND(E329/F329,4)</f>
        <v>75.696600000000004</v>
      </c>
      <c r="I329" s="723">
        <f t="shared" si="16"/>
        <v>-18.29</v>
      </c>
    </row>
    <row r="330" spans="2:9">
      <c r="B330" s="718">
        <v>43969</v>
      </c>
      <c r="C330" s="719">
        <v>2450228645</v>
      </c>
      <c r="D330" s="719">
        <v>523421575</v>
      </c>
      <c r="E330" s="719">
        <f t="shared" si="17"/>
        <v>1926807070</v>
      </c>
      <c r="F330" s="720">
        <v>25434167.613000002</v>
      </c>
      <c r="G330" s="721">
        <v>57.422800000000002</v>
      </c>
      <c r="H330" s="722">
        <f t="shared" si="18"/>
        <v>75.756600000000006</v>
      </c>
      <c r="I330" s="723">
        <f t="shared" si="16"/>
        <v>-18.329999999999998</v>
      </c>
    </row>
    <row r="331" spans="2:9">
      <c r="B331" s="718">
        <v>43970</v>
      </c>
      <c r="C331" s="719">
        <v>1968508231</v>
      </c>
      <c r="D331" s="719">
        <v>23702316</v>
      </c>
      <c r="E331" s="719">
        <f t="shared" si="17"/>
        <v>1944805915</v>
      </c>
      <c r="F331" s="720">
        <v>25434149.0108</v>
      </c>
      <c r="G331" s="721">
        <v>57.424399999999999</v>
      </c>
      <c r="H331" s="722">
        <f t="shared" si="18"/>
        <v>76.464399999999998</v>
      </c>
      <c r="I331" s="723">
        <f t="shared" si="16"/>
        <v>-19.04</v>
      </c>
    </row>
    <row r="332" spans="2:9">
      <c r="B332" s="718">
        <v>43971</v>
      </c>
      <c r="C332" s="719">
        <v>2409459475</v>
      </c>
      <c r="D332" s="719">
        <v>270279731</v>
      </c>
      <c r="E332" s="719">
        <f t="shared" si="17"/>
        <v>2139179744</v>
      </c>
      <c r="F332" s="720">
        <v>25310051.851500001</v>
      </c>
      <c r="G332" s="721">
        <v>57.417999999999999</v>
      </c>
      <c r="H332" s="722">
        <f t="shared" si="18"/>
        <v>84.519000000000005</v>
      </c>
      <c r="I332" s="723">
        <f t="shared" si="16"/>
        <v>-27.1</v>
      </c>
    </row>
    <row r="333" spans="2:9">
      <c r="B333" s="718">
        <v>43972</v>
      </c>
      <c r="C333" s="719">
        <v>2400066539</v>
      </c>
      <c r="D333" s="719">
        <v>271292371</v>
      </c>
      <c r="E333" s="719">
        <f t="shared" si="17"/>
        <v>2128774168</v>
      </c>
      <c r="F333" s="720">
        <v>25212807.383900002</v>
      </c>
      <c r="G333" s="721">
        <v>57.447099999999999</v>
      </c>
      <c r="H333" s="722">
        <f t="shared" si="18"/>
        <v>84.432299999999998</v>
      </c>
      <c r="I333" s="723">
        <f t="shared" si="16"/>
        <v>-26.99</v>
      </c>
    </row>
    <row r="334" spans="2:9">
      <c r="B334" s="718">
        <v>43973</v>
      </c>
      <c r="C334" s="719">
        <v>2400611470</v>
      </c>
      <c r="D334" s="719">
        <v>271384801</v>
      </c>
      <c r="E334" s="719">
        <f t="shared" si="17"/>
        <v>2129226669</v>
      </c>
      <c r="F334" s="720">
        <v>25082005.522</v>
      </c>
      <c r="G334" s="721">
        <v>57.441800000000001</v>
      </c>
      <c r="H334" s="722">
        <f t="shared" si="18"/>
        <v>84.890600000000006</v>
      </c>
      <c r="I334" s="723">
        <f t="shared" si="16"/>
        <v>-27.45</v>
      </c>
    </row>
    <row r="335" spans="2:9">
      <c r="B335" s="718">
        <v>43974</v>
      </c>
      <c r="C335" s="719">
        <v>2401155157</v>
      </c>
      <c r="D335" s="719">
        <v>271477072</v>
      </c>
      <c r="E335" s="719">
        <f t="shared" si="17"/>
        <v>2129678085</v>
      </c>
      <c r="F335" s="720">
        <v>25050991.102000002</v>
      </c>
      <c r="G335" s="721">
        <v>57.475000000000001</v>
      </c>
      <c r="H335" s="722">
        <f t="shared" si="18"/>
        <v>85.0137</v>
      </c>
      <c r="I335" s="723">
        <f t="shared" si="16"/>
        <v>-27.54</v>
      </c>
    </row>
    <row r="336" spans="2:9">
      <c r="B336" s="718">
        <v>43975</v>
      </c>
      <c r="C336" s="719">
        <v>2401698844</v>
      </c>
      <c r="D336" s="719">
        <v>271569348</v>
      </c>
      <c r="E336" s="719">
        <f t="shared" si="17"/>
        <v>2130129496</v>
      </c>
      <c r="F336" s="720">
        <v>25050991.102000002</v>
      </c>
      <c r="G336" s="721">
        <v>57.484499999999997</v>
      </c>
      <c r="H336" s="722">
        <f t="shared" si="18"/>
        <v>85.031700000000001</v>
      </c>
      <c r="I336" s="723">
        <f t="shared" si="16"/>
        <v>-27.55</v>
      </c>
    </row>
    <row r="337" spans="2:9">
      <c r="B337" s="718">
        <v>43976</v>
      </c>
      <c r="C337" s="719">
        <v>2402243106</v>
      </c>
      <c r="D337" s="719">
        <v>271661703</v>
      </c>
      <c r="E337" s="719">
        <f t="shared" si="17"/>
        <v>2130581403</v>
      </c>
      <c r="F337" s="720">
        <v>25050991.102000002</v>
      </c>
      <c r="G337" s="721">
        <v>57.494300000000003</v>
      </c>
      <c r="H337" s="722">
        <f t="shared" si="18"/>
        <v>85.049800000000005</v>
      </c>
      <c r="I337" s="723">
        <f t="shared" si="16"/>
        <v>-27.56</v>
      </c>
    </row>
    <row r="338" spans="2:9">
      <c r="B338" s="718">
        <v>43977</v>
      </c>
      <c r="C338" s="719">
        <v>2402786942</v>
      </c>
      <c r="D338" s="719">
        <v>271754008</v>
      </c>
      <c r="E338" s="719">
        <f t="shared" si="17"/>
        <v>2131032934</v>
      </c>
      <c r="F338" s="720">
        <v>25117252.861200001</v>
      </c>
      <c r="G338" s="721">
        <v>57.51</v>
      </c>
      <c r="H338" s="722">
        <f t="shared" si="18"/>
        <v>84.843400000000003</v>
      </c>
      <c r="I338" s="723">
        <f t="shared" si="16"/>
        <v>-27.33</v>
      </c>
    </row>
    <row r="339" spans="2:9">
      <c r="B339" s="718">
        <v>43978</v>
      </c>
      <c r="C339" s="719">
        <v>2403167820</v>
      </c>
      <c r="D339" s="719">
        <v>271843089</v>
      </c>
      <c r="E339" s="719">
        <f t="shared" si="17"/>
        <v>2131324731</v>
      </c>
      <c r="F339" s="720">
        <v>25424869.6127</v>
      </c>
      <c r="G339" s="721">
        <v>57.525199999999998</v>
      </c>
      <c r="H339" s="722">
        <f t="shared" si="18"/>
        <v>83.828299999999999</v>
      </c>
      <c r="I339" s="723">
        <f t="shared" si="16"/>
        <v>-26.3</v>
      </c>
    </row>
    <row r="340" spans="2:9">
      <c r="B340" s="718">
        <v>43979</v>
      </c>
      <c r="C340" s="719">
        <v>2378272543</v>
      </c>
      <c r="D340" s="719">
        <v>272591627</v>
      </c>
      <c r="E340" s="719">
        <f t="shared" si="17"/>
        <v>2105680916</v>
      </c>
      <c r="F340" s="720">
        <v>24729883.240699999</v>
      </c>
      <c r="G340" s="721">
        <v>57.540300000000002</v>
      </c>
      <c r="H340" s="722">
        <f t="shared" si="18"/>
        <v>85.147199999999998</v>
      </c>
      <c r="I340" s="723">
        <f t="shared" si="16"/>
        <v>-27.61</v>
      </c>
    </row>
    <row r="341" spans="2:9">
      <c r="B341" s="718">
        <v>43980</v>
      </c>
      <c r="C341" s="719">
        <v>2128670893</v>
      </c>
      <c r="D341" s="719">
        <v>24634641</v>
      </c>
      <c r="E341" s="719">
        <f t="shared" si="17"/>
        <v>2104036252</v>
      </c>
      <c r="F341" s="720">
        <v>23721214.3763</v>
      </c>
      <c r="G341" s="721">
        <v>57.614400000000003</v>
      </c>
      <c r="H341" s="722">
        <f t="shared" si="18"/>
        <v>88.698499999999996</v>
      </c>
      <c r="I341" s="723">
        <f t="shared" si="16"/>
        <v>-31.08</v>
      </c>
    </row>
    <row r="342" spans="2:9">
      <c r="B342" s="718">
        <v>43981</v>
      </c>
      <c r="C342" s="719">
        <v>2129218064</v>
      </c>
      <c r="D342" s="719">
        <v>24727266</v>
      </c>
      <c r="E342" s="719">
        <f t="shared" si="17"/>
        <v>2104490798</v>
      </c>
      <c r="F342" s="720">
        <v>23694454.199999999</v>
      </c>
      <c r="G342" s="721">
        <v>57.6297</v>
      </c>
      <c r="H342" s="722">
        <f t="shared" si="18"/>
        <v>88.817899999999995</v>
      </c>
      <c r="I342" s="723">
        <f t="shared" si="16"/>
        <v>-31.19</v>
      </c>
    </row>
    <row r="343" spans="2:9">
      <c r="B343" s="718">
        <v>43982</v>
      </c>
      <c r="C343" s="719">
        <v>2129895072</v>
      </c>
      <c r="D343" s="719">
        <v>24976024</v>
      </c>
      <c r="E343" s="719">
        <f t="shared" si="17"/>
        <v>2104919048</v>
      </c>
      <c r="F343" s="720">
        <v>23694454.199999999</v>
      </c>
      <c r="G343" s="721">
        <v>57.6464</v>
      </c>
      <c r="H343" s="722">
        <f t="shared" si="18"/>
        <v>88.835899999999995</v>
      </c>
      <c r="I343" s="723">
        <f t="shared" si="16"/>
        <v>-31.19</v>
      </c>
    </row>
    <row r="344" spans="2:9">
      <c r="B344" s="718">
        <v>43983</v>
      </c>
      <c r="C344" s="719">
        <v>2216077051</v>
      </c>
      <c r="D344" s="719">
        <v>100177959</v>
      </c>
      <c r="E344" s="719">
        <f t="shared" si="17"/>
        <v>2115899092</v>
      </c>
      <c r="F344" s="720">
        <v>23694454.199999999</v>
      </c>
      <c r="G344" s="721">
        <v>57.6631</v>
      </c>
      <c r="H344" s="722">
        <f t="shared" si="18"/>
        <v>89.299300000000002</v>
      </c>
      <c r="I344" s="723">
        <f t="shared" si="16"/>
        <v>-31.64</v>
      </c>
    </row>
    <row r="345" spans="2:9">
      <c r="B345" s="718">
        <v>43984</v>
      </c>
      <c r="C345" s="719">
        <v>2046116852</v>
      </c>
      <c r="D345" s="719">
        <v>23180663</v>
      </c>
      <c r="E345" s="719">
        <f t="shared" si="17"/>
        <v>2022936189</v>
      </c>
      <c r="F345" s="720">
        <v>24301270.743999999</v>
      </c>
      <c r="G345" s="721">
        <v>57.6783</v>
      </c>
      <c r="H345" s="722">
        <f t="shared" si="18"/>
        <v>83.244</v>
      </c>
      <c r="I345" s="723">
        <f t="shared" si="16"/>
        <v>-25.57</v>
      </c>
    </row>
    <row r="346" spans="2:9">
      <c r="B346" s="718">
        <v>43985</v>
      </c>
      <c r="C346" s="719">
        <v>2040516829</v>
      </c>
      <c r="D346" s="719">
        <v>23150251</v>
      </c>
      <c r="E346" s="719">
        <f t="shared" si="17"/>
        <v>2017366578</v>
      </c>
      <c r="F346" s="720">
        <v>24301270.743999999</v>
      </c>
      <c r="G346" s="721">
        <v>57.694600000000001</v>
      </c>
      <c r="H346" s="722">
        <f t="shared" si="18"/>
        <v>83.014899999999997</v>
      </c>
      <c r="I346" s="723">
        <f t="shared" si="16"/>
        <v>-25.32</v>
      </c>
    </row>
    <row r="347" spans="2:9">
      <c r="B347" s="718">
        <v>43986</v>
      </c>
      <c r="C347" s="719">
        <v>2054032298</v>
      </c>
      <c r="D347" s="719">
        <v>23298776</v>
      </c>
      <c r="E347" s="719">
        <f t="shared" si="17"/>
        <v>2030733522</v>
      </c>
      <c r="F347" s="720">
        <v>24301270.743999999</v>
      </c>
      <c r="G347" s="721">
        <v>57.710999999999999</v>
      </c>
      <c r="H347" s="722">
        <f t="shared" si="18"/>
        <v>83.564899999999994</v>
      </c>
      <c r="I347" s="723">
        <f t="shared" si="16"/>
        <v>-25.85</v>
      </c>
    </row>
    <row r="348" spans="2:9">
      <c r="B348" s="718">
        <v>43987</v>
      </c>
      <c r="C348" s="719">
        <v>2380941283</v>
      </c>
      <c r="D348" s="719">
        <v>317485907</v>
      </c>
      <c r="E348" s="719">
        <f t="shared" si="17"/>
        <v>2063455376</v>
      </c>
      <c r="F348" s="720">
        <v>24301270.743999999</v>
      </c>
      <c r="G348" s="721">
        <v>57.727400000000003</v>
      </c>
      <c r="H348" s="722">
        <f t="shared" si="18"/>
        <v>84.9114</v>
      </c>
      <c r="I348" s="723">
        <f t="shared" si="16"/>
        <v>-27.18</v>
      </c>
    </row>
    <row r="349" spans="2:9">
      <c r="B349" s="718">
        <v>43988</v>
      </c>
      <c r="C349" s="719">
        <v>2402360755</v>
      </c>
      <c r="D349" s="719">
        <v>317580175</v>
      </c>
      <c r="E349" s="719">
        <f t="shared" si="17"/>
        <v>2084780580</v>
      </c>
      <c r="F349" s="720">
        <v>24289245.897</v>
      </c>
      <c r="G349" s="721">
        <v>57.772300000000001</v>
      </c>
      <c r="H349" s="722">
        <f t="shared" si="18"/>
        <v>85.831400000000002</v>
      </c>
      <c r="I349" s="723">
        <f t="shared" si="16"/>
        <v>-28.06</v>
      </c>
    </row>
    <row r="350" spans="2:9">
      <c r="B350" s="718">
        <v>43989</v>
      </c>
      <c r="C350" s="719">
        <v>2402901309</v>
      </c>
      <c r="D350" s="719">
        <v>317660966</v>
      </c>
      <c r="E350" s="719">
        <f t="shared" si="17"/>
        <v>2085240343</v>
      </c>
      <c r="F350" s="720">
        <v>24301270.743999999</v>
      </c>
      <c r="G350" s="721">
        <v>57.760100000000001</v>
      </c>
      <c r="H350" s="722">
        <f t="shared" si="18"/>
        <v>85.807900000000004</v>
      </c>
      <c r="I350" s="723">
        <f t="shared" ref="I350:I373" si="19">ROUND(G350-H350,2)</f>
        <v>-28.05</v>
      </c>
    </row>
    <row r="351" spans="2:9">
      <c r="B351" s="718">
        <v>43990</v>
      </c>
      <c r="C351" s="719">
        <v>2109438723</v>
      </c>
      <c r="D351" s="719">
        <v>23871835</v>
      </c>
      <c r="E351" s="719">
        <f t="shared" si="17"/>
        <v>2085566888</v>
      </c>
      <c r="F351" s="720">
        <v>24301270.743999999</v>
      </c>
      <c r="G351" s="721">
        <v>57.776499999999999</v>
      </c>
      <c r="H351" s="722">
        <f t="shared" si="18"/>
        <v>85.821299999999994</v>
      </c>
      <c r="I351" s="723">
        <f t="shared" si="19"/>
        <v>-28.04</v>
      </c>
    </row>
    <row r="352" spans="2:9">
      <c r="B352" s="718">
        <v>43991</v>
      </c>
      <c r="C352" s="719">
        <v>2100510488</v>
      </c>
      <c r="D352" s="719">
        <v>24004505</v>
      </c>
      <c r="E352" s="719">
        <f t="shared" si="17"/>
        <v>2076505983</v>
      </c>
      <c r="F352" s="720">
        <v>24289852.710999999</v>
      </c>
      <c r="G352" s="721">
        <v>57.815899999999999</v>
      </c>
      <c r="H352" s="722">
        <f t="shared" si="18"/>
        <v>85.488600000000005</v>
      </c>
      <c r="I352" s="723">
        <f t="shared" si="19"/>
        <v>-27.67</v>
      </c>
    </row>
    <row r="353" spans="2:9">
      <c r="B353" s="718">
        <v>43992</v>
      </c>
      <c r="C353" s="719">
        <v>2730203277</v>
      </c>
      <c r="D353" s="719">
        <v>654229031</v>
      </c>
      <c r="E353" s="719">
        <f t="shared" si="17"/>
        <v>2075974246</v>
      </c>
      <c r="F353" s="720">
        <v>24479025.5801</v>
      </c>
      <c r="G353" s="721">
        <v>57.8429</v>
      </c>
      <c r="H353" s="722">
        <f t="shared" si="18"/>
        <v>84.806200000000004</v>
      </c>
      <c r="I353" s="723">
        <f t="shared" si="19"/>
        <v>-26.96</v>
      </c>
    </row>
    <row r="354" spans="2:9">
      <c r="B354" s="718">
        <v>43993</v>
      </c>
      <c r="C354" s="719">
        <v>2094019333</v>
      </c>
      <c r="D354" s="719">
        <v>24242600</v>
      </c>
      <c r="E354" s="719">
        <f t="shared" si="17"/>
        <v>2069776733</v>
      </c>
      <c r="F354" s="720">
        <v>24486718.9428</v>
      </c>
      <c r="G354" s="721">
        <v>57.859900000000003</v>
      </c>
      <c r="H354" s="722">
        <f t="shared" si="18"/>
        <v>84.526499999999999</v>
      </c>
      <c r="I354" s="723">
        <f t="shared" si="19"/>
        <v>-26.67</v>
      </c>
    </row>
    <row r="355" spans="2:9">
      <c r="B355" s="718">
        <v>43994</v>
      </c>
      <c r="C355" s="719">
        <v>2093556610</v>
      </c>
      <c r="D355" s="719">
        <v>24285826</v>
      </c>
      <c r="E355" s="719">
        <f t="shared" si="17"/>
        <v>2069270784</v>
      </c>
      <c r="F355" s="720">
        <v>24455259.924199998</v>
      </c>
      <c r="G355" s="721">
        <v>57.876399999999997</v>
      </c>
      <c r="H355" s="722">
        <f t="shared" si="18"/>
        <v>84.614500000000007</v>
      </c>
      <c r="I355" s="723">
        <f t="shared" si="19"/>
        <v>-26.74</v>
      </c>
    </row>
    <row r="356" spans="2:9">
      <c r="B356" s="718">
        <v>43995</v>
      </c>
      <c r="C356" s="719">
        <v>2094111544</v>
      </c>
      <c r="D356" s="719">
        <v>24377167</v>
      </c>
      <c r="E356" s="719">
        <f t="shared" si="17"/>
        <v>2069734377</v>
      </c>
      <c r="F356" s="720">
        <v>24323571.646600001</v>
      </c>
      <c r="G356" s="721">
        <v>57.878399999999999</v>
      </c>
      <c r="H356" s="722">
        <f t="shared" si="18"/>
        <v>85.091700000000003</v>
      </c>
      <c r="I356" s="723">
        <f t="shared" si="19"/>
        <v>-27.21</v>
      </c>
    </row>
    <row r="357" spans="2:9">
      <c r="B357" s="718">
        <v>43996</v>
      </c>
      <c r="C357" s="719">
        <v>2094606213</v>
      </c>
      <c r="D357" s="719">
        <v>24469610</v>
      </c>
      <c r="E357" s="719">
        <f t="shared" si="17"/>
        <v>2070136603</v>
      </c>
      <c r="F357" s="720">
        <v>24323571.646600001</v>
      </c>
      <c r="G357" s="721">
        <v>57.890099999999997</v>
      </c>
      <c r="H357" s="722">
        <f t="shared" si="18"/>
        <v>85.108199999999997</v>
      </c>
      <c r="I357" s="723">
        <f t="shared" si="19"/>
        <v>-27.22</v>
      </c>
    </row>
    <row r="358" spans="2:9">
      <c r="B358" s="718">
        <v>43997</v>
      </c>
      <c r="C358" s="719">
        <v>3371332921</v>
      </c>
      <c r="D358" s="719">
        <v>1003430306</v>
      </c>
      <c r="E358" s="719">
        <f t="shared" si="17"/>
        <v>2367902615</v>
      </c>
      <c r="F358" s="720">
        <v>24323571.646600001</v>
      </c>
      <c r="G358" s="721">
        <v>57.901600000000002</v>
      </c>
      <c r="H358" s="722">
        <f t="shared" si="18"/>
        <v>97.350099999999998</v>
      </c>
      <c r="I358" s="723">
        <f t="shared" si="19"/>
        <v>-39.450000000000003</v>
      </c>
    </row>
    <row r="359" spans="2:9">
      <c r="B359" s="718">
        <v>43998</v>
      </c>
      <c r="C359" s="719">
        <v>3357646150</v>
      </c>
      <c r="D359" s="719">
        <v>1003539239</v>
      </c>
      <c r="E359" s="719">
        <f t="shared" si="17"/>
        <v>2354106911</v>
      </c>
      <c r="F359" s="720">
        <v>24295767.584100001</v>
      </c>
      <c r="G359" s="721">
        <v>57.923000000000002</v>
      </c>
      <c r="H359" s="722">
        <f t="shared" si="18"/>
        <v>96.893699999999995</v>
      </c>
      <c r="I359" s="723">
        <f t="shared" si="19"/>
        <v>-38.97</v>
      </c>
    </row>
    <row r="360" spans="2:9">
      <c r="B360" s="718">
        <v>43999</v>
      </c>
      <c r="C360" s="719">
        <v>2376753137</v>
      </c>
      <c r="D360" s="719">
        <v>24833213</v>
      </c>
      <c r="E360" s="719">
        <f t="shared" si="17"/>
        <v>2351919924</v>
      </c>
      <c r="F360" s="720">
        <v>24311561.915399998</v>
      </c>
      <c r="G360" s="721">
        <v>57.938699999999997</v>
      </c>
      <c r="H360" s="722">
        <f t="shared" si="18"/>
        <v>96.740799999999993</v>
      </c>
      <c r="I360" s="723">
        <f t="shared" si="19"/>
        <v>-38.799999999999997</v>
      </c>
    </row>
    <row r="361" spans="2:9">
      <c r="B361" s="718">
        <v>44000</v>
      </c>
      <c r="C361" s="719">
        <v>2957232650</v>
      </c>
      <c r="D361" s="719">
        <v>612568435</v>
      </c>
      <c r="E361" s="719">
        <f t="shared" si="17"/>
        <v>2344664215</v>
      </c>
      <c r="F361" s="720">
        <v>24313228.524999999</v>
      </c>
      <c r="G361" s="721">
        <v>57.954799999999999</v>
      </c>
      <c r="H361" s="722">
        <f t="shared" si="18"/>
        <v>96.435699999999997</v>
      </c>
      <c r="I361" s="723">
        <f t="shared" si="19"/>
        <v>-38.479999999999997</v>
      </c>
    </row>
    <row r="362" spans="2:9">
      <c r="B362" s="718">
        <v>44001</v>
      </c>
      <c r="C362" s="719">
        <v>3652817606</v>
      </c>
      <c r="D362" s="719">
        <v>1301801948</v>
      </c>
      <c r="E362" s="719">
        <f t="shared" si="17"/>
        <v>2351015658</v>
      </c>
      <c r="F362" s="720">
        <v>24271043.305599999</v>
      </c>
      <c r="G362" s="721">
        <v>57.992699999999999</v>
      </c>
      <c r="H362" s="722">
        <f t="shared" si="18"/>
        <v>96.864999999999995</v>
      </c>
      <c r="I362" s="723">
        <f t="shared" si="19"/>
        <v>-38.869999999999997</v>
      </c>
    </row>
    <row r="363" spans="2:9">
      <c r="B363" s="718">
        <v>44002</v>
      </c>
      <c r="C363" s="719">
        <v>3699840711</v>
      </c>
      <c r="D363" s="719">
        <v>1301905034</v>
      </c>
      <c r="E363" s="719">
        <f t="shared" si="17"/>
        <v>2397935677</v>
      </c>
      <c r="F363" s="720">
        <v>24255661.101799998</v>
      </c>
      <c r="G363" s="721">
        <v>58.009099999999997</v>
      </c>
      <c r="H363" s="722">
        <f t="shared" si="18"/>
        <v>98.860900000000001</v>
      </c>
      <c r="I363" s="723">
        <f t="shared" si="19"/>
        <v>-40.85</v>
      </c>
    </row>
    <row r="364" spans="2:9">
      <c r="B364" s="718">
        <v>44003</v>
      </c>
      <c r="C364" s="719">
        <v>3700280094</v>
      </c>
      <c r="D364" s="719">
        <v>1301834339</v>
      </c>
      <c r="E364" s="719">
        <f t="shared" si="17"/>
        <v>2398445755</v>
      </c>
      <c r="F364" s="720">
        <v>24255661.101799998</v>
      </c>
      <c r="G364" s="721">
        <v>58.025700000000001</v>
      </c>
      <c r="H364" s="722">
        <f t="shared" si="18"/>
        <v>98.881900000000002</v>
      </c>
      <c r="I364" s="723">
        <f t="shared" si="19"/>
        <v>-40.86</v>
      </c>
    </row>
    <row r="365" spans="2:9">
      <c r="B365" s="718">
        <v>44004</v>
      </c>
      <c r="C365" s="719">
        <v>3604039350</v>
      </c>
      <c r="D365" s="719">
        <v>1205206636</v>
      </c>
      <c r="E365" s="719">
        <f t="shared" si="17"/>
        <v>2398832714</v>
      </c>
      <c r="F365" s="720">
        <v>24255661.101799998</v>
      </c>
      <c r="G365" s="721">
        <v>58.042099999999998</v>
      </c>
      <c r="H365" s="722">
        <f t="shared" si="18"/>
        <v>98.897800000000004</v>
      </c>
      <c r="I365" s="723">
        <f t="shared" si="19"/>
        <v>-40.86</v>
      </c>
    </row>
    <row r="366" spans="2:9">
      <c r="B366" s="718">
        <v>44005</v>
      </c>
      <c r="C366" s="719">
        <v>2174671025</v>
      </c>
      <c r="D366" s="719">
        <v>25689534</v>
      </c>
      <c r="E366" s="719">
        <f t="shared" si="17"/>
        <v>2148981491</v>
      </c>
      <c r="F366" s="720">
        <v>24257310.1609</v>
      </c>
      <c r="G366" s="721">
        <v>58.059399999999997</v>
      </c>
      <c r="H366" s="722">
        <f t="shared" si="18"/>
        <v>88.591099999999997</v>
      </c>
      <c r="I366" s="723">
        <f t="shared" si="19"/>
        <v>-30.53</v>
      </c>
    </row>
    <row r="367" spans="2:9">
      <c r="B367" s="718">
        <v>44006</v>
      </c>
      <c r="C367" s="719">
        <v>2195448969</v>
      </c>
      <c r="D367" s="719">
        <v>25840637</v>
      </c>
      <c r="E367" s="719">
        <f t="shared" si="17"/>
        <v>2169608332</v>
      </c>
      <c r="F367" s="720">
        <v>24250838.238299999</v>
      </c>
      <c r="G367" s="721">
        <v>58.074599999999997</v>
      </c>
      <c r="H367" s="722">
        <f t="shared" si="18"/>
        <v>89.465299999999999</v>
      </c>
      <c r="I367" s="723">
        <f t="shared" si="19"/>
        <v>-31.39</v>
      </c>
    </row>
    <row r="368" spans="2:9">
      <c r="B368" s="718">
        <v>44007</v>
      </c>
      <c r="C368" s="719">
        <v>2155637548</v>
      </c>
      <c r="D368" s="719">
        <v>26055112</v>
      </c>
      <c r="E368" s="719">
        <f t="shared" si="17"/>
        <v>2129582436</v>
      </c>
      <c r="F368" s="720">
        <v>24303854.8895</v>
      </c>
      <c r="G368" s="721">
        <v>58.090600000000002</v>
      </c>
      <c r="H368" s="722">
        <f t="shared" si="18"/>
        <v>87.623199999999997</v>
      </c>
      <c r="I368" s="723">
        <f t="shared" si="19"/>
        <v>-29.53</v>
      </c>
    </row>
    <row r="369" spans="2:16">
      <c r="B369" s="718">
        <v>44008</v>
      </c>
      <c r="C369" s="719">
        <v>2143807194</v>
      </c>
      <c r="D369" s="719">
        <v>27251753</v>
      </c>
      <c r="E369" s="719">
        <v>1401726825</v>
      </c>
      <c r="F369" s="720">
        <v>24124666.760299999</v>
      </c>
      <c r="G369" s="721">
        <v>58.103499999999997</v>
      </c>
      <c r="H369" s="722">
        <f t="shared" si="18"/>
        <v>58.103499999999997</v>
      </c>
      <c r="I369" s="723">
        <f t="shared" si="19"/>
        <v>0</v>
      </c>
    </row>
    <row r="370" spans="2:16">
      <c r="B370" s="718">
        <v>44009</v>
      </c>
      <c r="C370" s="719">
        <v>2144340997</v>
      </c>
      <c r="D370" s="719">
        <v>273433773</v>
      </c>
      <c r="E370" s="719">
        <v>1387729349</v>
      </c>
      <c r="F370" s="720">
        <v>25797634.618999999</v>
      </c>
      <c r="G370" s="721">
        <v>53.792900000000003</v>
      </c>
      <c r="H370" s="722">
        <f t="shared" si="18"/>
        <v>53.792900000000003</v>
      </c>
      <c r="I370" s="723">
        <f t="shared" si="19"/>
        <v>0</v>
      </c>
    </row>
    <row r="371" spans="2:16">
      <c r="B371" s="718">
        <v>44010</v>
      </c>
      <c r="C371" s="719">
        <v>2144874999</v>
      </c>
      <c r="D371" s="719">
        <v>273522587</v>
      </c>
      <c r="E371" s="719">
        <v>1391136473</v>
      </c>
      <c r="F371" s="720">
        <v>25853633.079300001</v>
      </c>
      <c r="G371" s="721">
        <v>53.808199999999999</v>
      </c>
      <c r="H371" s="722">
        <f t="shared" si="18"/>
        <v>53.808199999999999</v>
      </c>
      <c r="I371" s="723">
        <f t="shared" si="19"/>
        <v>0</v>
      </c>
    </row>
    <row r="372" spans="2:16">
      <c r="B372" s="718">
        <v>44011</v>
      </c>
      <c r="C372" s="719">
        <v>2248375531</v>
      </c>
      <c r="D372" s="719">
        <v>172475129</v>
      </c>
      <c r="E372" s="719">
        <v>1391136473</v>
      </c>
      <c r="F372" s="720"/>
      <c r="G372" s="721"/>
      <c r="H372" s="722"/>
      <c r="I372" s="723"/>
    </row>
    <row r="373" spans="2:16">
      <c r="B373" s="718">
        <v>44012</v>
      </c>
      <c r="C373" s="719">
        <v>2103348068</v>
      </c>
      <c r="D373" s="719">
        <v>27153561</v>
      </c>
      <c r="E373" s="719">
        <v>1391531253</v>
      </c>
      <c r="F373" s="720">
        <v>25853633.079300001</v>
      </c>
      <c r="G373" s="721">
        <v>53.823399999999999</v>
      </c>
      <c r="H373" s="722">
        <f t="shared" si="18"/>
        <v>53.823399999999999</v>
      </c>
      <c r="I373" s="723">
        <f t="shared" si="19"/>
        <v>0</v>
      </c>
    </row>
    <row r="375" spans="2:16" s="728" customFormat="1">
      <c r="C375" s="728" t="s">
        <v>1385</v>
      </c>
      <c r="E375" s="736">
        <f>AVERAGE(E8:E373)</f>
        <v>1628219981.5901639</v>
      </c>
      <c r="L375" s="726"/>
      <c r="M375" s="726"/>
      <c r="N375" s="726"/>
      <c r="O375" s="726"/>
      <c r="P375" s="726"/>
    </row>
    <row r="377" spans="2:16">
      <c r="L377" s="728"/>
      <c r="M377" s="728"/>
      <c r="N377" s="728"/>
      <c r="O377" s="728"/>
      <c r="P377" s="728"/>
    </row>
  </sheetData>
  <mergeCells count="3">
    <mergeCell ref="L45:Q46"/>
    <mergeCell ref="L47:Q48"/>
    <mergeCell ref="L49:Q4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G195"/>
  <sheetViews>
    <sheetView topLeftCell="A98" workbookViewId="0">
      <selection activeCell="D101" sqref="D101"/>
    </sheetView>
  </sheetViews>
  <sheetFormatPr defaultRowHeight="15"/>
  <cols>
    <col min="2" max="2" width="88.5703125" bestFit="1" customWidth="1"/>
    <col min="3" max="3" width="11.5703125" bestFit="1" customWidth="1"/>
    <col min="4" max="4" width="13.28515625" bestFit="1" customWidth="1"/>
    <col min="5" max="5" width="15.28515625" bestFit="1" customWidth="1"/>
    <col min="6" max="6" width="11.5703125" bestFit="1" customWidth="1"/>
    <col min="7" max="7" width="13.28515625" bestFit="1" customWidth="1"/>
  </cols>
  <sheetData>
    <row r="1" spans="1:7">
      <c r="A1" t="s">
        <v>1890</v>
      </c>
      <c r="B1" t="s">
        <v>1891</v>
      </c>
      <c r="C1" t="s">
        <v>1892</v>
      </c>
      <c r="D1" t="s">
        <v>1893</v>
      </c>
    </row>
    <row r="2" spans="1:7">
      <c r="A2">
        <v>10100100001</v>
      </c>
      <c r="B2" t="s">
        <v>13</v>
      </c>
      <c r="C2" s="1308">
        <v>23044</v>
      </c>
      <c r="D2" s="1308">
        <v>0</v>
      </c>
      <c r="E2" s="1308">
        <f>SUM(C2:C26)</f>
        <v>927937</v>
      </c>
      <c r="F2" s="1308">
        <f>ROUND(C2/1000,0)</f>
        <v>23</v>
      </c>
      <c r="G2" s="1308">
        <f>ROUND(D2/1000,0)</f>
        <v>0</v>
      </c>
    </row>
    <row r="3" spans="1:7">
      <c r="A3">
        <v>10100100005</v>
      </c>
      <c r="B3" t="s">
        <v>15</v>
      </c>
      <c r="C3" s="1308">
        <v>135</v>
      </c>
      <c r="D3" s="1308">
        <v>0</v>
      </c>
      <c r="F3" s="1308">
        <f t="shared" ref="F3:F66" si="0">ROUND(C3/1000,0)</f>
        <v>0</v>
      </c>
      <c r="G3" s="1308">
        <f t="shared" ref="G3:G66" si="1">ROUND(D3/1000,0)</f>
        <v>0</v>
      </c>
    </row>
    <row r="4" spans="1:7">
      <c r="A4">
        <v>10100100011</v>
      </c>
      <c r="B4" t="s">
        <v>17</v>
      </c>
      <c r="C4" s="1308">
        <v>13</v>
      </c>
      <c r="D4" s="1308">
        <v>0</v>
      </c>
      <c r="F4" s="1308">
        <f t="shared" si="0"/>
        <v>0</v>
      </c>
      <c r="G4" s="1308">
        <f t="shared" si="1"/>
        <v>0</v>
      </c>
    </row>
    <row r="5" spans="1:7">
      <c r="A5">
        <v>10100100014</v>
      </c>
      <c r="B5" t="s">
        <v>19</v>
      </c>
      <c r="C5" s="1308">
        <v>37324</v>
      </c>
      <c r="D5" s="1308">
        <v>0</v>
      </c>
      <c r="F5" s="1308">
        <f t="shared" si="0"/>
        <v>37</v>
      </c>
      <c r="G5" s="1308">
        <f t="shared" si="1"/>
        <v>0</v>
      </c>
    </row>
    <row r="6" spans="1:7">
      <c r="A6">
        <v>10100100015</v>
      </c>
      <c r="B6" t="s">
        <v>21</v>
      </c>
      <c r="C6" s="1308">
        <v>321</v>
      </c>
      <c r="D6" s="1308">
        <v>0</v>
      </c>
      <c r="F6" s="1308">
        <f t="shared" si="0"/>
        <v>0</v>
      </c>
      <c r="G6" s="1308">
        <f t="shared" si="1"/>
        <v>0</v>
      </c>
    </row>
    <row r="7" spans="1:7">
      <c r="A7">
        <v>10100100017</v>
      </c>
      <c r="B7" t="s">
        <v>23</v>
      </c>
      <c r="C7" s="1308">
        <v>55345</v>
      </c>
      <c r="D7" s="1308">
        <v>0</v>
      </c>
      <c r="F7" s="1308">
        <f t="shared" si="0"/>
        <v>55</v>
      </c>
      <c r="G7" s="1308">
        <f t="shared" si="1"/>
        <v>0</v>
      </c>
    </row>
    <row r="8" spans="1:7">
      <c r="A8">
        <v>10100100021</v>
      </c>
      <c r="B8" t="s">
        <v>25</v>
      </c>
      <c r="C8" s="1308">
        <v>10</v>
      </c>
      <c r="D8" s="1308">
        <v>0</v>
      </c>
      <c r="F8" s="1308">
        <f t="shared" si="0"/>
        <v>0</v>
      </c>
      <c r="G8" s="1308">
        <f t="shared" si="1"/>
        <v>0</v>
      </c>
    </row>
    <row r="9" spans="1:7">
      <c r="A9">
        <v>10100100040</v>
      </c>
      <c r="B9" t="s">
        <v>27</v>
      </c>
      <c r="C9" s="1308">
        <v>15</v>
      </c>
      <c r="D9" s="1308">
        <v>0</v>
      </c>
      <c r="F9" s="1308">
        <f t="shared" si="0"/>
        <v>0</v>
      </c>
      <c r="G9" s="1308">
        <f t="shared" si="1"/>
        <v>0</v>
      </c>
    </row>
    <row r="10" spans="1:7">
      <c r="A10">
        <v>10100100054</v>
      </c>
      <c r="B10" t="s">
        <v>29</v>
      </c>
      <c r="C10" s="1308">
        <v>14996</v>
      </c>
      <c r="D10" s="1308">
        <v>0</v>
      </c>
      <c r="F10" s="1308">
        <f t="shared" si="0"/>
        <v>15</v>
      </c>
      <c r="G10" s="1308">
        <f t="shared" si="1"/>
        <v>0</v>
      </c>
    </row>
    <row r="11" spans="1:7">
      <c r="A11">
        <v>10100100069</v>
      </c>
      <c r="B11" t="s">
        <v>31</v>
      </c>
      <c r="C11" s="1308">
        <v>37</v>
      </c>
      <c r="D11" s="1308">
        <v>0</v>
      </c>
      <c r="F11" s="1308">
        <f t="shared" si="0"/>
        <v>0</v>
      </c>
      <c r="G11" s="1308">
        <f t="shared" si="1"/>
        <v>0</v>
      </c>
    </row>
    <row r="12" spans="1:7">
      <c r="A12">
        <v>10100100072</v>
      </c>
      <c r="B12" t="s">
        <v>33</v>
      </c>
      <c r="C12" s="1308">
        <v>15</v>
      </c>
      <c r="D12" s="1308">
        <v>0</v>
      </c>
      <c r="F12" s="1308">
        <f t="shared" si="0"/>
        <v>0</v>
      </c>
      <c r="G12" s="1308">
        <f t="shared" si="1"/>
        <v>0</v>
      </c>
    </row>
    <row r="13" spans="1:7">
      <c r="A13">
        <v>10100100075</v>
      </c>
      <c r="B13" t="s">
        <v>35</v>
      </c>
      <c r="C13" s="1308">
        <v>9</v>
      </c>
      <c r="D13" s="1308">
        <v>0</v>
      </c>
      <c r="F13" s="1308">
        <f t="shared" si="0"/>
        <v>0</v>
      </c>
      <c r="G13" s="1308">
        <f t="shared" si="1"/>
        <v>0</v>
      </c>
    </row>
    <row r="14" spans="1:7">
      <c r="A14">
        <v>10100100077</v>
      </c>
      <c r="B14" t="s">
        <v>37</v>
      </c>
      <c r="C14" s="1308">
        <v>16</v>
      </c>
      <c r="D14" s="1308">
        <v>0</v>
      </c>
      <c r="F14" s="1308">
        <f t="shared" si="0"/>
        <v>0</v>
      </c>
      <c r="G14" s="1308">
        <f t="shared" si="1"/>
        <v>0</v>
      </c>
    </row>
    <row r="15" spans="1:7">
      <c r="A15">
        <v>10100100078</v>
      </c>
      <c r="B15" t="s">
        <v>39</v>
      </c>
      <c r="C15" s="1308">
        <v>5</v>
      </c>
      <c r="D15" s="1308">
        <v>0</v>
      </c>
      <c r="F15" s="1308">
        <f t="shared" si="0"/>
        <v>0</v>
      </c>
      <c r="G15" s="1308">
        <f t="shared" si="1"/>
        <v>0</v>
      </c>
    </row>
    <row r="16" spans="1:7">
      <c r="A16">
        <v>10100100079</v>
      </c>
      <c r="B16" t="s">
        <v>41</v>
      </c>
      <c r="C16" s="1308">
        <v>150956</v>
      </c>
      <c r="D16" s="1308">
        <v>0</v>
      </c>
      <c r="F16" s="1308">
        <f t="shared" si="0"/>
        <v>151</v>
      </c>
      <c r="G16" s="1308">
        <f t="shared" si="1"/>
        <v>0</v>
      </c>
    </row>
    <row r="17" spans="1:7">
      <c r="A17">
        <v>10100100080</v>
      </c>
      <c r="B17" t="s">
        <v>43</v>
      </c>
      <c r="C17" s="1308">
        <v>8</v>
      </c>
      <c r="D17" s="1308">
        <v>0</v>
      </c>
      <c r="F17" s="1308">
        <f t="shared" si="0"/>
        <v>0</v>
      </c>
      <c r="G17" s="1308">
        <f t="shared" si="1"/>
        <v>0</v>
      </c>
    </row>
    <row r="18" spans="1:7">
      <c r="A18">
        <v>10100100082</v>
      </c>
      <c r="B18" t="s">
        <v>45</v>
      </c>
      <c r="C18" s="1308">
        <v>17</v>
      </c>
      <c r="D18" s="1308">
        <v>0</v>
      </c>
      <c r="F18" s="1308">
        <f t="shared" si="0"/>
        <v>0</v>
      </c>
      <c r="G18" s="1308">
        <f t="shared" si="1"/>
        <v>0</v>
      </c>
    </row>
    <row r="19" spans="1:7">
      <c r="A19">
        <v>10100100085</v>
      </c>
      <c r="B19" t="s">
        <v>47</v>
      </c>
      <c r="C19" s="1308">
        <v>7</v>
      </c>
      <c r="D19" s="1308">
        <v>0</v>
      </c>
      <c r="F19" s="1308">
        <f t="shared" si="0"/>
        <v>0</v>
      </c>
      <c r="G19" s="1308">
        <f t="shared" si="1"/>
        <v>0</v>
      </c>
    </row>
    <row r="20" spans="1:7">
      <c r="A20">
        <v>10100100087</v>
      </c>
      <c r="B20" t="s">
        <v>49</v>
      </c>
      <c r="C20" s="1308">
        <v>325781</v>
      </c>
      <c r="D20" s="1308">
        <v>0</v>
      </c>
      <c r="F20" s="1308">
        <f t="shared" si="0"/>
        <v>326</v>
      </c>
      <c r="G20" s="1308">
        <f t="shared" si="1"/>
        <v>0</v>
      </c>
    </row>
    <row r="21" spans="1:7">
      <c r="A21">
        <v>10100100093</v>
      </c>
      <c r="B21" t="s">
        <v>51</v>
      </c>
      <c r="C21" s="1308">
        <v>318228</v>
      </c>
      <c r="D21" s="1308">
        <v>0</v>
      </c>
      <c r="F21" s="1308">
        <f t="shared" si="0"/>
        <v>318</v>
      </c>
      <c r="G21" s="1308">
        <f t="shared" si="1"/>
        <v>0</v>
      </c>
    </row>
    <row r="22" spans="1:7">
      <c r="A22">
        <v>10100100100</v>
      </c>
      <c r="B22" t="s">
        <v>53</v>
      </c>
      <c r="C22" s="1308">
        <v>1613</v>
      </c>
      <c r="D22" s="1308">
        <v>0</v>
      </c>
      <c r="F22" s="1308">
        <f t="shared" si="0"/>
        <v>2</v>
      </c>
      <c r="G22" s="1308">
        <f t="shared" si="1"/>
        <v>0</v>
      </c>
    </row>
    <row r="23" spans="1:7">
      <c r="A23">
        <v>10100100103</v>
      </c>
      <c r="B23" t="s">
        <v>55</v>
      </c>
      <c r="C23" s="1308">
        <v>10</v>
      </c>
      <c r="D23" s="1308">
        <v>0</v>
      </c>
      <c r="F23" s="1308">
        <f t="shared" si="0"/>
        <v>0</v>
      </c>
      <c r="G23" s="1308">
        <f t="shared" si="1"/>
        <v>0</v>
      </c>
    </row>
    <row r="24" spans="1:7">
      <c r="A24">
        <v>10100100114</v>
      </c>
      <c r="B24" t="s">
        <v>57</v>
      </c>
      <c r="C24" s="1308">
        <v>11</v>
      </c>
      <c r="D24" s="1308">
        <v>0</v>
      </c>
      <c r="F24" s="1308">
        <f t="shared" si="0"/>
        <v>0</v>
      </c>
      <c r="G24" s="1308">
        <f t="shared" si="1"/>
        <v>0</v>
      </c>
    </row>
    <row r="25" spans="1:7">
      <c r="A25">
        <v>10100100117</v>
      </c>
      <c r="B25" t="s">
        <v>1541</v>
      </c>
      <c r="C25" s="1308">
        <v>11</v>
      </c>
      <c r="D25" s="1308">
        <v>0</v>
      </c>
      <c r="F25" s="1308">
        <f t="shared" si="0"/>
        <v>0</v>
      </c>
      <c r="G25" s="1308">
        <f t="shared" si="1"/>
        <v>0</v>
      </c>
    </row>
    <row r="26" spans="1:7">
      <c r="A26">
        <v>10100100122</v>
      </c>
      <c r="B26" t="s">
        <v>1543</v>
      </c>
      <c r="C26" s="1308">
        <v>10</v>
      </c>
      <c r="D26" s="1308">
        <v>0</v>
      </c>
      <c r="F26" s="1308">
        <f t="shared" si="0"/>
        <v>0</v>
      </c>
      <c r="G26" s="1308">
        <f t="shared" si="1"/>
        <v>0</v>
      </c>
    </row>
    <row r="27" spans="1:7">
      <c r="A27">
        <v>10200100001</v>
      </c>
      <c r="B27" t="s">
        <v>76</v>
      </c>
      <c r="C27" s="1308">
        <v>32367</v>
      </c>
      <c r="D27" s="1308">
        <v>0</v>
      </c>
      <c r="F27" s="1308">
        <f t="shared" si="0"/>
        <v>32</v>
      </c>
      <c r="G27" s="1308">
        <f t="shared" si="1"/>
        <v>0</v>
      </c>
    </row>
    <row r="28" spans="1:7">
      <c r="A28">
        <v>10300100001</v>
      </c>
      <c r="B28" t="s">
        <v>134</v>
      </c>
      <c r="C28" s="1308">
        <v>430367</v>
      </c>
      <c r="D28" s="1308">
        <v>0</v>
      </c>
      <c r="F28" s="1308">
        <f t="shared" si="0"/>
        <v>430</v>
      </c>
      <c r="G28" s="1308">
        <f t="shared" si="1"/>
        <v>0</v>
      </c>
    </row>
    <row r="29" spans="1:7">
      <c r="A29">
        <v>10300100002</v>
      </c>
      <c r="B29" t="s">
        <v>136</v>
      </c>
      <c r="C29" s="1308">
        <v>0</v>
      </c>
      <c r="D29" s="1308">
        <v>29696</v>
      </c>
      <c r="F29" s="1308">
        <f t="shared" si="0"/>
        <v>0</v>
      </c>
      <c r="G29" s="1308">
        <f t="shared" si="1"/>
        <v>30</v>
      </c>
    </row>
    <row r="30" spans="1:7">
      <c r="A30">
        <v>10300300001</v>
      </c>
      <c r="B30" t="s">
        <v>103</v>
      </c>
      <c r="C30" s="1308">
        <v>75039</v>
      </c>
      <c r="D30" s="1308">
        <v>0</v>
      </c>
      <c r="F30" s="1308">
        <f t="shared" si="0"/>
        <v>75</v>
      </c>
      <c r="G30" s="1308">
        <f t="shared" si="1"/>
        <v>0</v>
      </c>
    </row>
    <row r="31" spans="1:7">
      <c r="A31">
        <v>10300300002</v>
      </c>
      <c r="B31" t="s">
        <v>105</v>
      </c>
      <c r="C31" s="1308">
        <v>0</v>
      </c>
      <c r="D31" s="1308">
        <v>100</v>
      </c>
      <c r="F31" s="1308">
        <f t="shared" si="0"/>
        <v>0</v>
      </c>
      <c r="G31" s="1308">
        <f t="shared" si="1"/>
        <v>0</v>
      </c>
    </row>
    <row r="32" spans="1:7">
      <c r="A32">
        <v>10300300003</v>
      </c>
      <c r="B32" t="s">
        <v>107</v>
      </c>
      <c r="C32" s="1308">
        <v>0</v>
      </c>
      <c r="D32" s="1308">
        <v>1244</v>
      </c>
      <c r="F32" s="1308">
        <f t="shared" si="0"/>
        <v>0</v>
      </c>
      <c r="G32" s="1308">
        <f t="shared" si="1"/>
        <v>1</v>
      </c>
    </row>
    <row r="33" spans="1:7">
      <c r="A33">
        <v>10300400002</v>
      </c>
      <c r="B33" t="s">
        <v>111</v>
      </c>
      <c r="C33" s="1308">
        <v>0</v>
      </c>
      <c r="D33" s="1308">
        <v>0</v>
      </c>
      <c r="F33" s="1308">
        <f t="shared" si="0"/>
        <v>0</v>
      </c>
      <c r="G33" s="1308">
        <f t="shared" si="1"/>
        <v>0</v>
      </c>
    </row>
    <row r="34" spans="1:7">
      <c r="A34">
        <v>10300400003</v>
      </c>
      <c r="B34" t="s">
        <v>113</v>
      </c>
      <c r="C34" s="1308">
        <v>0</v>
      </c>
      <c r="D34" s="1308">
        <v>0</v>
      </c>
      <c r="F34" s="1308">
        <f t="shared" si="0"/>
        <v>0</v>
      </c>
      <c r="G34" s="1308">
        <f t="shared" si="1"/>
        <v>0</v>
      </c>
    </row>
    <row r="35" spans="1:7">
      <c r="A35">
        <v>10300700003</v>
      </c>
      <c r="B35" t="s">
        <v>1545</v>
      </c>
      <c r="C35" s="1308">
        <v>0</v>
      </c>
      <c r="D35" s="1308">
        <v>0</v>
      </c>
      <c r="F35" s="1308">
        <f t="shared" si="0"/>
        <v>0</v>
      </c>
      <c r="G35" s="1308">
        <f t="shared" si="1"/>
        <v>0</v>
      </c>
    </row>
    <row r="36" spans="1:7">
      <c r="A36">
        <v>10300900001</v>
      </c>
      <c r="B36" t="s">
        <v>82</v>
      </c>
      <c r="C36" s="1308">
        <v>453586</v>
      </c>
      <c r="D36" s="1308">
        <v>0</v>
      </c>
      <c r="F36" s="1308">
        <f t="shared" si="0"/>
        <v>454</v>
      </c>
      <c r="G36" s="1308">
        <f t="shared" si="1"/>
        <v>0</v>
      </c>
    </row>
    <row r="37" spans="1:7">
      <c r="A37">
        <v>10300900002</v>
      </c>
      <c r="B37" t="s">
        <v>84</v>
      </c>
      <c r="C37" s="1308">
        <v>0</v>
      </c>
      <c r="D37" s="1308">
        <v>17138</v>
      </c>
      <c r="F37" s="1308">
        <f t="shared" si="0"/>
        <v>0</v>
      </c>
      <c r="G37" s="1308">
        <f t="shared" si="1"/>
        <v>17</v>
      </c>
    </row>
    <row r="38" spans="1:7">
      <c r="A38">
        <v>10300900003</v>
      </c>
      <c r="B38" t="s">
        <v>86</v>
      </c>
      <c r="C38" s="1308">
        <v>0</v>
      </c>
      <c r="D38" s="1308">
        <v>4375</v>
      </c>
      <c r="F38" s="1308">
        <f t="shared" si="0"/>
        <v>0</v>
      </c>
      <c r="G38" s="1308">
        <f t="shared" si="1"/>
        <v>4</v>
      </c>
    </row>
    <row r="39" spans="1:7">
      <c r="A39">
        <v>10300900009</v>
      </c>
      <c r="B39" t="s">
        <v>88</v>
      </c>
      <c r="C39" s="1308">
        <v>1561</v>
      </c>
      <c r="D39" s="1308">
        <v>0</v>
      </c>
      <c r="F39" s="1308">
        <f t="shared" si="0"/>
        <v>2</v>
      </c>
      <c r="G39" s="1308">
        <f t="shared" si="1"/>
        <v>0</v>
      </c>
    </row>
    <row r="40" spans="1:7">
      <c r="A40">
        <v>10300900012</v>
      </c>
      <c r="B40" t="s">
        <v>1561</v>
      </c>
      <c r="C40" s="1308">
        <v>0</v>
      </c>
      <c r="D40" s="1308">
        <v>0</v>
      </c>
      <c r="F40" s="1308">
        <f t="shared" si="0"/>
        <v>0</v>
      </c>
      <c r="G40" s="1308">
        <f t="shared" si="1"/>
        <v>0</v>
      </c>
    </row>
    <row r="41" spans="1:7">
      <c r="A41">
        <v>10302900001</v>
      </c>
      <c r="B41" t="s">
        <v>154</v>
      </c>
      <c r="C41" s="1308">
        <v>30737</v>
      </c>
      <c r="D41" s="1308">
        <v>0</v>
      </c>
      <c r="F41" s="1308">
        <f t="shared" si="0"/>
        <v>31</v>
      </c>
      <c r="G41" s="1308">
        <f t="shared" si="1"/>
        <v>0</v>
      </c>
    </row>
    <row r="42" spans="1:7">
      <c r="A42">
        <v>10303600000</v>
      </c>
      <c r="B42" t="s">
        <v>115</v>
      </c>
      <c r="C42" s="1308">
        <v>18</v>
      </c>
      <c r="D42" s="1308">
        <v>0</v>
      </c>
      <c r="F42" s="1308">
        <f t="shared" si="0"/>
        <v>0</v>
      </c>
      <c r="G42" s="1308">
        <f t="shared" si="1"/>
        <v>0</v>
      </c>
    </row>
    <row r="43" spans="1:7">
      <c r="A43">
        <v>10303600001</v>
      </c>
      <c r="B43" t="s">
        <v>117</v>
      </c>
      <c r="C43" s="1308">
        <v>150000</v>
      </c>
      <c r="D43" s="1308">
        <v>0</v>
      </c>
      <c r="F43" s="1308">
        <f t="shared" si="0"/>
        <v>150</v>
      </c>
      <c r="G43" s="1308">
        <f t="shared" si="1"/>
        <v>0</v>
      </c>
    </row>
    <row r="44" spans="1:7">
      <c r="A44">
        <v>10303600003</v>
      </c>
      <c r="B44" t="s">
        <v>119</v>
      </c>
      <c r="C44" s="1308">
        <v>522</v>
      </c>
      <c r="D44" s="1308">
        <v>0</v>
      </c>
      <c r="F44" s="1308">
        <f t="shared" si="0"/>
        <v>1</v>
      </c>
      <c r="G44" s="1308">
        <f t="shared" si="1"/>
        <v>0</v>
      </c>
    </row>
    <row r="45" spans="1:7">
      <c r="A45">
        <v>10500100001</v>
      </c>
      <c r="B45" t="s">
        <v>64</v>
      </c>
      <c r="C45" s="1308">
        <v>0</v>
      </c>
      <c r="D45" s="1308">
        <v>0</v>
      </c>
      <c r="F45" s="1308">
        <f t="shared" si="0"/>
        <v>0</v>
      </c>
      <c r="G45" s="1308">
        <f t="shared" si="1"/>
        <v>0</v>
      </c>
    </row>
    <row r="46" spans="1:7">
      <c r="A46">
        <v>10500200001</v>
      </c>
      <c r="B46" t="s">
        <v>66</v>
      </c>
      <c r="C46" s="1308">
        <v>31506</v>
      </c>
      <c r="D46" s="1308">
        <v>0</v>
      </c>
      <c r="F46" s="1308">
        <f t="shared" si="0"/>
        <v>32</v>
      </c>
      <c r="G46" s="1308">
        <f t="shared" si="1"/>
        <v>0</v>
      </c>
    </row>
    <row r="47" spans="1:7">
      <c r="A47">
        <v>10600100001</v>
      </c>
      <c r="B47" t="s">
        <v>70</v>
      </c>
      <c r="C47" s="1308">
        <v>99771</v>
      </c>
      <c r="D47" s="1308">
        <v>0</v>
      </c>
      <c r="F47" s="1308">
        <f t="shared" si="0"/>
        <v>100</v>
      </c>
      <c r="G47" s="1308">
        <f t="shared" si="1"/>
        <v>0</v>
      </c>
    </row>
    <row r="48" spans="1:7">
      <c r="A48">
        <v>10600200001</v>
      </c>
      <c r="B48" t="s">
        <v>200</v>
      </c>
      <c r="C48" s="1308">
        <v>26931</v>
      </c>
      <c r="D48" s="1308">
        <v>0</v>
      </c>
      <c r="F48" s="1308">
        <f t="shared" si="0"/>
        <v>27</v>
      </c>
      <c r="G48" s="1308">
        <f t="shared" si="1"/>
        <v>0</v>
      </c>
    </row>
    <row r="49" spans="1:7">
      <c r="A49">
        <v>10600300006</v>
      </c>
      <c r="B49" t="s">
        <v>711</v>
      </c>
      <c r="C49" s="1308">
        <v>0</v>
      </c>
      <c r="D49" s="1308">
        <v>49940</v>
      </c>
      <c r="F49" s="1308">
        <f t="shared" si="0"/>
        <v>0</v>
      </c>
      <c r="G49" s="1308">
        <f t="shared" si="1"/>
        <v>50</v>
      </c>
    </row>
    <row r="50" spans="1:7">
      <c r="A50">
        <v>10600300009</v>
      </c>
      <c r="B50" t="s">
        <v>717</v>
      </c>
      <c r="C50" s="1308">
        <v>0</v>
      </c>
      <c r="D50" s="1308">
        <v>31088</v>
      </c>
      <c r="F50" s="1308">
        <f t="shared" si="0"/>
        <v>0</v>
      </c>
      <c r="G50" s="1308">
        <f t="shared" si="1"/>
        <v>31</v>
      </c>
    </row>
    <row r="51" spans="1:7">
      <c r="A51">
        <v>10600300010</v>
      </c>
      <c r="B51" t="s">
        <v>719</v>
      </c>
      <c r="C51" s="1308">
        <v>0</v>
      </c>
      <c r="D51" s="1308">
        <v>18743</v>
      </c>
      <c r="F51" s="1308">
        <f t="shared" si="0"/>
        <v>0</v>
      </c>
      <c r="G51" s="1308">
        <f t="shared" si="1"/>
        <v>19</v>
      </c>
    </row>
    <row r="52" spans="1:7">
      <c r="A52">
        <v>10600400001</v>
      </c>
      <c r="B52" t="s">
        <v>202</v>
      </c>
      <c r="C52" s="1308">
        <v>0</v>
      </c>
      <c r="D52" s="1308">
        <v>26931</v>
      </c>
      <c r="F52" s="1308">
        <f t="shared" si="0"/>
        <v>0</v>
      </c>
      <c r="G52" s="1308">
        <f t="shared" si="1"/>
        <v>27</v>
      </c>
    </row>
    <row r="53" spans="1:7">
      <c r="A53">
        <v>10601100001</v>
      </c>
      <c r="B53" t="s">
        <v>166</v>
      </c>
      <c r="C53" s="1308">
        <v>436</v>
      </c>
      <c r="D53" s="1308">
        <v>0</v>
      </c>
      <c r="E53" s="1308">
        <f>SUM(C53:C71)+C76</f>
        <v>12983</v>
      </c>
      <c r="F53" s="1308">
        <f t="shared" si="0"/>
        <v>0</v>
      </c>
      <c r="G53" s="1308">
        <f t="shared" si="1"/>
        <v>0</v>
      </c>
    </row>
    <row r="54" spans="1:7">
      <c r="A54">
        <v>10601100005</v>
      </c>
      <c r="B54" t="s">
        <v>168</v>
      </c>
      <c r="C54" s="1308">
        <v>6</v>
      </c>
      <c r="D54" s="1308">
        <v>0</v>
      </c>
      <c r="F54" s="1308">
        <f t="shared" si="0"/>
        <v>0</v>
      </c>
      <c r="G54" s="1308">
        <f t="shared" si="1"/>
        <v>0</v>
      </c>
    </row>
    <row r="55" spans="1:7">
      <c r="A55">
        <v>10601100011</v>
      </c>
      <c r="B55" t="s">
        <v>170</v>
      </c>
      <c r="C55" s="1308">
        <v>0</v>
      </c>
      <c r="D55" s="1308">
        <v>0</v>
      </c>
      <c r="F55" s="1308">
        <f t="shared" si="0"/>
        <v>0</v>
      </c>
      <c r="G55" s="1308">
        <f t="shared" si="1"/>
        <v>0</v>
      </c>
    </row>
    <row r="56" spans="1:7">
      <c r="A56">
        <v>10601100014</v>
      </c>
      <c r="B56" t="s">
        <v>172</v>
      </c>
      <c r="C56" s="1308">
        <v>496</v>
      </c>
      <c r="D56" s="1308">
        <v>0</v>
      </c>
      <c r="F56" s="1308">
        <f t="shared" si="0"/>
        <v>0</v>
      </c>
      <c r="G56" s="1308">
        <f t="shared" si="1"/>
        <v>0</v>
      </c>
    </row>
    <row r="57" spans="1:7">
      <c r="A57">
        <v>10601100015</v>
      </c>
      <c r="B57" t="s">
        <v>174</v>
      </c>
      <c r="C57" s="1308">
        <v>26</v>
      </c>
      <c r="D57" s="1308">
        <v>0</v>
      </c>
      <c r="F57" s="1308">
        <f t="shared" si="0"/>
        <v>0</v>
      </c>
      <c r="G57" s="1308">
        <f t="shared" si="1"/>
        <v>0</v>
      </c>
    </row>
    <row r="58" spans="1:7">
      <c r="A58">
        <v>10601100017</v>
      </c>
      <c r="B58" t="s">
        <v>176</v>
      </c>
      <c r="C58" s="1308">
        <v>31</v>
      </c>
      <c r="D58" s="1308">
        <v>0</v>
      </c>
      <c r="F58" s="1308">
        <f t="shared" si="0"/>
        <v>0</v>
      </c>
      <c r="G58" s="1308">
        <f t="shared" si="1"/>
        <v>0</v>
      </c>
    </row>
    <row r="59" spans="1:7">
      <c r="A59">
        <v>10601100072</v>
      </c>
      <c r="B59" t="s">
        <v>180</v>
      </c>
      <c r="C59" s="1308">
        <v>0</v>
      </c>
      <c r="D59" s="1308">
        <v>0</v>
      </c>
      <c r="F59" s="1308">
        <f t="shared" si="0"/>
        <v>0</v>
      </c>
      <c r="G59" s="1308">
        <f t="shared" si="1"/>
        <v>0</v>
      </c>
    </row>
    <row r="60" spans="1:7">
      <c r="A60">
        <v>10601100075</v>
      </c>
      <c r="B60" t="s">
        <v>182</v>
      </c>
      <c r="C60" s="1308">
        <v>0</v>
      </c>
      <c r="D60" s="1308">
        <v>0</v>
      </c>
      <c r="F60" s="1308">
        <f t="shared" si="0"/>
        <v>0</v>
      </c>
      <c r="G60" s="1308">
        <f t="shared" si="1"/>
        <v>0</v>
      </c>
    </row>
    <row r="61" spans="1:7">
      <c r="A61">
        <v>10601100077</v>
      </c>
      <c r="B61" t="s">
        <v>184</v>
      </c>
      <c r="C61" s="1308">
        <v>0</v>
      </c>
      <c r="D61" s="1308">
        <v>0</v>
      </c>
      <c r="F61" s="1308">
        <f t="shared" si="0"/>
        <v>0</v>
      </c>
      <c r="G61" s="1308">
        <f t="shared" si="1"/>
        <v>0</v>
      </c>
    </row>
    <row r="62" spans="1:7">
      <c r="A62">
        <v>10601100079</v>
      </c>
      <c r="B62" t="s">
        <v>186</v>
      </c>
      <c r="C62" s="1308">
        <v>693</v>
      </c>
      <c r="D62" s="1308">
        <v>0</v>
      </c>
      <c r="F62" s="1308">
        <f t="shared" si="0"/>
        <v>1</v>
      </c>
      <c r="G62" s="1308">
        <f t="shared" si="1"/>
        <v>0</v>
      </c>
    </row>
    <row r="63" spans="1:7">
      <c r="A63">
        <v>10601100080</v>
      </c>
      <c r="B63" t="s">
        <v>188</v>
      </c>
      <c r="C63" s="1308">
        <v>0</v>
      </c>
      <c r="D63" s="1308">
        <v>0</v>
      </c>
      <c r="F63" s="1308">
        <f t="shared" si="0"/>
        <v>0</v>
      </c>
      <c r="G63" s="1308">
        <f t="shared" si="1"/>
        <v>0</v>
      </c>
    </row>
    <row r="64" spans="1:7">
      <c r="A64">
        <v>10601100082</v>
      </c>
      <c r="B64" t="s">
        <v>190</v>
      </c>
      <c r="C64" s="1308">
        <v>0</v>
      </c>
      <c r="D64" s="1308">
        <v>0</v>
      </c>
      <c r="F64" s="1308">
        <f t="shared" si="0"/>
        <v>0</v>
      </c>
      <c r="G64" s="1308">
        <f t="shared" si="1"/>
        <v>0</v>
      </c>
    </row>
    <row r="65" spans="1:7">
      <c r="A65">
        <v>10601100089</v>
      </c>
      <c r="B65" t="s">
        <v>1548</v>
      </c>
      <c r="C65" s="1308">
        <v>336</v>
      </c>
      <c r="D65" s="1308">
        <v>0</v>
      </c>
      <c r="F65" s="1308">
        <f t="shared" si="0"/>
        <v>0</v>
      </c>
      <c r="G65" s="1308">
        <f t="shared" si="1"/>
        <v>0</v>
      </c>
    </row>
    <row r="66" spans="1:7">
      <c r="A66">
        <v>10601100092</v>
      </c>
      <c r="B66" t="s">
        <v>191</v>
      </c>
      <c r="C66" s="1308">
        <v>2176</v>
      </c>
      <c r="D66" s="1308">
        <v>0</v>
      </c>
      <c r="F66" s="1308">
        <f t="shared" si="0"/>
        <v>2</v>
      </c>
      <c r="G66" s="1308">
        <f t="shared" si="1"/>
        <v>0</v>
      </c>
    </row>
    <row r="67" spans="1:7">
      <c r="A67">
        <v>10601100098</v>
      </c>
      <c r="B67" t="s">
        <v>192</v>
      </c>
      <c r="C67" s="1308">
        <v>0</v>
      </c>
      <c r="D67" s="1308">
        <v>0</v>
      </c>
      <c r="F67" s="1308">
        <f t="shared" ref="F67:F131" si="2">ROUND(C67/1000,0)</f>
        <v>0</v>
      </c>
      <c r="G67" s="1308">
        <f t="shared" ref="G67:G131" si="3">ROUND(D67/1000,0)</f>
        <v>0</v>
      </c>
    </row>
    <row r="68" spans="1:7">
      <c r="A68">
        <v>10601200001</v>
      </c>
      <c r="B68" t="s">
        <v>204</v>
      </c>
      <c r="C68" s="1308">
        <v>3961</v>
      </c>
      <c r="D68" s="1308">
        <v>0</v>
      </c>
      <c r="F68" s="1308">
        <f t="shared" si="2"/>
        <v>4</v>
      </c>
      <c r="G68" s="1308">
        <f t="shared" si="3"/>
        <v>0</v>
      </c>
    </row>
    <row r="69" spans="1:7">
      <c r="A69">
        <v>10601200002</v>
      </c>
      <c r="B69" t="s">
        <v>204</v>
      </c>
      <c r="C69" s="1308">
        <v>1264</v>
      </c>
      <c r="D69" s="1308">
        <v>0</v>
      </c>
      <c r="F69" s="1308">
        <f t="shared" si="2"/>
        <v>1</v>
      </c>
      <c r="G69" s="1308">
        <f t="shared" si="3"/>
        <v>0</v>
      </c>
    </row>
    <row r="70" spans="1:7">
      <c r="A70">
        <v>10601600001</v>
      </c>
      <c r="B70" t="s">
        <v>211</v>
      </c>
      <c r="C70" s="1308">
        <v>0</v>
      </c>
      <c r="D70" s="1308">
        <v>0</v>
      </c>
      <c r="F70" s="1308">
        <f t="shared" si="2"/>
        <v>0</v>
      </c>
      <c r="G70" s="1308">
        <f t="shared" si="3"/>
        <v>0</v>
      </c>
    </row>
    <row r="71" spans="1:7">
      <c r="A71">
        <v>10601700001</v>
      </c>
      <c r="B71" t="s">
        <v>1765</v>
      </c>
      <c r="C71" s="1308">
        <v>0</v>
      </c>
      <c r="D71" s="1308">
        <v>0</v>
      </c>
      <c r="F71" s="1308">
        <f t="shared" si="2"/>
        <v>0</v>
      </c>
      <c r="G71" s="1308">
        <f t="shared" si="3"/>
        <v>0</v>
      </c>
    </row>
    <row r="72" spans="1:7">
      <c r="A72">
        <v>10602100001</v>
      </c>
      <c r="B72" t="s">
        <v>160</v>
      </c>
      <c r="C72" s="1308">
        <v>1395</v>
      </c>
      <c r="D72" s="1308">
        <v>0</v>
      </c>
      <c r="F72" s="1308">
        <f t="shared" si="2"/>
        <v>1</v>
      </c>
      <c r="G72" s="1308">
        <f t="shared" si="3"/>
        <v>0</v>
      </c>
    </row>
    <row r="73" spans="1:7">
      <c r="A73">
        <v>10602200001</v>
      </c>
      <c r="B73" t="s">
        <v>293</v>
      </c>
      <c r="C73" s="1308">
        <v>8664</v>
      </c>
      <c r="D73" s="1308">
        <v>0</v>
      </c>
      <c r="F73" s="1308">
        <f t="shared" si="2"/>
        <v>9</v>
      </c>
      <c r="G73" s="1308">
        <f t="shared" si="3"/>
        <v>0</v>
      </c>
    </row>
    <row r="74" spans="1:7">
      <c r="A74">
        <v>10602200002</v>
      </c>
      <c r="B74" t="s">
        <v>295</v>
      </c>
      <c r="C74" s="1308">
        <v>112928</v>
      </c>
      <c r="D74" s="1308">
        <v>0</v>
      </c>
      <c r="F74" s="1308">
        <f t="shared" si="2"/>
        <v>113</v>
      </c>
      <c r="G74" s="1308">
        <f t="shared" si="3"/>
        <v>0</v>
      </c>
    </row>
    <row r="75" spans="1:7">
      <c r="A75">
        <v>10602300001</v>
      </c>
      <c r="B75" t="s">
        <v>231</v>
      </c>
      <c r="C75" s="1308">
        <v>5</v>
      </c>
      <c r="D75" s="1308">
        <v>0</v>
      </c>
      <c r="F75" s="1308">
        <f t="shared" si="2"/>
        <v>0</v>
      </c>
      <c r="G75" s="1308">
        <f t="shared" si="3"/>
        <v>0</v>
      </c>
    </row>
    <row r="76" spans="1:7">
      <c r="A76">
        <v>10602800001</v>
      </c>
      <c r="B76" t="s">
        <v>213</v>
      </c>
      <c r="C76" s="1308">
        <v>3558</v>
      </c>
      <c r="D76" s="1308">
        <v>0</v>
      </c>
      <c r="F76" s="1308">
        <f t="shared" si="2"/>
        <v>4</v>
      </c>
      <c r="G76" s="1308">
        <f t="shared" si="3"/>
        <v>0</v>
      </c>
    </row>
    <row r="77" spans="1:7">
      <c r="A77">
        <v>10700300001</v>
      </c>
      <c r="B77" t="s">
        <v>251</v>
      </c>
      <c r="C77" s="1308">
        <v>225</v>
      </c>
      <c r="D77" s="1308">
        <v>0</v>
      </c>
      <c r="E77" s="1308">
        <f>SUM(C77:C90)+C74+C73+C75</f>
        <v>133132</v>
      </c>
      <c r="F77" s="1308">
        <f t="shared" si="2"/>
        <v>0</v>
      </c>
      <c r="G77" s="1308">
        <f t="shared" si="3"/>
        <v>0</v>
      </c>
    </row>
    <row r="78" spans="1:7">
      <c r="A78">
        <v>10700400002</v>
      </c>
      <c r="B78" t="s">
        <v>253</v>
      </c>
      <c r="C78" s="1308">
        <v>21</v>
      </c>
      <c r="D78" s="1308">
        <v>0</v>
      </c>
      <c r="F78" s="1308">
        <f t="shared" si="2"/>
        <v>0</v>
      </c>
      <c r="G78" s="1308">
        <f t="shared" si="3"/>
        <v>0</v>
      </c>
    </row>
    <row r="79" spans="1:7">
      <c r="A79">
        <v>10700500001</v>
      </c>
      <c r="B79" t="s">
        <v>263</v>
      </c>
      <c r="C79" s="1308">
        <v>2500</v>
      </c>
      <c r="D79" s="1308">
        <v>0</v>
      </c>
      <c r="F79" s="1308">
        <f t="shared" si="2"/>
        <v>3</v>
      </c>
      <c r="G79" s="1308">
        <f t="shared" si="3"/>
        <v>0</v>
      </c>
    </row>
    <row r="80" spans="1:7">
      <c r="A80">
        <v>10700600001</v>
      </c>
      <c r="B80" t="s">
        <v>271</v>
      </c>
      <c r="C80" s="1308">
        <v>200</v>
      </c>
      <c r="D80" s="1308">
        <v>0</v>
      </c>
      <c r="F80" s="1308">
        <f t="shared" si="2"/>
        <v>0</v>
      </c>
      <c r="G80" s="1308">
        <f t="shared" si="3"/>
        <v>0</v>
      </c>
    </row>
    <row r="81" spans="1:7">
      <c r="A81">
        <v>10700700001</v>
      </c>
      <c r="B81" t="s">
        <v>281</v>
      </c>
      <c r="C81" s="1308">
        <v>45</v>
      </c>
      <c r="D81" s="1308">
        <v>0</v>
      </c>
      <c r="F81" s="1308">
        <f t="shared" si="2"/>
        <v>0</v>
      </c>
      <c r="G81" s="1308">
        <f t="shared" si="3"/>
        <v>0</v>
      </c>
    </row>
    <row r="82" spans="1:7">
      <c r="A82">
        <v>10700700005</v>
      </c>
      <c r="B82" t="s">
        <v>235</v>
      </c>
      <c r="C82" s="1308">
        <v>99</v>
      </c>
      <c r="D82" s="1308">
        <v>0</v>
      </c>
      <c r="F82" s="1308">
        <f t="shared" si="2"/>
        <v>0</v>
      </c>
      <c r="G82" s="1308">
        <f t="shared" si="3"/>
        <v>0</v>
      </c>
    </row>
    <row r="83" spans="1:7">
      <c r="A83">
        <v>10700700006</v>
      </c>
      <c r="B83" t="s">
        <v>237</v>
      </c>
      <c r="C83" s="1308">
        <v>0</v>
      </c>
      <c r="D83" s="1308">
        <v>0</v>
      </c>
      <c r="F83" s="1308">
        <f t="shared" si="2"/>
        <v>0</v>
      </c>
      <c r="G83" s="1308">
        <f t="shared" si="3"/>
        <v>0</v>
      </c>
    </row>
    <row r="84" spans="1:7">
      <c r="A84">
        <v>10700700008</v>
      </c>
      <c r="B84" t="s">
        <v>241</v>
      </c>
      <c r="C84" s="1308">
        <v>70</v>
      </c>
      <c r="D84" s="1308">
        <v>0</v>
      </c>
      <c r="F84" s="1308">
        <f t="shared" si="2"/>
        <v>0</v>
      </c>
      <c r="G84" s="1308">
        <f t="shared" si="3"/>
        <v>0</v>
      </c>
    </row>
    <row r="85" spans="1:7">
      <c r="A85">
        <v>10700700009</v>
      </c>
      <c r="B85" t="s">
        <v>287</v>
      </c>
      <c r="C85" s="1308">
        <v>21</v>
      </c>
      <c r="D85" s="1308">
        <v>0</v>
      </c>
      <c r="F85" s="1308">
        <f t="shared" si="2"/>
        <v>0</v>
      </c>
      <c r="G85" s="1308">
        <f t="shared" si="3"/>
        <v>0</v>
      </c>
    </row>
    <row r="86" spans="1:7">
      <c r="A86">
        <v>10700800001</v>
      </c>
      <c r="B86" t="s">
        <v>255</v>
      </c>
      <c r="C86" s="1308">
        <v>3927</v>
      </c>
      <c r="D86" s="1308">
        <v>0</v>
      </c>
      <c r="F86" s="1308">
        <f t="shared" si="2"/>
        <v>4</v>
      </c>
      <c r="G86" s="1308">
        <f t="shared" si="3"/>
        <v>0</v>
      </c>
    </row>
    <row r="87" spans="1:7">
      <c r="A87">
        <v>1070110009</v>
      </c>
      <c r="B87" t="s">
        <v>257</v>
      </c>
      <c r="C87" s="1308">
        <v>14</v>
      </c>
      <c r="D87" s="1308">
        <v>0</v>
      </c>
      <c r="F87" s="1308">
        <f t="shared" si="2"/>
        <v>0</v>
      </c>
      <c r="G87" s="1308">
        <f t="shared" si="3"/>
        <v>0</v>
      </c>
    </row>
    <row r="88" spans="1:7">
      <c r="A88">
        <v>1110090009</v>
      </c>
      <c r="B88" t="s">
        <v>225</v>
      </c>
      <c r="C88" s="1308">
        <v>365</v>
      </c>
      <c r="D88" s="1308">
        <v>0</v>
      </c>
      <c r="F88" s="1308">
        <f t="shared" si="2"/>
        <v>0</v>
      </c>
      <c r="G88" s="1308">
        <f t="shared" si="3"/>
        <v>0</v>
      </c>
    </row>
    <row r="89" spans="1:7">
      <c r="A89">
        <v>11500100001</v>
      </c>
      <c r="B89" t="s">
        <v>243</v>
      </c>
      <c r="C89" s="1308">
        <v>247</v>
      </c>
      <c r="D89" s="1308">
        <v>0</v>
      </c>
      <c r="F89" s="1308">
        <f t="shared" si="2"/>
        <v>0</v>
      </c>
      <c r="G89" s="1308">
        <f t="shared" si="3"/>
        <v>0</v>
      </c>
    </row>
    <row r="90" spans="1:7">
      <c r="A90">
        <v>11500100002</v>
      </c>
      <c r="B90" t="s">
        <v>245</v>
      </c>
      <c r="C90" s="1308">
        <v>3801</v>
      </c>
      <c r="D90" s="1308">
        <v>0</v>
      </c>
      <c r="F90" s="1308">
        <f t="shared" si="2"/>
        <v>4</v>
      </c>
      <c r="G90" s="1308">
        <f t="shared" si="3"/>
        <v>0</v>
      </c>
    </row>
    <row r="91" spans="1:7">
      <c r="A91">
        <v>20100100001</v>
      </c>
      <c r="B91" t="s">
        <v>413</v>
      </c>
      <c r="C91" s="1308">
        <v>0</v>
      </c>
      <c r="D91" s="1308">
        <v>334284</v>
      </c>
      <c r="F91" s="1308">
        <f t="shared" si="2"/>
        <v>0</v>
      </c>
      <c r="G91" s="1308">
        <f t="shared" si="3"/>
        <v>334</v>
      </c>
    </row>
    <row r="92" spans="1:7">
      <c r="A92">
        <v>20100200001</v>
      </c>
      <c r="B92" t="s">
        <v>417</v>
      </c>
      <c r="C92" s="1308">
        <v>487659</v>
      </c>
      <c r="D92" s="1308">
        <v>0</v>
      </c>
      <c r="F92" s="1308">
        <f t="shared" si="2"/>
        <v>488</v>
      </c>
      <c r="G92" s="1308">
        <f t="shared" si="3"/>
        <v>0</v>
      </c>
    </row>
    <row r="93" spans="1:7">
      <c r="A93">
        <v>20100300001</v>
      </c>
      <c r="B93" t="s">
        <v>419</v>
      </c>
      <c r="C93" s="1308">
        <v>0</v>
      </c>
      <c r="D93" s="1308">
        <v>538859</v>
      </c>
      <c r="F93" s="1308">
        <f t="shared" si="2"/>
        <v>0</v>
      </c>
      <c r="G93" s="1308">
        <f t="shared" si="3"/>
        <v>539</v>
      </c>
    </row>
    <row r="94" spans="1:7">
      <c r="A94">
        <v>20100400001</v>
      </c>
      <c r="B94" t="s">
        <v>421</v>
      </c>
      <c r="C94" s="1308">
        <v>305040</v>
      </c>
      <c r="D94" s="1308">
        <v>0</v>
      </c>
      <c r="F94" s="1308">
        <f t="shared" si="2"/>
        <v>305</v>
      </c>
      <c r="G94" s="1308">
        <f t="shared" si="3"/>
        <v>0</v>
      </c>
    </row>
    <row r="95" spans="1:7">
      <c r="A95">
        <v>20200100001</v>
      </c>
      <c r="B95" t="s">
        <v>431</v>
      </c>
      <c r="C95" s="1308">
        <v>3813</v>
      </c>
      <c r="D95" s="1308">
        <v>0</v>
      </c>
      <c r="F95" s="1308">
        <f t="shared" si="2"/>
        <v>4</v>
      </c>
      <c r="G95" s="1308">
        <f t="shared" si="3"/>
        <v>0</v>
      </c>
    </row>
    <row r="96" spans="1:7">
      <c r="A96">
        <v>20200200001</v>
      </c>
      <c r="B96" t="s">
        <v>423</v>
      </c>
      <c r="C96" s="1308">
        <v>6362</v>
      </c>
      <c r="D96" s="1308">
        <v>0</v>
      </c>
      <c r="F96" s="1308">
        <f t="shared" si="2"/>
        <v>6</v>
      </c>
      <c r="G96" s="1308">
        <f t="shared" si="3"/>
        <v>0</v>
      </c>
    </row>
    <row r="97" spans="1:7">
      <c r="A97">
        <v>20500100001</v>
      </c>
      <c r="B97" t="s">
        <v>425</v>
      </c>
      <c r="C97" s="1308">
        <v>0</v>
      </c>
      <c r="D97" s="1308">
        <v>2076194</v>
      </c>
      <c r="F97" s="1308">
        <f t="shared" si="2"/>
        <v>0</v>
      </c>
      <c r="G97" s="1308">
        <f t="shared" si="3"/>
        <v>2076</v>
      </c>
    </row>
    <row r="98" spans="1:7">
      <c r="A98">
        <v>30100100001</v>
      </c>
      <c r="B98" t="s">
        <v>305</v>
      </c>
      <c r="C98" s="1308">
        <v>0</v>
      </c>
      <c r="D98" s="1308">
        <v>2676</v>
      </c>
      <c r="E98" s="1308">
        <f>D98+D100+D99+D119+D120</f>
        <v>7083</v>
      </c>
      <c r="F98" s="1308">
        <f t="shared" si="2"/>
        <v>0</v>
      </c>
      <c r="G98" s="1308">
        <f t="shared" si="3"/>
        <v>3</v>
      </c>
    </row>
    <row r="99" spans="1:7">
      <c r="A99">
        <v>30100200001</v>
      </c>
      <c r="B99" t="s">
        <v>307</v>
      </c>
      <c r="C99" s="1308">
        <v>0</v>
      </c>
      <c r="D99" s="1308">
        <v>3261</v>
      </c>
      <c r="F99" s="1308">
        <f t="shared" si="2"/>
        <v>0</v>
      </c>
      <c r="G99" s="1308">
        <f t="shared" si="3"/>
        <v>3</v>
      </c>
    </row>
    <row r="100" spans="1:7">
      <c r="A100">
        <v>30100600001</v>
      </c>
      <c r="B100" t="s">
        <v>309</v>
      </c>
      <c r="C100" s="1308">
        <v>0</v>
      </c>
      <c r="D100" s="1308">
        <v>348</v>
      </c>
      <c r="F100" s="1308">
        <f t="shared" si="2"/>
        <v>0</v>
      </c>
      <c r="G100" s="1308">
        <f t="shared" si="3"/>
        <v>0</v>
      </c>
    </row>
    <row r="101" spans="1:7">
      <c r="A101">
        <v>30100700001</v>
      </c>
      <c r="B101" t="s">
        <v>349</v>
      </c>
      <c r="C101" s="1308">
        <v>0</v>
      </c>
      <c r="D101" s="1308">
        <v>9210</v>
      </c>
      <c r="F101" s="1308">
        <f t="shared" si="2"/>
        <v>0</v>
      </c>
      <c r="G101" s="1308">
        <f t="shared" si="3"/>
        <v>9</v>
      </c>
    </row>
    <row r="102" spans="1:7">
      <c r="A102">
        <v>30100800001</v>
      </c>
      <c r="B102" t="s">
        <v>317</v>
      </c>
      <c r="C102" s="1308">
        <v>0</v>
      </c>
      <c r="D102" s="1308">
        <v>17</v>
      </c>
      <c r="F102" s="1308">
        <f t="shared" si="2"/>
        <v>0</v>
      </c>
      <c r="G102" s="1308">
        <f t="shared" si="3"/>
        <v>0</v>
      </c>
    </row>
    <row r="103" spans="1:7">
      <c r="A103">
        <v>30100900001</v>
      </c>
      <c r="B103" t="s">
        <v>351</v>
      </c>
      <c r="C103" s="1308">
        <v>0</v>
      </c>
      <c r="D103" s="1308">
        <v>239</v>
      </c>
      <c r="F103" s="1308">
        <f t="shared" si="2"/>
        <v>0</v>
      </c>
      <c r="G103" s="1308">
        <f t="shared" si="3"/>
        <v>0</v>
      </c>
    </row>
    <row r="104" spans="1:7">
      <c r="A104">
        <v>30200100001</v>
      </c>
      <c r="B104" t="s">
        <v>319</v>
      </c>
      <c r="C104" s="1308">
        <v>0</v>
      </c>
      <c r="D104" s="1308">
        <v>124</v>
      </c>
      <c r="F104" s="1308">
        <f t="shared" si="2"/>
        <v>0</v>
      </c>
      <c r="G104" s="1308">
        <f t="shared" si="3"/>
        <v>0</v>
      </c>
    </row>
    <row r="105" spans="1:7">
      <c r="A105">
        <v>30400100001</v>
      </c>
      <c r="B105" t="s">
        <v>325</v>
      </c>
      <c r="C105" s="1308">
        <v>0</v>
      </c>
      <c r="D105" s="1308">
        <v>97</v>
      </c>
      <c r="F105" s="1308">
        <f t="shared" si="2"/>
        <v>0</v>
      </c>
      <c r="G105" s="1308">
        <f t="shared" si="3"/>
        <v>0</v>
      </c>
    </row>
    <row r="106" spans="1:7">
      <c r="A106">
        <v>30500100001</v>
      </c>
      <c r="B106" t="s">
        <v>337</v>
      </c>
      <c r="C106" s="1308">
        <v>0</v>
      </c>
      <c r="D106" s="1308">
        <v>0</v>
      </c>
      <c r="F106" s="1308">
        <f t="shared" si="2"/>
        <v>0</v>
      </c>
      <c r="G106" s="1308">
        <f t="shared" si="3"/>
        <v>0</v>
      </c>
    </row>
    <row r="107" spans="1:7">
      <c r="A107">
        <v>30700100001</v>
      </c>
      <c r="B107" t="s">
        <v>331</v>
      </c>
      <c r="C107" s="1308">
        <v>0</v>
      </c>
      <c r="D107" s="1308">
        <v>47</v>
      </c>
      <c r="F107" s="1308">
        <f t="shared" si="2"/>
        <v>0</v>
      </c>
      <c r="G107" s="1308">
        <f t="shared" si="3"/>
        <v>0</v>
      </c>
    </row>
    <row r="108" spans="1:7">
      <c r="A108">
        <v>30900100001</v>
      </c>
      <c r="B108" t="s">
        <v>352</v>
      </c>
      <c r="C108" s="1308">
        <v>0</v>
      </c>
      <c r="D108" s="1308">
        <v>0</v>
      </c>
      <c r="F108" s="1308">
        <f t="shared" si="2"/>
        <v>0</v>
      </c>
      <c r="G108" s="1308">
        <f t="shared" si="3"/>
        <v>0</v>
      </c>
    </row>
    <row r="109" spans="1:7">
      <c r="A109">
        <v>31000400002</v>
      </c>
      <c r="B109" t="s">
        <v>354</v>
      </c>
      <c r="C109" s="1308">
        <v>0</v>
      </c>
      <c r="D109" s="1308">
        <v>2236</v>
      </c>
      <c r="E109">
        <f>SUM(D109:D112)-C112</f>
        <v>2433</v>
      </c>
      <c r="F109" s="1308">
        <f t="shared" si="2"/>
        <v>0</v>
      </c>
      <c r="G109" s="1308">
        <f t="shared" si="3"/>
        <v>2</v>
      </c>
    </row>
    <row r="110" spans="1:7">
      <c r="A110">
        <v>31000500001</v>
      </c>
      <c r="B110" t="s">
        <v>356</v>
      </c>
      <c r="C110" s="1308">
        <v>0</v>
      </c>
      <c r="D110" s="1308">
        <v>172</v>
      </c>
      <c r="F110" s="1308">
        <f t="shared" si="2"/>
        <v>0</v>
      </c>
      <c r="G110" s="1308">
        <f t="shared" si="3"/>
        <v>0</v>
      </c>
    </row>
    <row r="111" spans="1:7">
      <c r="A111">
        <v>31000500002</v>
      </c>
      <c r="B111" t="s">
        <v>620</v>
      </c>
      <c r="C111" s="1308">
        <v>0</v>
      </c>
      <c r="D111" s="1308">
        <v>25</v>
      </c>
      <c r="F111" s="1308">
        <f t="shared" si="2"/>
        <v>0</v>
      </c>
      <c r="G111" s="1308">
        <f t="shared" si="3"/>
        <v>0</v>
      </c>
    </row>
    <row r="112" spans="1:7">
      <c r="A112">
        <v>31000500003</v>
      </c>
      <c r="B112" t="s">
        <v>358</v>
      </c>
      <c r="C112" s="1308">
        <v>0</v>
      </c>
      <c r="D112" s="1308">
        <v>0</v>
      </c>
      <c r="F112" s="1308">
        <f t="shared" si="2"/>
        <v>0</v>
      </c>
      <c r="G112" s="1308">
        <f t="shared" si="3"/>
        <v>0</v>
      </c>
    </row>
    <row r="113" spans="1:7">
      <c r="A113">
        <v>31000600001</v>
      </c>
      <c r="B113" t="s">
        <v>360</v>
      </c>
      <c r="C113" s="1308">
        <v>0</v>
      </c>
      <c r="D113" s="1308">
        <v>11767</v>
      </c>
      <c r="F113" s="1308">
        <f t="shared" si="2"/>
        <v>0</v>
      </c>
      <c r="G113" s="1308">
        <f t="shared" si="3"/>
        <v>12</v>
      </c>
    </row>
    <row r="114" spans="1:7">
      <c r="A114">
        <v>31000700001</v>
      </c>
      <c r="B114" t="s">
        <v>362</v>
      </c>
      <c r="C114" s="1308">
        <v>0</v>
      </c>
      <c r="D114" s="1308">
        <v>562</v>
      </c>
      <c r="F114" s="1308">
        <f t="shared" si="2"/>
        <v>0</v>
      </c>
      <c r="G114" s="1308">
        <f t="shared" si="3"/>
        <v>1</v>
      </c>
    </row>
    <row r="115" spans="1:7">
      <c r="A115">
        <v>31000800001</v>
      </c>
      <c r="B115" t="s">
        <v>364</v>
      </c>
      <c r="C115" s="1308">
        <v>0</v>
      </c>
      <c r="D115" s="1308">
        <v>157</v>
      </c>
      <c r="F115" s="1308">
        <f t="shared" si="2"/>
        <v>0</v>
      </c>
      <c r="G115" s="1308">
        <f t="shared" si="3"/>
        <v>0</v>
      </c>
    </row>
    <row r="116" spans="1:7">
      <c r="A116">
        <v>31001200001</v>
      </c>
      <c r="B116" t="s">
        <v>368</v>
      </c>
      <c r="C116" s="1308">
        <v>0</v>
      </c>
      <c r="D116" s="1308">
        <v>23</v>
      </c>
      <c r="F116" s="1308">
        <f t="shared" si="2"/>
        <v>0</v>
      </c>
      <c r="G116" s="1308">
        <f t="shared" si="3"/>
        <v>0</v>
      </c>
    </row>
    <row r="117" spans="1:7">
      <c r="A117">
        <v>31001700001</v>
      </c>
      <c r="B117" t="s">
        <v>374</v>
      </c>
      <c r="C117" s="1308">
        <v>0</v>
      </c>
      <c r="D117" s="1308">
        <v>70</v>
      </c>
      <c r="F117" s="1308">
        <f t="shared" si="2"/>
        <v>0</v>
      </c>
      <c r="G117" s="1308">
        <f t="shared" si="3"/>
        <v>0</v>
      </c>
    </row>
    <row r="118" spans="1:7">
      <c r="A118">
        <v>31001900001</v>
      </c>
      <c r="B118" t="s">
        <v>376</v>
      </c>
      <c r="C118" s="1308">
        <v>0</v>
      </c>
      <c r="D118" s="1308">
        <v>624</v>
      </c>
      <c r="E118">
        <f>D118+D117</f>
        <v>694</v>
      </c>
      <c r="F118" s="1308">
        <f t="shared" si="2"/>
        <v>0</v>
      </c>
      <c r="G118" s="1308">
        <f t="shared" si="3"/>
        <v>1</v>
      </c>
    </row>
    <row r="119" spans="1:7">
      <c r="A119">
        <v>31200100001</v>
      </c>
      <c r="B119" t="s">
        <v>311</v>
      </c>
      <c r="C119" s="1308">
        <v>0</v>
      </c>
      <c r="D119" s="1308">
        <v>165</v>
      </c>
      <c r="F119" s="1308">
        <f t="shared" si="2"/>
        <v>0</v>
      </c>
      <c r="G119" s="1308">
        <f t="shared" si="3"/>
        <v>0</v>
      </c>
    </row>
    <row r="120" spans="1:7">
      <c r="A120">
        <v>314001001</v>
      </c>
      <c r="B120" t="s">
        <v>1552</v>
      </c>
      <c r="C120" s="1308">
        <v>0</v>
      </c>
      <c r="D120" s="1308">
        <v>633</v>
      </c>
      <c r="E120" s="1308">
        <f>SUM(D98:D120)-C112</f>
        <v>32453</v>
      </c>
      <c r="F120" s="1308">
        <f t="shared" si="2"/>
        <v>0</v>
      </c>
      <c r="G120" s="1308">
        <f t="shared" si="3"/>
        <v>1</v>
      </c>
    </row>
    <row r="121" spans="1:7">
      <c r="C121" s="1308"/>
      <c r="D121" s="1308"/>
      <c r="E121" s="1308"/>
      <c r="F121" s="1308"/>
      <c r="G121" s="1308"/>
    </row>
    <row r="122" spans="1:7">
      <c r="A122">
        <v>40100200001</v>
      </c>
      <c r="B122" t="s">
        <v>443</v>
      </c>
      <c r="C122" s="1308">
        <v>0</v>
      </c>
      <c r="D122" s="1308">
        <v>1521</v>
      </c>
      <c r="E122" s="1308"/>
      <c r="F122" s="1308">
        <f t="shared" si="2"/>
        <v>0</v>
      </c>
      <c r="G122" s="1308">
        <f t="shared" si="3"/>
        <v>2</v>
      </c>
    </row>
    <row r="123" spans="1:7">
      <c r="A123">
        <v>40100400001</v>
      </c>
      <c r="B123" t="s">
        <v>447</v>
      </c>
      <c r="C123" s="1308">
        <v>0</v>
      </c>
      <c r="D123" s="1308">
        <v>1327</v>
      </c>
      <c r="F123" s="1308">
        <f t="shared" si="2"/>
        <v>0</v>
      </c>
      <c r="G123" s="1308">
        <f t="shared" si="3"/>
        <v>1</v>
      </c>
    </row>
    <row r="124" spans="1:7">
      <c r="A124">
        <v>40100500001</v>
      </c>
      <c r="B124" t="s">
        <v>1555</v>
      </c>
      <c r="C124" s="1308">
        <v>313</v>
      </c>
      <c r="D124" s="1308">
        <v>0</v>
      </c>
      <c r="F124" s="1308">
        <f t="shared" si="2"/>
        <v>0</v>
      </c>
      <c r="G124" s="1308">
        <f t="shared" si="3"/>
        <v>0</v>
      </c>
    </row>
    <row r="125" spans="1:7">
      <c r="A125">
        <v>40101000001</v>
      </c>
      <c r="B125" t="s">
        <v>583</v>
      </c>
      <c r="C125" s="1308">
        <v>0</v>
      </c>
      <c r="D125" s="1308">
        <v>1395</v>
      </c>
      <c r="F125" s="1308">
        <f t="shared" si="2"/>
        <v>0</v>
      </c>
      <c r="G125" s="1308">
        <f t="shared" si="3"/>
        <v>1</v>
      </c>
    </row>
    <row r="126" spans="1:7">
      <c r="A126">
        <v>40101200001</v>
      </c>
      <c r="B126" t="s">
        <v>569</v>
      </c>
      <c r="C126" s="1308">
        <v>29696</v>
      </c>
      <c r="D126" s="1308">
        <v>0</v>
      </c>
      <c r="F126" s="1308">
        <f t="shared" si="2"/>
        <v>30</v>
      </c>
      <c r="G126" s="1308">
        <f t="shared" si="3"/>
        <v>0</v>
      </c>
    </row>
    <row r="127" spans="1:7">
      <c r="A127">
        <v>40101300001</v>
      </c>
      <c r="B127" t="s">
        <v>459</v>
      </c>
      <c r="C127" s="1308">
        <v>0</v>
      </c>
      <c r="D127" s="1308">
        <v>30737</v>
      </c>
      <c r="F127" s="1308">
        <f t="shared" si="2"/>
        <v>0</v>
      </c>
      <c r="G127" s="1308">
        <f t="shared" si="3"/>
        <v>31</v>
      </c>
    </row>
    <row r="128" spans="1:7">
      <c r="A128">
        <v>40101400001</v>
      </c>
      <c r="B128" t="s">
        <v>571</v>
      </c>
      <c r="C128" s="1308">
        <v>2593</v>
      </c>
      <c r="D128" s="1308">
        <v>0</v>
      </c>
      <c r="F128" s="1308">
        <f t="shared" si="2"/>
        <v>3</v>
      </c>
      <c r="G128" s="1308">
        <f t="shared" si="3"/>
        <v>0</v>
      </c>
    </row>
    <row r="129" spans="1:7">
      <c r="A129">
        <v>40101600001</v>
      </c>
      <c r="B129" t="s">
        <v>575</v>
      </c>
      <c r="C129" s="1308">
        <v>605</v>
      </c>
      <c r="D129" s="1308">
        <v>0</v>
      </c>
      <c r="F129" s="1308">
        <f t="shared" si="2"/>
        <v>1</v>
      </c>
      <c r="G129" s="1308">
        <f t="shared" si="3"/>
        <v>0</v>
      </c>
    </row>
    <row r="130" spans="1:7">
      <c r="A130">
        <v>40102000001</v>
      </c>
      <c r="B130" t="s">
        <v>577</v>
      </c>
      <c r="C130" s="1308">
        <v>0</v>
      </c>
      <c r="D130" s="1308">
        <v>18</v>
      </c>
      <c r="F130" s="1308">
        <f t="shared" si="2"/>
        <v>0</v>
      </c>
      <c r="G130" s="1308">
        <f t="shared" si="3"/>
        <v>0</v>
      </c>
    </row>
    <row r="131" spans="1:7">
      <c r="A131">
        <v>40102100001</v>
      </c>
      <c r="B131" t="s">
        <v>449</v>
      </c>
      <c r="C131" s="1308">
        <v>0</v>
      </c>
      <c r="D131" s="1308">
        <v>194</v>
      </c>
      <c r="F131" s="1308">
        <f t="shared" si="2"/>
        <v>0</v>
      </c>
      <c r="G131" s="1308">
        <f t="shared" si="3"/>
        <v>0</v>
      </c>
    </row>
    <row r="132" spans="1:7">
      <c r="A132">
        <v>40200100001</v>
      </c>
      <c r="B132" t="s">
        <v>530</v>
      </c>
      <c r="C132" s="1308">
        <v>0</v>
      </c>
      <c r="D132" s="1308">
        <v>1829</v>
      </c>
      <c r="F132" s="1308">
        <f t="shared" ref="F132:F193" si="4">ROUND(C132/1000,0)</f>
        <v>0</v>
      </c>
      <c r="G132" s="1308">
        <f t="shared" ref="G132:G193" si="5">ROUND(D132/1000,0)</f>
        <v>2</v>
      </c>
    </row>
    <row r="133" spans="1:7">
      <c r="A133">
        <v>40200100005</v>
      </c>
      <c r="B133" t="s">
        <v>532</v>
      </c>
      <c r="C133" s="1308">
        <v>0</v>
      </c>
      <c r="D133" s="1308">
        <v>2</v>
      </c>
      <c r="F133" s="1308">
        <f t="shared" si="4"/>
        <v>0</v>
      </c>
      <c r="G133" s="1308">
        <f t="shared" si="5"/>
        <v>0</v>
      </c>
    </row>
    <row r="134" spans="1:7">
      <c r="A134">
        <v>40200100014</v>
      </c>
      <c r="B134" t="s">
        <v>535</v>
      </c>
      <c r="C134" s="1308">
        <v>0</v>
      </c>
      <c r="D134" s="1308">
        <v>794</v>
      </c>
      <c r="F134" s="1308">
        <f t="shared" si="4"/>
        <v>0</v>
      </c>
      <c r="G134" s="1308">
        <f t="shared" si="5"/>
        <v>1</v>
      </c>
    </row>
    <row r="135" spans="1:7">
      <c r="A135">
        <v>40200100015</v>
      </c>
      <c r="B135" t="s">
        <v>537</v>
      </c>
      <c r="C135" s="1308">
        <v>0</v>
      </c>
      <c r="D135" s="1308">
        <v>284</v>
      </c>
      <c r="F135" s="1308">
        <f t="shared" si="4"/>
        <v>0</v>
      </c>
      <c r="G135" s="1308">
        <f t="shared" si="5"/>
        <v>0</v>
      </c>
    </row>
    <row r="136" spans="1:7">
      <c r="A136">
        <v>40200100017</v>
      </c>
      <c r="B136" t="s">
        <v>539</v>
      </c>
      <c r="C136" s="1308">
        <v>0</v>
      </c>
      <c r="D136" s="1308">
        <v>104</v>
      </c>
      <c r="F136" s="1308">
        <f t="shared" si="4"/>
        <v>0</v>
      </c>
      <c r="G136" s="1308">
        <f t="shared" si="5"/>
        <v>0</v>
      </c>
    </row>
    <row r="137" spans="1:7">
      <c r="A137">
        <v>40200100021</v>
      </c>
      <c r="B137" t="s">
        <v>541</v>
      </c>
      <c r="C137" s="1308">
        <v>0</v>
      </c>
      <c r="D137" s="1308">
        <v>0</v>
      </c>
      <c r="F137" s="1308">
        <f t="shared" si="4"/>
        <v>0</v>
      </c>
      <c r="G137" s="1308">
        <f t="shared" si="5"/>
        <v>0</v>
      </c>
    </row>
    <row r="138" spans="1:7">
      <c r="A138">
        <v>40200100069</v>
      </c>
      <c r="B138" t="s">
        <v>548</v>
      </c>
      <c r="C138" s="1308">
        <v>0</v>
      </c>
      <c r="D138" s="1308">
        <v>24</v>
      </c>
      <c r="F138" s="1308">
        <f t="shared" si="4"/>
        <v>0</v>
      </c>
      <c r="G138" s="1308">
        <f t="shared" si="5"/>
        <v>0</v>
      </c>
    </row>
    <row r="139" spans="1:7">
      <c r="A139">
        <v>40200100072</v>
      </c>
      <c r="B139" t="s">
        <v>550</v>
      </c>
      <c r="C139" s="1308">
        <v>0</v>
      </c>
      <c r="D139" s="1308">
        <v>0</v>
      </c>
      <c r="F139" s="1308">
        <f t="shared" si="4"/>
        <v>0</v>
      </c>
      <c r="G139" s="1308">
        <f t="shared" si="5"/>
        <v>0</v>
      </c>
    </row>
    <row r="140" spans="1:7">
      <c r="A140">
        <v>40200100075</v>
      </c>
      <c r="B140" t="s">
        <v>552</v>
      </c>
      <c r="C140" s="1308">
        <v>0</v>
      </c>
      <c r="D140" s="1308">
        <v>0</v>
      </c>
      <c r="F140" s="1308">
        <f t="shared" si="4"/>
        <v>0</v>
      </c>
      <c r="G140" s="1308">
        <f t="shared" si="5"/>
        <v>0</v>
      </c>
    </row>
    <row r="141" spans="1:7">
      <c r="A141">
        <v>40200100077</v>
      </c>
      <c r="B141" t="s">
        <v>554</v>
      </c>
      <c r="C141" s="1308">
        <v>0</v>
      </c>
      <c r="D141" s="1308">
        <v>0</v>
      </c>
      <c r="F141" s="1308">
        <f t="shared" si="4"/>
        <v>0</v>
      </c>
      <c r="G141" s="1308">
        <f t="shared" si="5"/>
        <v>0</v>
      </c>
    </row>
    <row r="142" spans="1:7">
      <c r="A142">
        <v>40200100078</v>
      </c>
      <c r="B142" t="s">
        <v>556</v>
      </c>
      <c r="C142" s="1308">
        <v>0</v>
      </c>
      <c r="D142" s="1308">
        <v>0</v>
      </c>
      <c r="F142" s="1308">
        <f t="shared" si="4"/>
        <v>0</v>
      </c>
      <c r="G142" s="1308">
        <f t="shared" si="5"/>
        <v>0</v>
      </c>
    </row>
    <row r="143" spans="1:7">
      <c r="A143">
        <v>40200100079</v>
      </c>
      <c r="B143" t="s">
        <v>558</v>
      </c>
      <c r="C143" s="1308">
        <v>0</v>
      </c>
      <c r="D143" s="1308">
        <v>1633</v>
      </c>
      <c r="F143" s="1308">
        <f t="shared" si="4"/>
        <v>0</v>
      </c>
      <c r="G143" s="1308">
        <f t="shared" si="5"/>
        <v>2</v>
      </c>
    </row>
    <row r="144" spans="1:7">
      <c r="A144">
        <v>40200100080</v>
      </c>
      <c r="B144" t="s">
        <v>559</v>
      </c>
      <c r="C144" s="1308">
        <v>0</v>
      </c>
      <c r="D144" s="1308">
        <v>0</v>
      </c>
      <c r="F144" s="1308">
        <f t="shared" si="4"/>
        <v>0</v>
      </c>
      <c r="G144" s="1308">
        <f t="shared" si="5"/>
        <v>0</v>
      </c>
    </row>
    <row r="145" spans="1:7">
      <c r="A145">
        <v>40200100082</v>
      </c>
      <c r="B145" t="s">
        <v>560</v>
      </c>
      <c r="C145" s="1308">
        <v>0</v>
      </c>
      <c r="D145" s="1308">
        <v>0</v>
      </c>
      <c r="F145" s="1308">
        <f t="shared" si="4"/>
        <v>0</v>
      </c>
      <c r="G145" s="1308">
        <f t="shared" si="5"/>
        <v>0</v>
      </c>
    </row>
    <row r="146" spans="1:7">
      <c r="A146">
        <v>40200100085</v>
      </c>
      <c r="B146" t="s">
        <v>1550</v>
      </c>
      <c r="C146" s="1308">
        <v>0</v>
      </c>
      <c r="D146" s="1308">
        <v>0</v>
      </c>
      <c r="F146" s="1308">
        <f t="shared" si="4"/>
        <v>0</v>
      </c>
      <c r="G146" s="1308">
        <f t="shared" si="5"/>
        <v>0</v>
      </c>
    </row>
    <row r="147" spans="1:7">
      <c r="A147">
        <v>40200100090</v>
      </c>
      <c r="B147" t="s">
        <v>561</v>
      </c>
      <c r="C147" s="1308">
        <v>0</v>
      </c>
      <c r="D147" s="1308">
        <v>621</v>
      </c>
      <c r="F147" s="1308">
        <f t="shared" si="4"/>
        <v>0</v>
      </c>
      <c r="G147" s="1308">
        <f t="shared" si="5"/>
        <v>1</v>
      </c>
    </row>
    <row r="148" spans="1:7">
      <c r="A148">
        <v>40200100093</v>
      </c>
      <c r="B148" t="s">
        <v>562</v>
      </c>
      <c r="C148" s="1308">
        <v>0</v>
      </c>
      <c r="D148" s="1308">
        <v>4587</v>
      </c>
      <c r="F148" s="1308">
        <f t="shared" si="4"/>
        <v>0</v>
      </c>
      <c r="G148" s="1308">
        <f t="shared" si="5"/>
        <v>5</v>
      </c>
    </row>
    <row r="149" spans="1:7">
      <c r="A149">
        <v>40200100096</v>
      </c>
      <c r="B149" t="s">
        <v>1798</v>
      </c>
      <c r="C149" s="1308">
        <v>0</v>
      </c>
      <c r="D149" s="1308">
        <v>28</v>
      </c>
      <c r="F149" s="1308">
        <f t="shared" si="4"/>
        <v>0</v>
      </c>
      <c r="G149" s="1308">
        <f t="shared" si="5"/>
        <v>0</v>
      </c>
    </row>
    <row r="150" spans="1:7">
      <c r="A150">
        <v>40200100099</v>
      </c>
      <c r="B150" t="s">
        <v>563</v>
      </c>
      <c r="C150" s="1308">
        <v>0</v>
      </c>
      <c r="D150" s="1308">
        <v>1</v>
      </c>
      <c r="F150" s="1308">
        <f t="shared" si="4"/>
        <v>0</v>
      </c>
      <c r="G150" s="1308">
        <f t="shared" si="5"/>
        <v>0</v>
      </c>
    </row>
    <row r="151" spans="1:7">
      <c r="A151">
        <v>40200300001</v>
      </c>
      <c r="B151" t="s">
        <v>467</v>
      </c>
      <c r="C151" s="1308">
        <v>0</v>
      </c>
      <c r="D151" s="1308">
        <v>17549</v>
      </c>
      <c r="F151" s="1308">
        <f t="shared" si="4"/>
        <v>0</v>
      </c>
      <c r="G151" s="1308">
        <f t="shared" si="5"/>
        <v>18</v>
      </c>
    </row>
    <row r="152" spans="1:7">
      <c r="A152">
        <v>40200300002</v>
      </c>
      <c r="B152" t="s">
        <v>467</v>
      </c>
      <c r="C152" s="1308">
        <v>200</v>
      </c>
      <c r="D152" s="1308">
        <v>0</v>
      </c>
      <c r="F152" s="1308">
        <f t="shared" si="4"/>
        <v>0</v>
      </c>
      <c r="G152" s="1308">
        <f t="shared" si="5"/>
        <v>0</v>
      </c>
    </row>
    <row r="153" spans="1:7">
      <c r="A153">
        <v>40200700001</v>
      </c>
      <c r="B153" t="s">
        <v>1558</v>
      </c>
      <c r="C153" s="1308">
        <v>0</v>
      </c>
      <c r="D153" s="1308">
        <v>129</v>
      </c>
      <c r="F153" s="1308">
        <f t="shared" si="4"/>
        <v>0</v>
      </c>
      <c r="G153" s="1308">
        <f t="shared" si="5"/>
        <v>0</v>
      </c>
    </row>
    <row r="154" spans="1:7">
      <c r="A154">
        <v>40201400001</v>
      </c>
      <c r="B154" t="s">
        <v>470</v>
      </c>
      <c r="C154" s="1308">
        <v>0</v>
      </c>
      <c r="D154" s="1308">
        <v>4340</v>
      </c>
      <c r="F154" s="1308">
        <f t="shared" si="4"/>
        <v>0</v>
      </c>
      <c r="G154" s="1308">
        <f t="shared" si="5"/>
        <v>4</v>
      </c>
    </row>
    <row r="155" spans="1:7">
      <c r="A155">
        <v>40201600001</v>
      </c>
      <c r="B155" t="s">
        <v>487</v>
      </c>
      <c r="C155" s="1308">
        <v>0</v>
      </c>
      <c r="D155" s="1308">
        <v>3028</v>
      </c>
      <c r="F155" s="1308">
        <f t="shared" si="4"/>
        <v>0</v>
      </c>
      <c r="G155" s="1308">
        <f t="shared" si="5"/>
        <v>3</v>
      </c>
    </row>
    <row r="156" spans="1:7">
      <c r="A156">
        <v>40201900001</v>
      </c>
      <c r="B156" t="s">
        <v>505</v>
      </c>
      <c r="C156" s="1308">
        <v>0</v>
      </c>
      <c r="D156" s="1308">
        <v>1862</v>
      </c>
      <c r="F156" s="1308">
        <f t="shared" si="4"/>
        <v>0</v>
      </c>
      <c r="G156" s="1308">
        <f t="shared" si="5"/>
        <v>2</v>
      </c>
    </row>
    <row r="157" spans="1:7">
      <c r="A157">
        <v>40202100001</v>
      </c>
      <c r="B157" t="s">
        <v>461</v>
      </c>
      <c r="C157" s="1308">
        <v>0</v>
      </c>
      <c r="D157" s="1308">
        <v>7329</v>
      </c>
      <c r="F157" s="1308">
        <f t="shared" si="4"/>
        <v>0</v>
      </c>
      <c r="G157" s="1308">
        <f t="shared" si="5"/>
        <v>7</v>
      </c>
    </row>
    <row r="158" spans="1:7">
      <c r="A158">
        <v>40202400001</v>
      </c>
      <c r="B158" t="s">
        <v>491</v>
      </c>
      <c r="C158" s="1308">
        <v>0</v>
      </c>
      <c r="D158" s="1308">
        <v>4049</v>
      </c>
      <c r="F158" s="1308">
        <f t="shared" si="4"/>
        <v>0</v>
      </c>
      <c r="G158" s="1308">
        <f t="shared" si="5"/>
        <v>4</v>
      </c>
    </row>
    <row r="159" spans="1:7">
      <c r="A159">
        <v>40202500001</v>
      </c>
      <c r="B159" t="s">
        <v>493</v>
      </c>
      <c r="C159" s="1308">
        <v>60</v>
      </c>
      <c r="D159" s="1308">
        <v>0</v>
      </c>
      <c r="F159" s="1308">
        <f t="shared" si="4"/>
        <v>0</v>
      </c>
      <c r="G159" s="1308">
        <f t="shared" si="5"/>
        <v>0</v>
      </c>
    </row>
    <row r="160" spans="1:7">
      <c r="A160">
        <v>40300100001</v>
      </c>
      <c r="B160" t="s">
        <v>517</v>
      </c>
      <c r="C160" s="1308">
        <v>0</v>
      </c>
      <c r="D160" s="1308">
        <v>54</v>
      </c>
      <c r="F160" s="1308">
        <f t="shared" si="4"/>
        <v>0</v>
      </c>
      <c r="G160" s="1308">
        <f t="shared" si="5"/>
        <v>0</v>
      </c>
    </row>
    <row r="161" spans="1:7">
      <c r="A161">
        <v>40400100001</v>
      </c>
      <c r="B161" t="s">
        <v>747</v>
      </c>
      <c r="C161" s="1308">
        <v>0</v>
      </c>
      <c r="D161" s="1308">
        <v>3813</v>
      </c>
      <c r="F161" s="1308">
        <f t="shared" si="4"/>
        <v>0</v>
      </c>
      <c r="G161" s="1308">
        <f t="shared" si="5"/>
        <v>4</v>
      </c>
    </row>
    <row r="162" spans="1:7">
      <c r="A162">
        <v>40400200001</v>
      </c>
      <c r="B162" t="s">
        <v>753</v>
      </c>
      <c r="C162" s="1308">
        <v>0</v>
      </c>
      <c r="D162" s="1308">
        <v>6362</v>
      </c>
      <c r="F162" s="1308">
        <f t="shared" si="4"/>
        <v>0</v>
      </c>
      <c r="G162" s="1308">
        <f t="shared" si="5"/>
        <v>6</v>
      </c>
    </row>
    <row r="163" spans="1:7">
      <c r="A163">
        <v>4080090009</v>
      </c>
      <c r="B163" t="s">
        <v>524</v>
      </c>
      <c r="C163" s="1308">
        <v>0</v>
      </c>
      <c r="D163" s="1308">
        <v>1653</v>
      </c>
      <c r="F163" s="1308">
        <f t="shared" si="4"/>
        <v>0</v>
      </c>
      <c r="G163" s="1308">
        <f t="shared" si="5"/>
        <v>2</v>
      </c>
    </row>
    <row r="164" spans="1:7">
      <c r="C164" s="1308"/>
      <c r="D164" s="1308"/>
      <c r="F164" s="1308"/>
      <c r="G164" s="1308"/>
    </row>
    <row r="165" spans="1:7">
      <c r="A165">
        <v>50100100001</v>
      </c>
      <c r="B165" t="s">
        <v>596</v>
      </c>
      <c r="C165" s="1308">
        <v>5931</v>
      </c>
      <c r="D165" s="1308">
        <v>0</v>
      </c>
      <c r="F165" s="1308">
        <f t="shared" si="4"/>
        <v>6</v>
      </c>
      <c r="G165" s="1308">
        <f t="shared" si="5"/>
        <v>0</v>
      </c>
    </row>
    <row r="166" spans="1:7">
      <c r="A166">
        <v>50100100002</v>
      </c>
      <c r="B166" t="s">
        <v>598</v>
      </c>
      <c r="C166" s="1308">
        <v>771</v>
      </c>
      <c r="D166" s="1308">
        <v>0</v>
      </c>
      <c r="F166" s="1308">
        <f t="shared" si="4"/>
        <v>1</v>
      </c>
      <c r="G166" s="1308">
        <f t="shared" si="5"/>
        <v>0</v>
      </c>
    </row>
    <row r="167" spans="1:7">
      <c r="A167">
        <v>50100100003</v>
      </c>
      <c r="B167" t="s">
        <v>600</v>
      </c>
      <c r="C167" s="1308">
        <v>0</v>
      </c>
      <c r="D167" s="1308">
        <v>0</v>
      </c>
      <c r="F167" s="1308">
        <f t="shared" si="4"/>
        <v>0</v>
      </c>
      <c r="G167" s="1308">
        <f t="shared" si="5"/>
        <v>0</v>
      </c>
    </row>
    <row r="168" spans="1:7">
      <c r="A168">
        <v>50100200001</v>
      </c>
      <c r="B168" t="s">
        <v>606</v>
      </c>
      <c r="C168" s="1308">
        <v>365</v>
      </c>
      <c r="D168" s="1308">
        <v>0</v>
      </c>
      <c r="F168" s="1308">
        <f t="shared" si="4"/>
        <v>0</v>
      </c>
      <c r="G168" s="1308">
        <f t="shared" si="5"/>
        <v>0</v>
      </c>
    </row>
    <row r="169" spans="1:7">
      <c r="A169">
        <v>50100200002</v>
      </c>
      <c r="B169" t="s">
        <v>733</v>
      </c>
      <c r="C169" s="1308">
        <v>47</v>
      </c>
      <c r="D169" s="1308">
        <v>0</v>
      </c>
      <c r="F169" s="1308">
        <f t="shared" si="4"/>
        <v>0</v>
      </c>
      <c r="G169" s="1308">
        <f t="shared" si="5"/>
        <v>0</v>
      </c>
    </row>
    <row r="170" spans="1:7">
      <c r="A170">
        <v>50100300001</v>
      </c>
      <c r="B170" t="s">
        <v>612</v>
      </c>
      <c r="C170" s="1308">
        <v>97</v>
      </c>
      <c r="D170" s="1308">
        <v>0</v>
      </c>
      <c r="F170" s="1308">
        <f t="shared" si="4"/>
        <v>0</v>
      </c>
      <c r="G170" s="1308">
        <f t="shared" si="5"/>
        <v>0</v>
      </c>
    </row>
    <row r="171" spans="1:7">
      <c r="A171">
        <v>50100500001</v>
      </c>
      <c r="B171" t="s">
        <v>739</v>
      </c>
      <c r="C171" s="1308">
        <v>492</v>
      </c>
      <c r="D171" s="1308">
        <v>0</v>
      </c>
      <c r="F171" s="1308">
        <f t="shared" si="4"/>
        <v>0</v>
      </c>
      <c r="G171" s="1308">
        <f t="shared" si="5"/>
        <v>0</v>
      </c>
    </row>
    <row r="172" spans="1:7">
      <c r="A172">
        <v>50100500002</v>
      </c>
      <c r="B172" t="s">
        <v>741</v>
      </c>
      <c r="C172" s="1308">
        <v>0</v>
      </c>
      <c r="D172" s="1308">
        <v>0</v>
      </c>
      <c r="F172" s="1308">
        <f t="shared" si="4"/>
        <v>0</v>
      </c>
      <c r="G172" s="1308">
        <f t="shared" si="5"/>
        <v>0</v>
      </c>
    </row>
    <row r="173" spans="1:7">
      <c r="A173">
        <v>501006001</v>
      </c>
      <c r="B173" t="s">
        <v>1625</v>
      </c>
      <c r="C173" s="1308">
        <v>633</v>
      </c>
      <c r="D173" s="1308">
        <v>0</v>
      </c>
      <c r="F173" s="1308">
        <f t="shared" si="4"/>
        <v>1</v>
      </c>
      <c r="G173" s="1308">
        <f t="shared" si="5"/>
        <v>0</v>
      </c>
    </row>
    <row r="174" spans="1:7">
      <c r="A174">
        <v>50200100001</v>
      </c>
      <c r="B174" t="s">
        <v>618</v>
      </c>
      <c r="C174" s="1308">
        <v>2236</v>
      </c>
      <c r="D174" s="1308">
        <v>0</v>
      </c>
      <c r="F174" s="1308">
        <f t="shared" si="4"/>
        <v>2</v>
      </c>
      <c r="G174" s="1308">
        <f t="shared" si="5"/>
        <v>0</v>
      </c>
    </row>
    <row r="175" spans="1:7">
      <c r="A175">
        <v>50200100002</v>
      </c>
      <c r="B175" t="s">
        <v>620</v>
      </c>
      <c r="C175" s="1308">
        <v>166</v>
      </c>
      <c r="D175" s="1308">
        <v>0</v>
      </c>
      <c r="F175" s="1308">
        <f t="shared" si="4"/>
        <v>0</v>
      </c>
      <c r="G175" s="1308">
        <f t="shared" si="5"/>
        <v>0</v>
      </c>
    </row>
    <row r="176" spans="1:7">
      <c r="A176">
        <v>50200300003</v>
      </c>
      <c r="B176" t="s">
        <v>623</v>
      </c>
      <c r="C176" s="1308">
        <v>55</v>
      </c>
      <c r="D176" s="1308">
        <v>0</v>
      </c>
      <c r="F176" s="1308">
        <f t="shared" si="4"/>
        <v>0</v>
      </c>
      <c r="G176" s="1308">
        <f t="shared" si="5"/>
        <v>0</v>
      </c>
    </row>
    <row r="177" spans="1:7">
      <c r="A177">
        <v>5020050001</v>
      </c>
      <c r="B177" t="s">
        <v>679</v>
      </c>
      <c r="C177" s="1308">
        <v>98</v>
      </c>
      <c r="D177" s="1308">
        <v>0</v>
      </c>
      <c r="F177" s="1308">
        <f t="shared" si="4"/>
        <v>0</v>
      </c>
      <c r="G177" s="1308">
        <f t="shared" si="5"/>
        <v>0</v>
      </c>
    </row>
    <row r="178" spans="1:7">
      <c r="A178">
        <v>50500100001</v>
      </c>
      <c r="B178" t="s">
        <v>725</v>
      </c>
      <c r="C178" s="1308">
        <v>806</v>
      </c>
      <c r="D178" s="1308">
        <v>0</v>
      </c>
      <c r="F178" s="1308">
        <f t="shared" si="4"/>
        <v>1</v>
      </c>
      <c r="G178" s="1308">
        <f t="shared" si="5"/>
        <v>0</v>
      </c>
    </row>
    <row r="179" spans="1:7">
      <c r="A179">
        <v>50600100001</v>
      </c>
      <c r="B179" t="s">
        <v>699</v>
      </c>
      <c r="C179" s="1308">
        <v>152</v>
      </c>
      <c r="D179" s="1308">
        <v>0</v>
      </c>
      <c r="F179" s="1308">
        <f t="shared" si="4"/>
        <v>0</v>
      </c>
      <c r="G179" s="1308">
        <f t="shared" si="5"/>
        <v>0</v>
      </c>
    </row>
    <row r="180" spans="1:7">
      <c r="A180">
        <v>50600200001</v>
      </c>
      <c r="B180" t="s">
        <v>661</v>
      </c>
      <c r="C180" s="1308">
        <v>34</v>
      </c>
      <c r="D180" s="1308">
        <v>0</v>
      </c>
      <c r="F180" s="1308">
        <f t="shared" si="4"/>
        <v>0</v>
      </c>
      <c r="G180" s="1308">
        <f t="shared" si="5"/>
        <v>0</v>
      </c>
    </row>
    <row r="181" spans="1:7">
      <c r="A181">
        <v>50600300006</v>
      </c>
      <c r="B181" t="s">
        <v>665</v>
      </c>
      <c r="C181" s="1308">
        <v>101</v>
      </c>
      <c r="D181" s="1308">
        <v>0</v>
      </c>
      <c r="F181" s="1308">
        <f t="shared" si="4"/>
        <v>0</v>
      </c>
      <c r="G181" s="1308">
        <f t="shared" si="5"/>
        <v>0</v>
      </c>
    </row>
    <row r="182" spans="1:7">
      <c r="A182">
        <v>50600300009</v>
      </c>
      <c r="B182" t="s">
        <v>669</v>
      </c>
      <c r="C182" s="1308">
        <v>7</v>
      </c>
      <c r="D182" s="1308">
        <v>0</v>
      </c>
      <c r="F182" s="1308">
        <f t="shared" si="4"/>
        <v>0</v>
      </c>
      <c r="G182" s="1308">
        <f t="shared" si="5"/>
        <v>0</v>
      </c>
    </row>
    <row r="183" spans="1:7">
      <c r="A183">
        <v>50600300010</v>
      </c>
      <c r="B183" t="s">
        <v>671</v>
      </c>
      <c r="C183" s="1308">
        <v>63</v>
      </c>
      <c r="D183" s="1308">
        <v>0</v>
      </c>
      <c r="F183" s="1308">
        <f t="shared" si="4"/>
        <v>0</v>
      </c>
      <c r="G183" s="1308">
        <f t="shared" si="5"/>
        <v>0</v>
      </c>
    </row>
    <row r="184" spans="1:7">
      <c r="A184">
        <v>50700100001</v>
      </c>
      <c r="B184" t="s">
        <v>689</v>
      </c>
      <c r="C184" s="1308">
        <v>30</v>
      </c>
      <c r="D184" s="1308">
        <v>0</v>
      </c>
      <c r="F184" s="1308">
        <f t="shared" si="4"/>
        <v>0</v>
      </c>
      <c r="G184" s="1308">
        <f t="shared" si="5"/>
        <v>0</v>
      </c>
    </row>
    <row r="185" spans="1:7">
      <c r="A185">
        <v>51000100001</v>
      </c>
      <c r="B185" t="s">
        <v>637</v>
      </c>
      <c r="C185" s="1308">
        <v>5</v>
      </c>
      <c r="D185" s="1308">
        <v>0</v>
      </c>
      <c r="F185" s="1308">
        <f t="shared" si="4"/>
        <v>0</v>
      </c>
      <c r="G185" s="1308">
        <f t="shared" si="5"/>
        <v>0</v>
      </c>
    </row>
    <row r="186" spans="1:7">
      <c r="A186">
        <v>51000100007</v>
      </c>
      <c r="B186" t="s">
        <v>640</v>
      </c>
      <c r="C186" s="1308">
        <v>0</v>
      </c>
      <c r="D186" s="1308">
        <v>0</v>
      </c>
      <c r="F186" s="1308">
        <f t="shared" si="4"/>
        <v>0</v>
      </c>
      <c r="G186" s="1308">
        <f t="shared" si="5"/>
        <v>0</v>
      </c>
    </row>
    <row r="187" spans="1:7">
      <c r="A187">
        <v>51000100008</v>
      </c>
      <c r="B187" t="s">
        <v>642</v>
      </c>
      <c r="C187" s="1308">
        <v>0</v>
      </c>
      <c r="D187" s="1308">
        <v>0</v>
      </c>
      <c r="F187" s="1308">
        <f t="shared" si="4"/>
        <v>0</v>
      </c>
      <c r="G187" s="1308">
        <f t="shared" si="5"/>
        <v>0</v>
      </c>
    </row>
    <row r="188" spans="1:7">
      <c r="A188">
        <v>51000100009</v>
      </c>
      <c r="B188" t="s">
        <v>644</v>
      </c>
      <c r="C188" s="1308">
        <v>24</v>
      </c>
      <c r="D188" s="1308">
        <v>0</v>
      </c>
      <c r="F188" s="1308">
        <f t="shared" si="4"/>
        <v>0</v>
      </c>
      <c r="G188" s="1308">
        <f t="shared" si="5"/>
        <v>0</v>
      </c>
    </row>
    <row r="189" spans="1:7">
      <c r="A189">
        <v>51000100010</v>
      </c>
      <c r="B189" t="s">
        <v>646</v>
      </c>
      <c r="C189" s="1308">
        <v>6</v>
      </c>
      <c r="D189" s="1308">
        <v>0</v>
      </c>
      <c r="F189" s="1308">
        <f>ROUND(C189/1000,0)-2</f>
        <v>-2</v>
      </c>
      <c r="G189" s="1308">
        <f t="shared" si="5"/>
        <v>0</v>
      </c>
    </row>
    <row r="190" spans="1:7">
      <c r="A190">
        <v>51000100023</v>
      </c>
      <c r="B190" t="s">
        <v>650</v>
      </c>
      <c r="C190" s="1308">
        <v>0</v>
      </c>
      <c r="D190" s="1308">
        <v>0</v>
      </c>
      <c r="F190" s="1308">
        <f t="shared" si="4"/>
        <v>0</v>
      </c>
      <c r="G190" s="1308">
        <f t="shared" si="5"/>
        <v>0</v>
      </c>
    </row>
    <row r="191" spans="1:7">
      <c r="A191">
        <v>51000100025</v>
      </c>
      <c r="B191" t="s">
        <v>651</v>
      </c>
      <c r="C191" s="1308">
        <v>0</v>
      </c>
      <c r="D191" s="1308">
        <v>0</v>
      </c>
      <c r="F191" s="1308">
        <f t="shared" si="4"/>
        <v>0</v>
      </c>
      <c r="G191" s="1308">
        <f t="shared" si="5"/>
        <v>0</v>
      </c>
    </row>
    <row r="192" spans="1:7">
      <c r="A192">
        <v>51000100028</v>
      </c>
      <c r="B192" t="s">
        <v>652</v>
      </c>
      <c r="C192" s="1308">
        <v>0</v>
      </c>
      <c r="D192" s="1308">
        <v>0</v>
      </c>
      <c r="F192" s="1308">
        <f t="shared" si="4"/>
        <v>0</v>
      </c>
      <c r="G192" s="1308">
        <f t="shared" si="5"/>
        <v>0</v>
      </c>
    </row>
    <row r="193" spans="1:7">
      <c r="A193">
        <v>51000100031</v>
      </c>
      <c r="B193" t="s">
        <v>653</v>
      </c>
      <c r="C193" s="1308">
        <v>0</v>
      </c>
      <c r="D193" s="1308">
        <v>0</v>
      </c>
      <c r="F193" s="1308">
        <f t="shared" si="4"/>
        <v>0</v>
      </c>
      <c r="G193" s="1308">
        <f t="shared" si="5"/>
        <v>0</v>
      </c>
    </row>
    <row r="195" spans="1:7">
      <c r="C195" s="1673">
        <f>SUM(C2:C194)</f>
        <v>3256312</v>
      </c>
      <c r="D195" s="1673">
        <f>SUM(D2:D194)</f>
        <v>3256312</v>
      </c>
      <c r="F195" s="1673">
        <f>SUM(F2:F194)</f>
        <v>3253</v>
      </c>
      <c r="G195" s="1673">
        <f>SUM(G2:G194)</f>
        <v>3256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9.140625" defaultRowHeight="12.75"/>
  <cols>
    <col min="1" max="16384" width="9.140625" style="697"/>
  </cols>
  <sheetData/>
  <pageMargins left="0.75" right="0.75" top="1" bottom="1" header="0.5" footer="0.5"/>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49"/>
  <sheetViews>
    <sheetView showGridLines="0" view="pageBreakPreview" topLeftCell="A31" zoomScaleNormal="100" zoomScaleSheetLayoutView="100" workbookViewId="0">
      <selection activeCell="G45" sqref="G45"/>
    </sheetView>
  </sheetViews>
  <sheetFormatPr defaultColWidth="8.85546875" defaultRowHeight="14.25"/>
  <cols>
    <col min="1" max="1" width="5.42578125" style="1024" customWidth="1"/>
    <col min="2" max="2" width="39.140625" style="1024" customWidth="1"/>
    <col min="3" max="4" width="14.140625" style="1024" customWidth="1"/>
    <col min="5" max="5" width="10.42578125" style="1024" hidden="1" customWidth="1"/>
    <col min="6" max="7" width="14.140625" style="1024" customWidth="1"/>
    <col min="8" max="8" width="1.7109375" style="1024" customWidth="1"/>
    <col min="9" max="10" width="14.140625" style="1024" customWidth="1"/>
    <col min="11" max="11" width="9.5703125" style="1024" hidden="1" customWidth="1"/>
    <col min="12" max="13" width="14.140625" style="1024" customWidth="1"/>
    <col min="14" max="14" width="4.42578125" style="1020" customWidth="1"/>
    <col min="15" max="15" width="13.28515625" style="1020" bestFit="1" customWidth="1"/>
    <col min="16" max="16" width="12.42578125" style="1020" bestFit="1" customWidth="1"/>
    <col min="17" max="16384" width="8.85546875" style="1020"/>
  </cols>
  <sheetData>
    <row r="1" spans="1:13" ht="15">
      <c r="A1" s="994"/>
      <c r="B1" s="995"/>
      <c r="C1" s="995"/>
      <c r="D1" s="995"/>
      <c r="E1" s="995"/>
      <c r="F1" s="995"/>
      <c r="G1" s="995"/>
      <c r="H1" s="995"/>
      <c r="I1" s="995"/>
      <c r="J1" s="995"/>
      <c r="K1" s="995"/>
      <c r="L1" s="995"/>
      <c r="M1" s="995"/>
    </row>
    <row r="2" spans="1:13" ht="15">
      <c r="A2" s="1667">
        <v>17</v>
      </c>
      <c r="B2" s="1668" t="s">
        <v>1160</v>
      </c>
      <c r="C2" s="158"/>
      <c r="D2" s="158"/>
      <c r="E2" s="158"/>
      <c r="F2" s="158"/>
      <c r="G2" s="158"/>
      <c r="H2" s="158"/>
      <c r="I2" s="158"/>
      <c r="J2" s="158"/>
      <c r="K2" s="158"/>
      <c r="L2" s="158"/>
      <c r="M2" s="995"/>
    </row>
    <row r="3" spans="1:13" ht="15">
      <c r="A3" s="162"/>
      <c r="B3" s="157"/>
      <c r="C3" s="158"/>
      <c r="D3" s="158"/>
      <c r="E3" s="158"/>
      <c r="F3" s="158"/>
      <c r="G3" s="158"/>
      <c r="H3" s="158"/>
      <c r="I3" s="158"/>
      <c r="J3" s="158"/>
      <c r="K3" s="158"/>
      <c r="L3" s="158"/>
      <c r="M3" s="995"/>
    </row>
    <row r="4" spans="1:13">
      <c r="A4" s="162"/>
      <c r="B4" s="2109" t="s">
        <v>1161</v>
      </c>
      <c r="C4" s="2109"/>
      <c r="D4" s="2109"/>
      <c r="E4" s="2109"/>
      <c r="F4" s="2109"/>
      <c r="G4" s="2109"/>
      <c r="H4" s="2109"/>
      <c r="I4" s="2109"/>
      <c r="J4" s="2109"/>
      <c r="K4" s="2109"/>
      <c r="L4" s="2109"/>
      <c r="M4" s="2091"/>
    </row>
    <row r="5" spans="1:13">
      <c r="A5" s="162"/>
      <c r="B5" s="2109"/>
      <c r="C5" s="2109"/>
      <c r="D5" s="2109"/>
      <c r="E5" s="2109"/>
      <c r="F5" s="2109"/>
      <c r="G5" s="2109"/>
      <c r="H5" s="2109"/>
      <c r="I5" s="2109"/>
      <c r="J5" s="2109"/>
      <c r="K5" s="2109"/>
      <c r="L5" s="2109"/>
      <c r="M5" s="2091"/>
    </row>
    <row r="6" spans="1:13">
      <c r="A6" s="162"/>
      <c r="B6" s="2109"/>
      <c r="C6" s="2109"/>
      <c r="D6" s="2109"/>
      <c r="E6" s="2109"/>
      <c r="F6" s="2109"/>
      <c r="G6" s="2109"/>
      <c r="H6" s="2109"/>
      <c r="I6" s="2109"/>
      <c r="J6" s="2109"/>
      <c r="K6" s="2109"/>
      <c r="L6" s="2109"/>
      <c r="M6" s="2091"/>
    </row>
    <row r="7" spans="1:13">
      <c r="A7" s="162"/>
      <c r="B7" s="2109"/>
      <c r="C7" s="2109"/>
      <c r="D7" s="2109"/>
      <c r="E7" s="2109"/>
      <c r="F7" s="2109"/>
      <c r="G7" s="2109"/>
      <c r="H7" s="2109"/>
      <c r="I7" s="2109"/>
      <c r="J7" s="2109"/>
      <c r="K7" s="2109"/>
      <c r="L7" s="2109"/>
      <c r="M7" s="2091"/>
    </row>
    <row r="8" spans="1:13" ht="15">
      <c r="A8" s="162"/>
      <c r="B8" s="1669"/>
      <c r="C8" s="71"/>
      <c r="D8" s="71"/>
      <c r="E8" s="71"/>
      <c r="F8" s="71"/>
      <c r="G8" s="71"/>
      <c r="H8" s="71"/>
      <c r="I8" s="71"/>
      <c r="J8" s="158"/>
      <c r="K8" s="158"/>
      <c r="L8" s="158"/>
      <c r="M8" s="995"/>
    </row>
    <row r="9" spans="1:13" ht="15">
      <c r="A9" s="162"/>
      <c r="B9" s="2235" t="s">
        <v>1162</v>
      </c>
      <c r="C9" s="2235"/>
      <c r="D9" s="2235"/>
      <c r="E9" s="2235"/>
      <c r="F9" s="2235"/>
      <c r="G9" s="2235"/>
      <c r="H9" s="2235"/>
      <c r="I9" s="2235"/>
      <c r="J9" s="2235"/>
      <c r="K9" s="2235"/>
      <c r="L9" s="2235"/>
      <c r="M9" s="2091"/>
    </row>
    <row r="10" spans="1:13" ht="15">
      <c r="A10" s="994"/>
      <c r="B10" s="995"/>
      <c r="C10" s="995"/>
      <c r="D10" s="995"/>
      <c r="E10" s="995"/>
      <c r="F10" s="995"/>
      <c r="G10" s="995"/>
      <c r="H10" s="995"/>
      <c r="I10" s="995"/>
      <c r="J10" s="995"/>
      <c r="K10" s="995"/>
      <c r="L10" s="995"/>
      <c r="M10" s="995"/>
    </row>
    <row r="11" spans="1:13" ht="15">
      <c r="A11" s="994"/>
      <c r="B11" s="2109" t="s">
        <v>1163</v>
      </c>
      <c r="C11" s="2109"/>
      <c r="D11" s="2109"/>
      <c r="E11" s="2109"/>
      <c r="F11" s="2109"/>
      <c r="G11" s="2109"/>
      <c r="H11" s="2109"/>
      <c r="I11" s="2109"/>
      <c r="J11" s="2109"/>
      <c r="K11" s="2109"/>
      <c r="L11" s="2109"/>
      <c r="M11" s="2091"/>
    </row>
    <row r="12" spans="1:13" ht="15">
      <c r="A12" s="994"/>
      <c r="B12" s="1670"/>
      <c r="C12" s="1670"/>
      <c r="D12" s="1670"/>
      <c r="E12" s="1670"/>
      <c r="F12" s="1670"/>
      <c r="G12" s="1670"/>
      <c r="H12" s="1670"/>
      <c r="I12" s="1670"/>
      <c r="J12" s="158"/>
      <c r="K12" s="158"/>
      <c r="L12" s="158"/>
      <c r="M12" s="995"/>
    </row>
    <row r="13" spans="1:13" ht="15">
      <c r="A13" s="994"/>
      <c r="B13" s="2109" t="s">
        <v>1164</v>
      </c>
      <c r="C13" s="2109"/>
      <c r="D13" s="2109"/>
      <c r="E13" s="2109"/>
      <c r="F13" s="2109"/>
      <c r="G13" s="2109"/>
      <c r="H13" s="2109"/>
      <c r="I13" s="2109"/>
      <c r="J13" s="2109"/>
      <c r="K13" s="2109"/>
      <c r="L13" s="2109"/>
      <c r="M13" s="2091"/>
    </row>
    <row r="14" spans="1:13" ht="16.5" customHeight="1">
      <c r="A14" s="994"/>
      <c r="B14" s="995"/>
      <c r="C14" s="995"/>
      <c r="D14" s="995"/>
      <c r="E14" s="995"/>
      <c r="F14" s="995"/>
      <c r="G14" s="995"/>
      <c r="H14" s="995"/>
      <c r="I14" s="995"/>
      <c r="J14" s="995"/>
      <c r="K14" s="995"/>
      <c r="L14" s="995"/>
      <c r="M14" s="995"/>
    </row>
    <row r="15" spans="1:13" ht="15" customHeight="1">
      <c r="A15" s="1671">
        <f>'17.1 (2)'!A2+0.1</f>
        <v>17.100000000000001</v>
      </c>
      <c r="B15" s="1672" t="s">
        <v>1726</v>
      </c>
      <c r="C15" s="1023"/>
      <c r="D15" s="1023"/>
      <c r="E15" s="1023"/>
      <c r="F15" s="1023"/>
      <c r="G15" s="1023"/>
      <c r="H15" s="1023"/>
      <c r="I15" s="1023"/>
      <c r="J15" s="1023"/>
      <c r="K15" s="1023"/>
      <c r="L15" s="1023"/>
      <c r="M15" s="1023"/>
    </row>
    <row r="16" spans="1:13">
      <c r="C16" s="2111" t="s">
        <v>2158</v>
      </c>
      <c r="D16" s="2111"/>
      <c r="E16" s="2111"/>
      <c r="F16" s="2111"/>
      <c r="G16" s="2111"/>
      <c r="H16" s="2111"/>
      <c r="I16" s="2111"/>
      <c r="J16" s="2111"/>
      <c r="K16" s="2111"/>
      <c r="L16" s="2111"/>
      <c r="M16" s="2111"/>
    </row>
    <row r="17" spans="2:15" ht="14.25" customHeight="1">
      <c r="C17" s="2106" t="s">
        <v>2156</v>
      </c>
      <c r="D17" s="2105" t="s">
        <v>1493</v>
      </c>
      <c r="E17" s="2105" t="s">
        <v>1494</v>
      </c>
      <c r="F17" s="2105" t="s">
        <v>1495</v>
      </c>
      <c r="G17" s="2106" t="s">
        <v>2157</v>
      </c>
      <c r="H17" s="1132"/>
      <c r="I17" s="2105" t="str">
        <f>C17</f>
        <v>As at 
July 1, 2021</v>
      </c>
      <c r="J17" s="2105" t="s">
        <v>1493</v>
      </c>
      <c r="K17" s="2105" t="s">
        <v>1494</v>
      </c>
      <c r="L17" s="2105" t="s">
        <v>1495</v>
      </c>
      <c r="M17" s="2105" t="str">
        <f>G17</f>
        <v>As at 
September 30, 2021</v>
      </c>
      <c r="O17" s="1020">
        <f>+SOAL!F43</f>
        <v>55.403700000000001</v>
      </c>
    </row>
    <row r="18" spans="2:15" ht="14.25" customHeight="1">
      <c r="C18" s="2107"/>
      <c r="D18" s="2105"/>
      <c r="E18" s="2105"/>
      <c r="F18" s="2105"/>
      <c r="G18" s="2107"/>
      <c r="H18" s="1132"/>
      <c r="I18" s="2105"/>
      <c r="J18" s="2105"/>
      <c r="K18" s="2105"/>
      <c r="L18" s="2105"/>
      <c r="M18" s="2105"/>
    </row>
    <row r="19" spans="2:15" ht="14.25" customHeight="1">
      <c r="C19" s="2108"/>
      <c r="D19" s="2105"/>
      <c r="E19" s="2105"/>
      <c r="F19" s="2105"/>
      <c r="G19" s="2108"/>
      <c r="H19" s="1132"/>
      <c r="I19" s="2105"/>
      <c r="J19" s="2105"/>
      <c r="K19" s="2105"/>
      <c r="L19" s="2105"/>
      <c r="M19" s="2105"/>
    </row>
    <row r="20" spans="2:15" ht="14.25" customHeight="1">
      <c r="C20" s="2104" t="s">
        <v>1497</v>
      </c>
      <c r="D20" s="2104"/>
      <c r="E20" s="2104"/>
      <c r="F20" s="2104"/>
      <c r="G20" s="2104"/>
      <c r="H20" s="2102" t="s">
        <v>1498</v>
      </c>
      <c r="I20" s="2102"/>
      <c r="J20" s="2102"/>
      <c r="K20" s="2102"/>
      <c r="L20" s="2102"/>
      <c r="M20" s="2102"/>
    </row>
    <row r="21" spans="2:15">
      <c r="C21" s="1133"/>
      <c r="D21" s="1134"/>
      <c r="E21" s="1134"/>
      <c r="F21" s="1134"/>
      <c r="G21" s="1134"/>
      <c r="H21" s="1134"/>
      <c r="I21" s="1134"/>
      <c r="J21" s="1134"/>
      <c r="K21" s="1134"/>
      <c r="L21" s="1134"/>
      <c r="M21" s="1134"/>
    </row>
    <row r="22" spans="2:15" ht="32.25" customHeight="1">
      <c r="B22" s="1686" t="s">
        <v>1443</v>
      </c>
      <c r="C22" s="1128">
        <v>264275</v>
      </c>
      <c r="D22" s="1129">
        <v>33280</v>
      </c>
      <c r="E22" s="1129"/>
      <c r="F22" s="1129">
        <v>297556</v>
      </c>
      <c r="G22" s="1129">
        <f>+C22+D22-F22</f>
        <v>-1</v>
      </c>
      <c r="H22" s="1130"/>
      <c r="I22" s="1138">
        <v>14346</v>
      </c>
      <c r="J22" s="1129">
        <v>1820</v>
      </c>
      <c r="K22" s="1129"/>
      <c r="L22" s="1129">
        <v>16486</v>
      </c>
      <c r="M22" s="1129">
        <f>+(G22*$O$17)/1000</f>
        <v>-5.54037E-2</v>
      </c>
      <c r="O22" s="1028">
        <f>+I22+J22-L22</f>
        <v>-320</v>
      </c>
    </row>
    <row r="23" spans="2:15">
      <c r="B23" s="1026"/>
      <c r="C23" s="1131"/>
      <c r="D23" s="1131"/>
      <c r="E23" s="1131"/>
      <c r="F23" s="1131"/>
      <c r="G23" s="1131"/>
      <c r="H23" s="1131"/>
      <c r="I23" s="1131"/>
      <c r="J23" s="1131"/>
      <c r="K23" s="1131"/>
      <c r="L23" s="1131"/>
      <c r="M23" s="1129"/>
    </row>
    <row r="24" spans="2:15">
      <c r="B24" s="1687" t="s">
        <v>1655</v>
      </c>
      <c r="C24" s="1128">
        <v>8700207</v>
      </c>
      <c r="D24" s="1129">
        <v>0</v>
      </c>
      <c r="E24" s="1129"/>
      <c r="F24" s="1129">
        <v>8700207</v>
      </c>
      <c r="G24" s="1129">
        <f>+C24+D24-F24</f>
        <v>0</v>
      </c>
      <c r="H24" s="1131"/>
      <c r="I24" s="1138">
        <v>472272</v>
      </c>
      <c r="J24" s="1129">
        <v>0</v>
      </c>
      <c r="K24" s="1129"/>
      <c r="L24" s="1129">
        <v>479609</v>
      </c>
      <c r="M24" s="1129">
        <f t="shared" ref="M24:M32" si="0">+(G24*$O$17)/1000</f>
        <v>0</v>
      </c>
      <c r="O24" s="1028">
        <f>+I24+J24-L24</f>
        <v>-7337</v>
      </c>
    </row>
    <row r="25" spans="2:15">
      <c r="B25" s="1026"/>
      <c r="C25" s="1131"/>
      <c r="D25" s="1131"/>
      <c r="E25" s="1131"/>
      <c r="F25" s="1131"/>
      <c r="G25" s="1131"/>
      <c r="H25" s="1131"/>
      <c r="I25" s="1131"/>
      <c r="J25" s="1131"/>
      <c r="K25" s="1131"/>
      <c r="L25" s="1131"/>
      <c r="M25" s="1129"/>
    </row>
    <row r="26" spans="2:15" ht="25.5">
      <c r="B26" s="1026" t="s">
        <v>1656</v>
      </c>
      <c r="C26" s="1128">
        <v>7152428</v>
      </c>
      <c r="D26" s="1129">
        <v>2113240.6669999999</v>
      </c>
      <c r="E26" s="1129"/>
      <c r="F26" s="1129">
        <v>9265669</v>
      </c>
      <c r="G26" s="1129">
        <f>+C26+D26-F26</f>
        <v>-0.33300000056624413</v>
      </c>
      <c r="H26" s="1131"/>
      <c r="I26" s="1138">
        <v>388254</v>
      </c>
      <c r="J26" s="1129">
        <v>116000</v>
      </c>
      <c r="K26" s="1129"/>
      <c r="L26" s="1129">
        <v>509835</v>
      </c>
      <c r="M26" s="1129">
        <f t="shared" si="0"/>
        <v>-1.8449432131372019E-2</v>
      </c>
      <c r="O26" s="1028">
        <f>+I26+J26-L26</f>
        <v>-5581</v>
      </c>
    </row>
    <row r="27" spans="2:15">
      <c r="B27" s="1026"/>
      <c r="C27" s="1131"/>
      <c r="D27" s="1131"/>
      <c r="E27" s="1131"/>
      <c r="F27" s="1131"/>
      <c r="G27" s="1131"/>
      <c r="H27" s="1131"/>
      <c r="I27" s="1131"/>
      <c r="J27" s="1131"/>
      <c r="K27" s="1131"/>
      <c r="L27" s="1131"/>
      <c r="M27" s="1129"/>
    </row>
    <row r="28" spans="2:15" ht="25.5">
      <c r="B28" s="1026" t="s">
        <v>2134</v>
      </c>
      <c r="C28" s="1128">
        <v>1</v>
      </c>
      <c r="D28" s="1129">
        <v>0</v>
      </c>
      <c r="E28" s="1129"/>
      <c r="F28" s="1129">
        <v>0</v>
      </c>
      <c r="G28" s="1129">
        <f>+C28+D28-F28</f>
        <v>1</v>
      </c>
      <c r="H28" s="1131"/>
      <c r="I28" s="1138">
        <v>0</v>
      </c>
      <c r="J28" s="1129">
        <v>0</v>
      </c>
      <c r="K28" s="1129"/>
      <c r="L28" s="1138">
        <v>0</v>
      </c>
      <c r="M28" s="1129">
        <f t="shared" ref="M28" si="1">+(G28*$O$17)/1000</f>
        <v>5.54037E-2</v>
      </c>
      <c r="O28" s="1028">
        <f>+I28+J28-L28</f>
        <v>0</v>
      </c>
    </row>
    <row r="29" spans="2:15">
      <c r="B29" s="1026"/>
      <c r="C29" s="1131"/>
      <c r="D29" s="1131"/>
      <c r="E29" s="1131"/>
      <c r="F29" s="1131"/>
      <c r="G29" s="1131"/>
      <c r="H29" s="1131"/>
      <c r="I29" s="1131"/>
      <c r="J29" s="1131"/>
      <c r="K29" s="1131"/>
      <c r="L29" s="1131"/>
      <c r="M29" s="1129"/>
    </row>
    <row r="30" spans="2:15">
      <c r="B30" s="1026" t="s">
        <v>2135</v>
      </c>
      <c r="C30" s="1129">
        <v>0</v>
      </c>
      <c r="D30" s="1129">
        <v>2716884.35</v>
      </c>
      <c r="E30" s="1131"/>
      <c r="F30" s="1129">
        <v>0</v>
      </c>
      <c r="G30" s="1129">
        <f>+C30+D30-F30</f>
        <v>2716884.35</v>
      </c>
      <c r="H30" s="1131"/>
      <c r="I30" s="1138">
        <v>0</v>
      </c>
      <c r="J30" s="1129">
        <v>150000</v>
      </c>
      <c r="K30" s="1129"/>
      <c r="L30" s="1138">
        <v>0</v>
      </c>
      <c r="M30" s="1129">
        <f t="shared" ref="M30" si="2">+(G30*$O$17)/1000</f>
        <v>150525.445462095</v>
      </c>
      <c r="O30" s="1028">
        <f>+I30+J30-L30</f>
        <v>150000</v>
      </c>
    </row>
    <row r="31" spans="2:15">
      <c r="B31" s="1026"/>
      <c r="C31" s="1131"/>
      <c r="D31" s="1131"/>
      <c r="E31" s="1131"/>
      <c r="F31" s="1131"/>
      <c r="G31" s="1131"/>
      <c r="H31" s="1131"/>
      <c r="I31" s="1131"/>
      <c r="J31" s="1131"/>
      <c r="K31" s="1131"/>
      <c r="L31" s="1131"/>
      <c r="M31" s="1129"/>
    </row>
    <row r="32" spans="2:15" ht="38.25" customHeight="1">
      <c r="B32" s="1027" t="s">
        <v>1177</v>
      </c>
      <c r="C32" s="1135">
        <v>55</v>
      </c>
      <c r="D32" s="1135">
        <v>16576</v>
      </c>
      <c r="E32" s="1135"/>
      <c r="F32" s="1135">
        <v>9145</v>
      </c>
      <c r="G32" s="1129">
        <f>C32+D32+E32-F32</f>
        <v>7486</v>
      </c>
      <c r="H32" s="1136"/>
      <c r="I32" s="1138">
        <f>(C32*SOAL!$H$43)/1000</f>
        <v>2.9855514330538147</v>
      </c>
      <c r="J32" s="1137">
        <v>912</v>
      </c>
      <c r="K32" s="1137">
        <v>0</v>
      </c>
      <c r="L32" s="1137">
        <v>501</v>
      </c>
      <c r="M32" s="1129">
        <f t="shared" si="0"/>
        <v>414.75209820000003</v>
      </c>
      <c r="O32" s="1028">
        <f>+I32+J32-L32</f>
        <v>413.98555143305384</v>
      </c>
    </row>
    <row r="33" spans="2:15">
      <c r="B33" s="1026"/>
      <c r="C33" s="1131"/>
      <c r="D33" s="1131"/>
      <c r="E33" s="1131"/>
      <c r="F33" s="1131"/>
      <c r="G33" s="1131"/>
      <c r="H33" s="1131"/>
      <c r="I33" s="1131"/>
      <c r="J33" s="1131"/>
      <c r="K33" s="1131"/>
      <c r="L33" s="1131"/>
      <c r="M33" s="1129"/>
    </row>
    <row r="34" spans="2:15" ht="25.5">
      <c r="B34" s="1026" t="s">
        <v>1499</v>
      </c>
      <c r="C34" s="1128">
        <v>28214949</v>
      </c>
      <c r="D34" s="1135">
        <v>3888738</v>
      </c>
      <c r="E34" s="1131"/>
      <c r="F34" s="1135">
        <v>15019056</v>
      </c>
      <c r="G34" s="1129">
        <f>C34+D34+E34-F34</f>
        <v>17084631</v>
      </c>
      <c r="H34" s="1131"/>
      <c r="I34" s="1138">
        <f>(C34*SOAL!$H$43)/1000</f>
        <v>1531585.1167361871</v>
      </c>
      <c r="J34" s="1137">
        <v>213054</v>
      </c>
      <c r="K34" s="1137">
        <v>0</v>
      </c>
      <c r="L34" s="1137">
        <v>827298</v>
      </c>
      <c r="M34" s="1129">
        <f t="shared" ref="M34" si="3">+(G34*$O$17)/1000</f>
        <v>946551.77053470002</v>
      </c>
      <c r="O34" s="1028">
        <f>+I34+J34-L34</f>
        <v>917341.11673618713</v>
      </c>
    </row>
    <row r="35" spans="2:15">
      <c r="B35" s="1026"/>
      <c r="C35" s="1128"/>
      <c r="D35" s="1135"/>
      <c r="E35" s="1131"/>
      <c r="F35" s="1135"/>
      <c r="G35" s="1129"/>
      <c r="H35" s="1131"/>
      <c r="I35" s="1138"/>
      <c r="J35" s="1137"/>
      <c r="K35" s="1137"/>
      <c r="L35" s="1137"/>
      <c r="M35" s="1129"/>
    </row>
    <row r="36" spans="2:15">
      <c r="B36" s="1686"/>
      <c r="C36" s="1029"/>
      <c r="D36" s="1029"/>
      <c r="E36" s="1029"/>
      <c r="F36" s="1029"/>
      <c r="G36" s="1029"/>
      <c r="H36" s="1030"/>
      <c r="I36" s="1031"/>
      <c r="J36" s="1031"/>
      <c r="K36" s="1031"/>
      <c r="L36" s="1031"/>
      <c r="M36" s="1032"/>
    </row>
    <row r="37" spans="2:15">
      <c r="B37" s="1686"/>
      <c r="C37" s="2103" t="s">
        <v>1949</v>
      </c>
      <c r="D37" s="2103"/>
      <c r="E37" s="2103"/>
      <c r="F37" s="2103"/>
      <c r="G37" s="2103"/>
      <c r="H37" s="2103"/>
      <c r="I37" s="2103"/>
      <c r="J37" s="2103"/>
      <c r="K37" s="2103"/>
      <c r="L37" s="2103"/>
      <c r="M37" s="2103"/>
    </row>
    <row r="38" spans="2:15" ht="14.25" customHeight="1">
      <c r="B38" s="1686"/>
      <c r="C38" s="2097" t="s">
        <v>2159</v>
      </c>
      <c r="D38" s="2096" t="s">
        <v>1493</v>
      </c>
      <c r="E38" s="2096" t="s">
        <v>1494</v>
      </c>
      <c r="F38" s="2096" t="s">
        <v>1495</v>
      </c>
      <c r="G38" s="2096" t="s">
        <v>1821</v>
      </c>
      <c r="H38" s="1132"/>
      <c r="I38" s="2097" t="s">
        <v>2159</v>
      </c>
      <c r="J38" s="2096" t="s">
        <v>1493</v>
      </c>
      <c r="K38" s="2096" t="s">
        <v>1494</v>
      </c>
      <c r="L38" s="2096" t="s">
        <v>1495</v>
      </c>
      <c r="M38" s="2096" t="s">
        <v>1821</v>
      </c>
    </row>
    <row r="39" spans="2:15">
      <c r="B39" s="1686"/>
      <c r="C39" s="2098"/>
      <c r="D39" s="2096"/>
      <c r="E39" s="2096"/>
      <c r="F39" s="2096"/>
      <c r="G39" s="2096"/>
      <c r="H39" s="1132"/>
      <c r="I39" s="2098"/>
      <c r="J39" s="2096"/>
      <c r="K39" s="2096"/>
      <c r="L39" s="2096"/>
      <c r="M39" s="2096"/>
    </row>
    <row r="40" spans="2:15">
      <c r="B40" s="1686"/>
      <c r="C40" s="2099"/>
      <c r="D40" s="2096"/>
      <c r="E40" s="2096"/>
      <c r="F40" s="2096"/>
      <c r="G40" s="2096"/>
      <c r="H40" s="1132"/>
      <c r="I40" s="2099"/>
      <c r="J40" s="2096"/>
      <c r="K40" s="2096"/>
      <c r="L40" s="2096"/>
      <c r="M40" s="2096"/>
    </row>
    <row r="41" spans="2:15">
      <c r="B41" s="1686"/>
      <c r="C41" s="2100" t="s">
        <v>1497</v>
      </c>
      <c r="D41" s="2100"/>
      <c r="E41" s="2100"/>
      <c r="F41" s="2100"/>
      <c r="G41" s="2100"/>
      <c r="H41" s="2234" t="s">
        <v>1498</v>
      </c>
      <c r="I41" s="2234"/>
      <c r="J41" s="2234"/>
      <c r="K41" s="2234"/>
      <c r="L41" s="2234"/>
      <c r="M41" s="2234"/>
    </row>
    <row r="42" spans="2:15">
      <c r="B42" s="1686"/>
      <c r="C42" s="1880"/>
      <c r="D42" s="1880"/>
      <c r="E42" s="1880"/>
      <c r="F42" s="1880"/>
      <c r="G42" s="1880"/>
      <c r="H42" s="1899"/>
      <c r="I42" s="1899"/>
      <c r="J42" s="1899"/>
      <c r="K42" s="1899"/>
      <c r="L42" s="1899"/>
      <c r="M42" s="1899"/>
    </row>
    <row r="43" spans="2:15" ht="25.5">
      <c r="B43" s="1686" t="s">
        <v>1443</v>
      </c>
      <c r="C43" s="1845">
        <v>97031.994000000006</v>
      </c>
      <c r="D43" s="1141">
        <v>0</v>
      </c>
      <c r="E43" s="1141"/>
      <c r="F43" s="1141">
        <v>0</v>
      </c>
      <c r="G43" s="1142">
        <v>97031.994000000006</v>
      </c>
      <c r="H43" s="1845"/>
      <c r="I43" s="1141">
        <v>5259.8132987580002</v>
      </c>
      <c r="J43" s="1141">
        <v>0</v>
      </c>
      <c r="K43" s="1141"/>
      <c r="L43" s="1141">
        <v>0</v>
      </c>
      <c r="M43" s="1142">
        <v>0</v>
      </c>
      <c r="O43" s="1028"/>
    </row>
    <row r="44" spans="2:15">
      <c r="C44" s="617"/>
      <c r="D44" s="1145"/>
      <c r="E44" s="1145"/>
      <c r="F44" s="1145"/>
      <c r="G44" s="1145"/>
      <c r="H44" s="617"/>
      <c r="I44" s="1145"/>
      <c r="J44" s="1145"/>
      <c r="K44" s="1145"/>
      <c r="L44" s="1145"/>
      <c r="M44" s="1900"/>
    </row>
    <row r="45" spans="2:15">
      <c r="B45" s="1024" t="s">
        <v>1655</v>
      </c>
      <c r="C45" s="617">
        <v>5540635.8332000002</v>
      </c>
      <c r="D45" s="1145">
        <v>0</v>
      </c>
      <c r="E45" s="1145"/>
      <c r="F45" s="1145">
        <v>4593224</v>
      </c>
      <c r="G45" s="1142">
        <v>947411.83320000023</v>
      </c>
      <c r="H45" s="617"/>
      <c r="I45" s="1145">
        <v>300341.24661027238</v>
      </c>
      <c r="J45" s="1145">
        <v>0</v>
      </c>
      <c r="K45" s="1145"/>
      <c r="L45" s="1145">
        <v>250000</v>
      </c>
      <c r="M45" s="1142">
        <v>0</v>
      </c>
    </row>
    <row r="46" spans="2:15">
      <c r="C46" s="617"/>
      <c r="D46" s="617"/>
      <c r="E46" s="617"/>
      <c r="F46" s="617"/>
      <c r="G46" s="617"/>
      <c r="H46" s="617"/>
      <c r="I46" s="617"/>
      <c r="J46" s="617"/>
      <c r="K46" s="617"/>
      <c r="L46" s="617"/>
      <c r="M46" s="617">
        <v>0</v>
      </c>
    </row>
    <row r="47" spans="2:15" ht="25.5">
      <c r="B47" s="1027" t="s">
        <v>1656</v>
      </c>
      <c r="C47" s="1145">
        <v>0</v>
      </c>
      <c r="D47" s="1145">
        <v>5746</v>
      </c>
      <c r="E47" s="1145"/>
      <c r="F47" s="1145">
        <v>5746</v>
      </c>
      <c r="G47" s="1145">
        <v>0</v>
      </c>
      <c r="H47" s="1145"/>
      <c r="I47" s="1145">
        <v>0</v>
      </c>
      <c r="J47" s="1145">
        <v>317.61399999999998</v>
      </c>
      <c r="K47" s="1145"/>
      <c r="L47" s="1145">
        <v>318</v>
      </c>
      <c r="M47" s="1142">
        <v>0</v>
      </c>
      <c r="O47" s="1028"/>
    </row>
    <row r="48" spans="2:15">
      <c r="B48" s="1027"/>
      <c r="C48" s="1145"/>
      <c r="D48" s="1145"/>
      <c r="E48" s="1145"/>
      <c r="F48" s="1145"/>
      <c r="G48" s="1145"/>
      <c r="H48" s="1145"/>
      <c r="I48" s="1145"/>
      <c r="J48" s="1145"/>
      <c r="K48" s="1145"/>
      <c r="L48" s="1145"/>
      <c r="M48" s="1145"/>
    </row>
    <row r="49" spans="2:13" ht="25.5">
      <c r="B49" s="1027" t="s">
        <v>1177</v>
      </c>
      <c r="C49" s="714">
        <v>0</v>
      </c>
      <c r="D49" s="714">
        <v>4.6319999999999997</v>
      </c>
      <c r="E49" s="714"/>
      <c r="F49" s="714">
        <v>0</v>
      </c>
      <c r="G49" s="714">
        <v>4.6319999999999997</v>
      </c>
      <c r="H49" s="714"/>
      <c r="I49" s="714">
        <v>0</v>
      </c>
      <c r="J49" s="714">
        <v>0</v>
      </c>
      <c r="K49" s="714">
        <v>0</v>
      </c>
      <c r="L49" s="714">
        <v>0</v>
      </c>
      <c r="M49" s="714">
        <v>0</v>
      </c>
    </row>
  </sheetData>
  <mergeCells count="30">
    <mergeCell ref="I17:I19"/>
    <mergeCell ref="J17:J19"/>
    <mergeCell ref="K17:K19"/>
    <mergeCell ref="L17:L19"/>
    <mergeCell ref="C17:C19"/>
    <mergeCell ref="D17:D19"/>
    <mergeCell ref="E17:E19"/>
    <mergeCell ref="F17:F19"/>
    <mergeCell ref="G17:G19"/>
    <mergeCell ref="B4:M7"/>
    <mergeCell ref="B9:M9"/>
    <mergeCell ref="B11:M11"/>
    <mergeCell ref="B13:M13"/>
    <mergeCell ref="C16:M16"/>
    <mergeCell ref="M17:M19"/>
    <mergeCell ref="M38:M40"/>
    <mergeCell ref="C41:G41"/>
    <mergeCell ref="H41:M41"/>
    <mergeCell ref="C37:M37"/>
    <mergeCell ref="C38:C40"/>
    <mergeCell ref="D38:D40"/>
    <mergeCell ref="E38:E40"/>
    <mergeCell ref="F38:F40"/>
    <mergeCell ref="G38:G40"/>
    <mergeCell ref="I38:I40"/>
    <mergeCell ref="J38:J40"/>
    <mergeCell ref="K38:K40"/>
    <mergeCell ref="L38:L40"/>
    <mergeCell ref="C20:G20"/>
    <mergeCell ref="H20:M20"/>
  </mergeCells>
  <pageMargins left="0.47" right="0.37" top="0.73" bottom="0.38" header="0.5" footer="0.23"/>
  <pageSetup scale="70" orientation="landscape" horizontalDpi="4294967295" verticalDpi="4294967295"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6"/>
  <sheetViews>
    <sheetView zoomScaleNormal="100" workbookViewId="0">
      <pane xSplit="5" ySplit="2" topLeftCell="F326" activePane="bottomRight" state="frozen"/>
      <selection activeCell="B1" sqref="B1"/>
      <selection pane="topRight" activeCell="F1" sqref="F1"/>
      <selection pane="bottomLeft" activeCell="B3" sqref="B3"/>
      <selection pane="bottomRight" activeCell="K346" sqref="K346"/>
    </sheetView>
  </sheetViews>
  <sheetFormatPr defaultRowHeight="15" outlineLevelRow="2" outlineLevelCol="1"/>
  <cols>
    <col min="1" max="1" width="52.28515625" style="1" hidden="1" customWidth="1"/>
    <col min="2" max="2" width="8.28515625" style="586" hidden="1" customWidth="1" outlineLevel="1"/>
    <col min="3" max="3" width="16.28515625" style="586" hidden="1" customWidth="1" outlineLevel="1"/>
    <col min="4" max="4" width="13.140625" style="588" bestFit="1" customWidth="1" collapsed="1"/>
    <col min="5" max="5" width="112.28515625" style="1" bestFit="1" customWidth="1"/>
    <col min="6" max="6" width="12.42578125" style="1" bestFit="1" customWidth="1"/>
    <col min="7" max="7" width="4.5703125" style="1" bestFit="1" customWidth="1"/>
    <col min="8" max="10" width="9.28515625" style="1" hidden="1" customWidth="1" outlineLevel="1"/>
    <col min="11" max="11" width="15.28515625" style="1" bestFit="1" customWidth="1" collapsed="1"/>
    <col min="12" max="12" width="4.28515625" style="1" bestFit="1" customWidth="1"/>
    <col min="13" max="13" width="12.5703125" style="1" bestFit="1" customWidth="1"/>
    <col min="14" max="14" width="15" style="574" bestFit="1" customWidth="1"/>
    <col min="15" max="15" width="11.42578125" style="573" bestFit="1" customWidth="1"/>
  </cols>
  <sheetData>
    <row r="1" spans="1:15" s="591" customFormat="1">
      <c r="N1" s="1058" t="s">
        <v>0</v>
      </c>
      <c r="O1" s="1057" t="s">
        <v>1</v>
      </c>
    </row>
    <row r="2" spans="1:15" s="581" customFormat="1">
      <c r="A2" s="581" t="s">
        <v>1292</v>
      </c>
      <c r="B2" s="581" t="s">
        <v>2</v>
      </c>
      <c r="C2" s="581" t="s">
        <v>3</v>
      </c>
      <c r="D2" s="581" t="s">
        <v>4</v>
      </c>
      <c r="E2" s="581" t="s">
        <v>5</v>
      </c>
      <c r="F2" s="581" t="s">
        <v>6</v>
      </c>
      <c r="G2" s="581" t="s">
        <v>7</v>
      </c>
      <c r="H2" s="581" t="s">
        <v>8</v>
      </c>
      <c r="I2" s="581" t="s">
        <v>9</v>
      </c>
      <c r="J2" s="581" t="s">
        <v>10</v>
      </c>
      <c r="K2" s="581" t="s">
        <v>1536</v>
      </c>
      <c r="L2" s="581" t="s">
        <v>7</v>
      </c>
      <c r="M2" s="581" t="s">
        <v>1179</v>
      </c>
      <c r="N2" s="582"/>
      <c r="O2" s="583"/>
    </row>
    <row r="3" spans="1:15" s="580" customFormat="1" ht="15" customHeight="1" outlineLevel="2">
      <c r="A3" s="580" t="s">
        <v>11</v>
      </c>
      <c r="B3" s="585" t="s">
        <v>764</v>
      </c>
      <c r="C3" s="585" t="s">
        <v>12</v>
      </c>
      <c r="D3" s="587" t="s">
        <v>1767</v>
      </c>
      <c r="E3" s="580" t="s">
        <v>13</v>
      </c>
      <c r="F3" s="575">
        <v>920477</v>
      </c>
      <c r="G3" s="576"/>
      <c r="H3" s="575">
        <v>0</v>
      </c>
      <c r="I3" s="575">
        <v>920477</v>
      </c>
      <c r="J3" s="575">
        <v>0</v>
      </c>
      <c r="K3" s="1308">
        <v>23043.824280000001</v>
      </c>
      <c r="L3" s="576"/>
      <c r="M3" s="575">
        <v>866724</v>
      </c>
      <c r="N3" s="577" t="e">
        <f ca="1">IF(OR(M3=0,M3="")," ",[43]!Arp(K3,M3,ARP_Threshold))</f>
        <v>#NAME?</v>
      </c>
      <c r="O3" s="578" t="e">
        <f ca="1">IF(AND(K3="",M3="")," ",[43]!Ara(K3,M3,ARA_Threshold))</f>
        <v>#NAME?</v>
      </c>
    </row>
    <row r="4" spans="1:15" s="580" customFormat="1" ht="15" customHeight="1" outlineLevel="2">
      <c r="A4" s="580" t="s">
        <v>14</v>
      </c>
      <c r="B4" s="585" t="s">
        <v>764</v>
      </c>
      <c r="C4" s="585" t="s">
        <v>12</v>
      </c>
      <c r="D4" s="587" t="s">
        <v>1768</v>
      </c>
      <c r="E4" s="580" t="s">
        <v>15</v>
      </c>
      <c r="F4" s="575">
        <v>171</v>
      </c>
      <c r="G4" s="576"/>
      <c r="H4" s="575">
        <v>0</v>
      </c>
      <c r="I4" s="575">
        <v>171</v>
      </c>
      <c r="J4" s="575">
        <v>0</v>
      </c>
      <c r="K4" s="1308">
        <v>134.85466</v>
      </c>
      <c r="L4" s="576"/>
      <c r="M4" s="575">
        <v>2426</v>
      </c>
      <c r="N4" s="577" t="e">
        <f ca="1">IF(OR(M4=0,M4="")," ",[43]!Arp(K4,M4,ARP_Threshold))</f>
        <v>#NAME?</v>
      </c>
      <c r="O4" s="578" t="e">
        <f ca="1">IF(AND(K4="",M4="")," ",[43]!Ara(K4,M4,ARA_Threshold))</f>
        <v>#NAME?</v>
      </c>
    </row>
    <row r="5" spans="1:15" s="580" customFormat="1" ht="15" customHeight="1" outlineLevel="2">
      <c r="A5" s="580" t="s">
        <v>16</v>
      </c>
      <c r="B5" s="585" t="s">
        <v>764</v>
      </c>
      <c r="C5" s="585" t="s">
        <v>12</v>
      </c>
      <c r="D5" s="587" t="s">
        <v>1769</v>
      </c>
      <c r="E5" s="580" t="s">
        <v>17</v>
      </c>
      <c r="F5" s="575">
        <v>13</v>
      </c>
      <c r="G5" s="576"/>
      <c r="H5" s="575">
        <v>0</v>
      </c>
      <c r="I5" s="575">
        <v>13</v>
      </c>
      <c r="J5" s="575">
        <v>0</v>
      </c>
      <c r="K5" s="1308">
        <v>13.048020000000001</v>
      </c>
      <c r="L5" s="576"/>
      <c r="M5" s="575">
        <v>12</v>
      </c>
      <c r="N5" s="577" t="e">
        <f ca="1">IF(OR(M5=0,M5="")," ",[43]!Arp(K5,M5,ARP_Threshold))</f>
        <v>#NAME?</v>
      </c>
      <c r="O5" s="578" t="e">
        <f ca="1">IF(AND(K5="",M5="")," ",[43]!Ara(K5,M5,ARA_Threshold))</f>
        <v>#NAME?</v>
      </c>
    </row>
    <row r="6" spans="1:15" s="580" customFormat="1" ht="15" customHeight="1" outlineLevel="2">
      <c r="A6" s="580" t="s">
        <v>18</v>
      </c>
      <c r="B6" s="585" t="s">
        <v>764</v>
      </c>
      <c r="C6" s="585" t="s">
        <v>12</v>
      </c>
      <c r="D6" s="587" t="s">
        <v>1770</v>
      </c>
      <c r="E6" s="580" t="s">
        <v>19</v>
      </c>
      <c r="F6" s="575">
        <v>8008</v>
      </c>
      <c r="G6" s="576"/>
      <c r="H6" s="575">
        <v>0</v>
      </c>
      <c r="I6" s="575">
        <v>8008</v>
      </c>
      <c r="J6" s="575">
        <v>0</v>
      </c>
      <c r="K6" s="1308">
        <v>37323.77536</v>
      </c>
      <c r="L6" s="576"/>
      <c r="M6" s="575">
        <v>1246</v>
      </c>
      <c r="N6" s="577" t="e">
        <f ca="1">IF(OR(M6=0,M6="")," ",[43]!Arp(K6,M6,ARP_Threshold))</f>
        <v>#NAME?</v>
      </c>
      <c r="O6" s="578" t="e">
        <f ca="1">IF(AND(K6="",M6="")," ",[43]!Ara(K6,M6,ARA_Threshold))</f>
        <v>#NAME?</v>
      </c>
    </row>
    <row r="7" spans="1:15" s="580" customFormat="1" ht="15" customHeight="1" outlineLevel="2">
      <c r="A7" s="580" t="s">
        <v>20</v>
      </c>
      <c r="B7" s="585" t="s">
        <v>764</v>
      </c>
      <c r="C7" s="585" t="s">
        <v>12</v>
      </c>
      <c r="D7" s="587" t="s">
        <v>1771</v>
      </c>
      <c r="E7" s="580" t="s">
        <v>21</v>
      </c>
      <c r="F7" s="575">
        <v>9296</v>
      </c>
      <c r="G7" s="576"/>
      <c r="H7" s="575">
        <v>0</v>
      </c>
      <c r="I7" s="575">
        <v>9296</v>
      </c>
      <c r="J7" s="575">
        <v>0</v>
      </c>
      <c r="K7" s="1308">
        <v>320.57850999999999</v>
      </c>
      <c r="L7" s="576"/>
      <c r="M7" s="575">
        <v>3145</v>
      </c>
      <c r="N7" s="577" t="e">
        <f ca="1">IF(OR(M7=0,M7="")," ",[43]!Arp(K7,M7,ARP_Threshold))</f>
        <v>#NAME?</v>
      </c>
      <c r="O7" s="578" t="e">
        <f ca="1">IF(AND(K7="",M7="")," ",[43]!Ara(K7,M7,ARA_Threshold))</f>
        <v>#NAME?</v>
      </c>
    </row>
    <row r="8" spans="1:15" s="580" customFormat="1" ht="15" customHeight="1" outlineLevel="2">
      <c r="A8" s="580" t="s">
        <v>22</v>
      </c>
      <c r="B8" s="585" t="s">
        <v>764</v>
      </c>
      <c r="C8" s="585" t="s">
        <v>12</v>
      </c>
      <c r="D8" s="587" t="s">
        <v>1772</v>
      </c>
      <c r="E8" s="580" t="s">
        <v>23</v>
      </c>
      <c r="F8" s="575">
        <v>5831</v>
      </c>
      <c r="G8" s="576"/>
      <c r="H8" s="575">
        <v>0</v>
      </c>
      <c r="I8" s="575">
        <v>5831</v>
      </c>
      <c r="J8" s="575">
        <v>0</v>
      </c>
      <c r="K8" s="1308">
        <v>55344.953020000001</v>
      </c>
      <c r="L8" s="576"/>
      <c r="M8" s="575">
        <v>3013</v>
      </c>
      <c r="N8" s="577" t="e">
        <f ca="1">IF(OR(M8=0,M8="")," ",[43]!Arp(K8,M8,ARP_Threshold))</f>
        <v>#NAME?</v>
      </c>
      <c r="O8" s="578" t="e">
        <f ca="1">IF(AND(K8="",M8="")," ",[43]!Ara(K8,M8,ARA_Threshold))</f>
        <v>#NAME?</v>
      </c>
    </row>
    <row r="9" spans="1:15" s="580" customFormat="1" ht="15" customHeight="1" outlineLevel="2">
      <c r="A9" s="580" t="s">
        <v>24</v>
      </c>
      <c r="B9" s="585" t="s">
        <v>764</v>
      </c>
      <c r="C9" s="585" t="s">
        <v>12</v>
      </c>
      <c r="D9" s="587" t="s">
        <v>1773</v>
      </c>
      <c r="E9" s="580" t="s">
        <v>25</v>
      </c>
      <c r="F9" s="575">
        <v>10</v>
      </c>
      <c r="G9" s="576"/>
      <c r="H9" s="575">
        <v>0</v>
      </c>
      <c r="I9" s="575">
        <v>10</v>
      </c>
      <c r="J9" s="575">
        <v>0</v>
      </c>
      <c r="K9" s="1308">
        <v>10.153979999999999</v>
      </c>
      <c r="L9" s="576"/>
      <c r="M9" s="575">
        <v>9</v>
      </c>
      <c r="N9" s="577" t="e">
        <f ca="1">IF(OR(M9=0,M9="")," ",[43]!Arp(K9,M9,ARP_Threshold))</f>
        <v>#NAME?</v>
      </c>
      <c r="O9" s="578" t="e">
        <f ca="1">IF(AND(K9="",M9="")," ",[43]!Ara(K9,M9,ARA_Threshold))</f>
        <v>#NAME?</v>
      </c>
    </row>
    <row r="10" spans="1:15" s="580" customFormat="1" ht="15" customHeight="1" outlineLevel="2">
      <c r="A10" s="580" t="s">
        <v>26</v>
      </c>
      <c r="B10" s="585" t="s">
        <v>764</v>
      </c>
      <c r="C10" s="585" t="s">
        <v>12</v>
      </c>
      <c r="D10" s="587" t="s">
        <v>1774</v>
      </c>
      <c r="E10" s="580" t="s">
        <v>27</v>
      </c>
      <c r="F10" s="575">
        <v>15</v>
      </c>
      <c r="G10" s="576"/>
      <c r="H10" s="575">
        <v>0</v>
      </c>
      <c r="I10" s="575">
        <v>15</v>
      </c>
      <c r="J10" s="575">
        <v>0</v>
      </c>
      <c r="K10" s="1308">
        <v>14.920999999999999</v>
      </c>
      <c r="L10" s="576"/>
      <c r="M10" s="575">
        <v>14</v>
      </c>
      <c r="N10" s="577" t="e">
        <f ca="1">IF(OR(M10=0,M10="")," ",[43]!Arp(K10,M10,ARP_Threshold))</f>
        <v>#NAME?</v>
      </c>
      <c r="O10" s="578" t="e">
        <f ca="1">IF(AND(K10="",M10="")," ",[43]!Ara(K10,M10,ARA_Threshold))</f>
        <v>#NAME?</v>
      </c>
    </row>
    <row r="11" spans="1:15" s="580" customFormat="1" ht="15" customHeight="1" outlineLevel="2">
      <c r="A11" s="580" t="s">
        <v>28</v>
      </c>
      <c r="B11" s="585" t="s">
        <v>764</v>
      </c>
      <c r="C11" s="585" t="s">
        <v>12</v>
      </c>
      <c r="D11" s="587" t="s">
        <v>1775</v>
      </c>
      <c r="E11" s="580" t="s">
        <v>29</v>
      </c>
      <c r="F11" s="575">
        <v>23933</v>
      </c>
      <c r="G11" s="576"/>
      <c r="H11" s="575">
        <v>0</v>
      </c>
      <c r="I11" s="575">
        <v>23933</v>
      </c>
      <c r="J11" s="575">
        <v>0</v>
      </c>
      <c r="K11" s="1308">
        <v>14995.59785</v>
      </c>
      <c r="L11" s="576"/>
      <c r="M11" s="575">
        <v>13151</v>
      </c>
      <c r="N11" s="577" t="e">
        <f ca="1">IF(OR(M11=0,M11="")," ",[43]!Arp(K11,M11,ARP_Threshold))</f>
        <v>#NAME?</v>
      </c>
      <c r="O11" s="578" t="e">
        <f ca="1">IF(AND(K11="",M11="")," ",[43]!Ara(K11,M11,ARA_Threshold))</f>
        <v>#NAME?</v>
      </c>
    </row>
    <row r="12" spans="1:15" s="580" customFormat="1" ht="15" customHeight="1" outlineLevel="2">
      <c r="A12" s="580" t="s">
        <v>30</v>
      </c>
      <c r="B12" s="585" t="s">
        <v>764</v>
      </c>
      <c r="C12" s="585" t="s">
        <v>12</v>
      </c>
      <c r="D12" s="587" t="s">
        <v>1776</v>
      </c>
      <c r="E12" s="580" t="s">
        <v>31</v>
      </c>
      <c r="F12" s="575">
        <v>13</v>
      </c>
      <c r="G12" s="576"/>
      <c r="H12" s="575">
        <v>0</v>
      </c>
      <c r="I12" s="575">
        <v>13</v>
      </c>
      <c r="J12" s="575">
        <v>0</v>
      </c>
      <c r="K12" s="1308">
        <v>37.042760000000001</v>
      </c>
      <c r="L12" s="576"/>
      <c r="M12" s="575">
        <v>935</v>
      </c>
      <c r="N12" s="577" t="e">
        <f ca="1">IF(OR(M12=0,M12="")," ",[43]!Arp(K12,M12,ARP_Threshold))</f>
        <v>#NAME?</v>
      </c>
      <c r="O12" s="578" t="e">
        <f ca="1">IF(AND(K12="",M12="")," ",[43]!Ara(K12,M12,ARA_Threshold))</f>
        <v>#NAME?</v>
      </c>
    </row>
    <row r="13" spans="1:15" s="580" customFormat="1" ht="15" customHeight="1" outlineLevel="2">
      <c r="A13" s="580" t="s">
        <v>32</v>
      </c>
      <c r="B13" s="585" t="s">
        <v>764</v>
      </c>
      <c r="C13" s="585" t="s">
        <v>12</v>
      </c>
      <c r="D13" s="587" t="s">
        <v>1777</v>
      </c>
      <c r="E13" s="580" t="s">
        <v>33</v>
      </c>
      <c r="F13" s="575">
        <v>15</v>
      </c>
      <c r="G13" s="576"/>
      <c r="H13" s="575">
        <v>0</v>
      </c>
      <c r="I13" s="575">
        <v>15</v>
      </c>
      <c r="J13" s="575">
        <v>0</v>
      </c>
      <c r="K13" s="1308">
        <v>15.174670000000001</v>
      </c>
      <c r="L13" s="576"/>
      <c r="M13" s="575">
        <v>13</v>
      </c>
      <c r="N13" s="577" t="e">
        <f ca="1">IF(OR(M13=0,M13="")," ",[43]!Arp(K13,M13,ARP_Threshold))</f>
        <v>#NAME?</v>
      </c>
      <c r="O13" s="578" t="e">
        <f ca="1">IF(AND(K13="",M13="")," ",[43]!Ara(K13,M13,ARA_Threshold))</f>
        <v>#NAME?</v>
      </c>
    </row>
    <row r="14" spans="1:15" s="580" customFormat="1" ht="15" customHeight="1" outlineLevel="2">
      <c r="A14" s="580" t="s">
        <v>34</v>
      </c>
      <c r="B14" s="585" t="s">
        <v>764</v>
      </c>
      <c r="C14" s="585" t="s">
        <v>12</v>
      </c>
      <c r="D14" s="587" t="s">
        <v>1778</v>
      </c>
      <c r="E14" s="580" t="s">
        <v>35</v>
      </c>
      <c r="F14" s="575">
        <v>24</v>
      </c>
      <c r="G14" s="576"/>
      <c r="H14" s="575">
        <v>0</v>
      </c>
      <c r="I14" s="575">
        <v>24</v>
      </c>
      <c r="J14" s="575">
        <v>0</v>
      </c>
      <c r="K14" s="1308">
        <v>9.1661800000000007</v>
      </c>
      <c r="L14" s="576"/>
      <c r="M14" s="575">
        <v>2352</v>
      </c>
      <c r="N14" s="577" t="e">
        <f ca="1">IF(OR(M14=0,M14="")," ",[43]!Arp(K14,M14,ARP_Threshold))</f>
        <v>#NAME?</v>
      </c>
      <c r="O14" s="578" t="e">
        <f ca="1">IF(AND(K14="",M14="")," ",[43]!Ara(K14,M14,ARA_Threshold))</f>
        <v>#NAME?</v>
      </c>
    </row>
    <row r="15" spans="1:15" s="580" customFormat="1" ht="15" customHeight="1" outlineLevel="2">
      <c r="A15" s="580" t="s">
        <v>36</v>
      </c>
      <c r="B15" s="585" t="s">
        <v>764</v>
      </c>
      <c r="C15" s="585" t="s">
        <v>12</v>
      </c>
      <c r="D15" s="587" t="s">
        <v>1779</v>
      </c>
      <c r="E15" s="580" t="s">
        <v>37</v>
      </c>
      <c r="F15" s="575">
        <v>16</v>
      </c>
      <c r="G15" s="576"/>
      <c r="H15" s="575">
        <v>0</v>
      </c>
      <c r="I15" s="575">
        <v>16</v>
      </c>
      <c r="J15" s="575">
        <v>0</v>
      </c>
      <c r="K15" s="1308">
        <v>16.21</v>
      </c>
      <c r="L15" s="576"/>
      <c r="M15" s="575">
        <v>15</v>
      </c>
      <c r="N15" s="577" t="e">
        <f ca="1">IF(OR(M15=0,M15="")," ",[43]!Arp(K15,M15,ARP_Threshold))</f>
        <v>#NAME?</v>
      </c>
      <c r="O15" s="578" t="e">
        <f ca="1">IF(AND(K15="",M15="")," ",[43]!Ara(K15,M15,ARA_Threshold))</f>
        <v>#NAME?</v>
      </c>
    </row>
    <row r="16" spans="1:15" s="580" customFormat="1" ht="15" customHeight="1" outlineLevel="2">
      <c r="A16" s="580" t="s">
        <v>38</v>
      </c>
      <c r="B16" s="585" t="s">
        <v>764</v>
      </c>
      <c r="C16" s="585" t="s">
        <v>12</v>
      </c>
      <c r="D16" s="587" t="s">
        <v>1780</v>
      </c>
      <c r="E16" s="580" t="s">
        <v>39</v>
      </c>
      <c r="F16" s="575">
        <v>5</v>
      </c>
      <c r="G16" s="576"/>
      <c r="H16" s="575">
        <v>0</v>
      </c>
      <c r="I16" s="575">
        <v>5</v>
      </c>
      <c r="J16" s="575">
        <v>0</v>
      </c>
      <c r="K16" s="1308">
        <v>5.3190400000000002</v>
      </c>
      <c r="L16" s="576"/>
      <c r="M16" s="575">
        <v>7</v>
      </c>
      <c r="N16" s="577" t="e">
        <f ca="1">IF(OR(M16=0,M16="")," ",[43]!Arp(K16,M16,ARP_Threshold))</f>
        <v>#NAME?</v>
      </c>
      <c r="O16" s="578" t="e">
        <f ca="1">IF(AND(K16="",M16="")," ",[43]!Ara(K16,M16,ARA_Threshold))</f>
        <v>#NAME?</v>
      </c>
    </row>
    <row r="17" spans="1:15" s="580" customFormat="1" ht="15" customHeight="1" outlineLevel="2">
      <c r="A17" s="580" t="s">
        <v>40</v>
      </c>
      <c r="B17" s="585" t="s">
        <v>764</v>
      </c>
      <c r="C17" s="585" t="s">
        <v>12</v>
      </c>
      <c r="D17" s="587" t="s">
        <v>1781</v>
      </c>
      <c r="E17" s="580" t="s">
        <v>41</v>
      </c>
      <c r="F17" s="575">
        <v>116</v>
      </c>
      <c r="G17" s="576"/>
      <c r="H17" s="575">
        <v>0</v>
      </c>
      <c r="I17" s="575">
        <v>116</v>
      </c>
      <c r="J17" s="575">
        <v>0</v>
      </c>
      <c r="K17" s="1308">
        <v>150955.57629</v>
      </c>
      <c r="L17" s="576"/>
      <c r="M17" s="575">
        <v>99</v>
      </c>
      <c r="N17" s="577" t="e">
        <f ca="1">IF(OR(M17=0,M17="")," ",[43]!Arp(K17,M17,ARP_Threshold))</f>
        <v>#NAME?</v>
      </c>
      <c r="O17" s="578" t="e">
        <f ca="1">IF(AND(K17="",M17="")," ",[43]!Ara(K17,M17,ARA_Threshold))</f>
        <v>#NAME?</v>
      </c>
    </row>
    <row r="18" spans="1:15" s="580" customFormat="1" ht="15" customHeight="1" outlineLevel="2">
      <c r="A18" s="580" t="s">
        <v>42</v>
      </c>
      <c r="B18" s="585" t="s">
        <v>764</v>
      </c>
      <c r="C18" s="585" t="s">
        <v>12</v>
      </c>
      <c r="D18" s="587" t="s">
        <v>1782</v>
      </c>
      <c r="E18" s="580" t="s">
        <v>43</v>
      </c>
      <c r="F18" s="575">
        <v>8</v>
      </c>
      <c r="G18" s="576"/>
      <c r="H18" s="575">
        <v>0</v>
      </c>
      <c r="I18" s="575">
        <v>8</v>
      </c>
      <c r="J18" s="575">
        <v>0</v>
      </c>
      <c r="K18" s="1308">
        <v>7.5389699999999999</v>
      </c>
      <c r="L18" s="576"/>
      <c r="M18" s="575">
        <v>8</v>
      </c>
      <c r="N18" s="577" t="e">
        <f ca="1">IF(OR(M18=0,M18="")," ",[43]!Arp(K18,M18,ARP_Threshold))</f>
        <v>#NAME?</v>
      </c>
      <c r="O18" s="578" t="e">
        <f ca="1">IF(AND(K18="",M18="")," ",[43]!Ara(K18,M18,ARA_Threshold))</f>
        <v>#NAME?</v>
      </c>
    </row>
    <row r="19" spans="1:15" s="580" customFormat="1" ht="15" customHeight="1" outlineLevel="2">
      <c r="A19" s="580" t="s">
        <v>44</v>
      </c>
      <c r="B19" s="585" t="s">
        <v>764</v>
      </c>
      <c r="C19" s="585" t="s">
        <v>12</v>
      </c>
      <c r="D19" s="587" t="s">
        <v>1783</v>
      </c>
      <c r="E19" s="580" t="s">
        <v>45</v>
      </c>
      <c r="F19" s="575">
        <v>17</v>
      </c>
      <c r="G19" s="576"/>
      <c r="H19" s="575">
        <v>0</v>
      </c>
      <c r="I19" s="575">
        <v>17</v>
      </c>
      <c r="J19" s="575">
        <v>0</v>
      </c>
      <c r="K19" s="1308">
        <v>17.04139</v>
      </c>
      <c r="L19" s="576"/>
      <c r="M19" s="575">
        <v>589</v>
      </c>
      <c r="N19" s="577" t="e">
        <f ca="1">IF(OR(M19=0,M19="")," ",[43]!Arp(K19,M19,ARP_Threshold))</f>
        <v>#NAME?</v>
      </c>
      <c r="O19" s="578" t="e">
        <f ca="1">IF(AND(K19="",M19="")," ",[43]!Ara(K19,M19,ARA_Threshold))</f>
        <v>#NAME?</v>
      </c>
    </row>
    <row r="20" spans="1:15" s="580" customFormat="1" ht="15" customHeight="1" outlineLevel="2">
      <c r="A20" s="580" t="s">
        <v>46</v>
      </c>
      <c r="B20" s="585" t="s">
        <v>764</v>
      </c>
      <c r="C20" s="585" t="s">
        <v>12</v>
      </c>
      <c r="D20" s="587" t="s">
        <v>1784</v>
      </c>
      <c r="E20" s="580" t="s">
        <v>47</v>
      </c>
      <c r="F20" s="575">
        <v>4</v>
      </c>
      <c r="G20" s="576"/>
      <c r="H20" s="575">
        <v>0</v>
      </c>
      <c r="I20" s="575">
        <v>4</v>
      </c>
      <c r="J20" s="575">
        <v>0</v>
      </c>
      <c r="K20" s="1308">
        <v>7.0512499999999996</v>
      </c>
      <c r="L20" s="576"/>
      <c r="M20" s="575">
        <v>8</v>
      </c>
      <c r="N20" s="577" t="e">
        <f ca="1">IF(OR(M20=0,M20="")," ",[43]!Arp(K20,M20,ARP_Threshold))</f>
        <v>#NAME?</v>
      </c>
      <c r="O20" s="578" t="e">
        <f ca="1">IF(AND(K20="",M20="")," ",[43]!Ara(K20,M20,ARA_Threshold))</f>
        <v>#NAME?</v>
      </c>
    </row>
    <row r="21" spans="1:15" s="580" customFormat="1" ht="15" customHeight="1" outlineLevel="2">
      <c r="A21" s="580" t="s">
        <v>48</v>
      </c>
      <c r="B21" s="585" t="s">
        <v>764</v>
      </c>
      <c r="C21" s="585" t="s">
        <v>12</v>
      </c>
      <c r="D21" s="587" t="s">
        <v>1785</v>
      </c>
      <c r="E21" s="580" t="s">
        <v>49</v>
      </c>
      <c r="F21" s="575">
        <v>1009</v>
      </c>
      <c r="G21" s="576"/>
      <c r="H21" s="575">
        <v>0</v>
      </c>
      <c r="I21" s="575">
        <v>1009</v>
      </c>
      <c r="J21" s="575">
        <v>0</v>
      </c>
      <c r="K21" s="1308">
        <v>325781.47983999999</v>
      </c>
      <c r="L21" s="576"/>
      <c r="M21" s="575">
        <v>10</v>
      </c>
      <c r="N21" s="577" t="e">
        <f ca="1">IF(OR(M21=0,M21="")," ",[43]!Arp(K21,M21,ARP_Threshold))</f>
        <v>#NAME?</v>
      </c>
      <c r="O21" s="578" t="e">
        <f ca="1">IF(AND(K21="",M21="")," ",[43]!Ara(K21,M21,ARA_Threshold))</f>
        <v>#NAME?</v>
      </c>
    </row>
    <row r="22" spans="1:15" s="580" customFormat="1" ht="15" customHeight="1" outlineLevel="2">
      <c r="A22" s="580" t="s">
        <v>50</v>
      </c>
      <c r="B22" s="585" t="s">
        <v>764</v>
      </c>
      <c r="C22" s="585" t="s">
        <v>12</v>
      </c>
      <c r="D22" s="587" t="s">
        <v>1786</v>
      </c>
      <c r="E22" s="580" t="s">
        <v>51</v>
      </c>
      <c r="F22" s="575">
        <v>42</v>
      </c>
      <c r="G22" s="576"/>
      <c r="H22" s="575">
        <v>0</v>
      </c>
      <c r="I22" s="575">
        <v>42</v>
      </c>
      <c r="J22" s="575">
        <v>0</v>
      </c>
      <c r="K22" s="1308">
        <v>318228.44201</v>
      </c>
      <c r="L22" s="576"/>
      <c r="M22" s="575">
        <v>43</v>
      </c>
      <c r="N22" s="577" t="e">
        <f ca="1">IF(OR(M22=0,M22="")," ",[43]!Arp(K22,M22,ARP_Threshold))</f>
        <v>#NAME?</v>
      </c>
      <c r="O22" s="578" t="e">
        <f ca="1">IF(AND(K22="",M22="")," ",[43]!Ara(K22,M22,ARA_Threshold))</f>
        <v>#NAME?</v>
      </c>
    </row>
    <row r="23" spans="1:15" s="580" customFormat="1" ht="15" customHeight="1" outlineLevel="2">
      <c r="A23" s="580" t="s">
        <v>52</v>
      </c>
      <c r="B23" s="585" t="s">
        <v>764</v>
      </c>
      <c r="C23" s="585" t="s">
        <v>12</v>
      </c>
      <c r="D23" s="587" t="s">
        <v>1787</v>
      </c>
      <c r="E23" s="580" t="s">
        <v>53</v>
      </c>
      <c r="F23" s="575">
        <v>1142</v>
      </c>
      <c r="G23" s="576"/>
      <c r="H23" s="575">
        <v>0</v>
      </c>
      <c r="I23" s="575">
        <v>1142</v>
      </c>
      <c r="J23" s="575">
        <v>0</v>
      </c>
      <c r="K23" s="1308">
        <v>1612.81897</v>
      </c>
      <c r="L23" s="576"/>
      <c r="M23" s="575">
        <v>495</v>
      </c>
      <c r="N23" s="577" t="e">
        <f ca="1">IF(OR(M23=0,M23="")," ",[43]!Arp(K23,M23,ARP_Threshold))</f>
        <v>#NAME?</v>
      </c>
      <c r="O23" s="578" t="e">
        <f ca="1">IF(AND(K23="",M23="")," ",[43]!Ara(K23,M23,ARA_Threshold))</f>
        <v>#NAME?</v>
      </c>
    </row>
    <row r="24" spans="1:15" s="580" customFormat="1" ht="15" customHeight="1" outlineLevel="2">
      <c r="A24" s="580" t="s">
        <v>54</v>
      </c>
      <c r="B24" s="585" t="s">
        <v>764</v>
      </c>
      <c r="C24" s="585" t="s">
        <v>12</v>
      </c>
      <c r="D24" s="587" t="s">
        <v>1788</v>
      </c>
      <c r="E24" s="580" t="s">
        <v>55</v>
      </c>
      <c r="F24" s="575">
        <v>49</v>
      </c>
      <c r="G24" s="576"/>
      <c r="H24" s="575">
        <v>0</v>
      </c>
      <c r="I24" s="575">
        <v>49</v>
      </c>
      <c r="J24" s="575">
        <v>0</v>
      </c>
      <c r="K24" s="1308">
        <v>10.09918</v>
      </c>
      <c r="L24" s="576"/>
      <c r="M24" s="575">
        <v>4780</v>
      </c>
      <c r="N24" s="577" t="e">
        <f ca="1">IF(OR(M24=0,M24="")," ",[43]!Arp(K24,M24,ARP_Threshold))</f>
        <v>#NAME?</v>
      </c>
      <c r="O24" s="578" t="e">
        <f ca="1">IF(AND(K24="",M24="")," ",[43]!Ara(K24,M24,ARA_Threshold))</f>
        <v>#NAME?</v>
      </c>
    </row>
    <row r="25" spans="1:15" s="580" customFormat="1" ht="15" customHeight="1" outlineLevel="2">
      <c r="A25" s="580" t="s">
        <v>56</v>
      </c>
      <c r="B25" s="585" t="s">
        <v>764</v>
      </c>
      <c r="C25" s="585" t="s">
        <v>12</v>
      </c>
      <c r="D25" s="587" t="s">
        <v>1789</v>
      </c>
      <c r="E25" s="580" t="s">
        <v>57</v>
      </c>
      <c r="F25" s="575">
        <v>11</v>
      </c>
      <c r="G25" s="576"/>
      <c r="H25" s="575">
        <v>0</v>
      </c>
      <c r="I25" s="575">
        <v>11</v>
      </c>
      <c r="J25" s="575">
        <v>0</v>
      </c>
      <c r="K25" s="1308">
        <v>11.019920000000001</v>
      </c>
      <c r="L25" s="576"/>
      <c r="M25" s="575">
        <v>10</v>
      </c>
      <c r="N25" s="577" t="e">
        <f ca="1">IF(OR(M25=0,M25="")," ",[43]!Arp(K25,M25,ARP_Threshold))</f>
        <v>#NAME?</v>
      </c>
      <c r="O25" s="578" t="e">
        <f ca="1">IF(AND(K25="",M25="")," ",[43]!Ara(K25,M25,ARA_Threshold))</f>
        <v>#NAME?</v>
      </c>
    </row>
    <row r="26" spans="1:15" s="580" customFormat="1" ht="15" customHeight="1" outlineLevel="2">
      <c r="A26" s="580" t="s">
        <v>1540</v>
      </c>
      <c r="B26" s="585" t="s">
        <v>764</v>
      </c>
      <c r="C26" s="585" t="s">
        <v>12</v>
      </c>
      <c r="D26" s="587" t="s">
        <v>1790</v>
      </c>
      <c r="E26" s="587" t="s">
        <v>1541</v>
      </c>
      <c r="F26" s="575">
        <v>11</v>
      </c>
      <c r="G26" s="584"/>
      <c r="H26" s="575">
        <v>0</v>
      </c>
      <c r="I26" s="575">
        <v>11</v>
      </c>
      <c r="J26" s="575">
        <v>0</v>
      </c>
      <c r="K26" s="1308">
        <v>10.528</v>
      </c>
      <c r="L26" s="584"/>
      <c r="M26" s="575">
        <v>0</v>
      </c>
      <c r="N26" s="577" t="str">
        <f>IF(OR(M26=0,M26="")," ",[43]!Arp(K26,M26,ARP_Threshold))</f>
        <v xml:space="preserve"> </v>
      </c>
      <c r="O26" s="578" t="e">
        <f ca="1">IF(AND(K26="",M26="")," ",[43]!Ara(K26,M26,ARA_Threshold))</f>
        <v>#NAME?</v>
      </c>
    </row>
    <row r="27" spans="1:15" s="580" customFormat="1" ht="15" customHeight="1" outlineLevel="2">
      <c r="A27" s="580" t="s">
        <v>1542</v>
      </c>
      <c r="B27" s="585" t="s">
        <v>764</v>
      </c>
      <c r="C27" s="585" t="s">
        <v>12</v>
      </c>
      <c r="D27" s="587" t="s">
        <v>1791</v>
      </c>
      <c r="E27" s="587" t="s">
        <v>1543</v>
      </c>
      <c r="F27" s="575">
        <v>10</v>
      </c>
      <c r="G27" s="584"/>
      <c r="H27" s="575">
        <v>0</v>
      </c>
      <c r="I27" s="575">
        <v>10</v>
      </c>
      <c r="J27" s="575">
        <v>0</v>
      </c>
      <c r="K27" s="1308">
        <v>10.175000000000001</v>
      </c>
      <c r="L27" s="584"/>
      <c r="M27" s="575">
        <v>0</v>
      </c>
      <c r="N27" s="577" t="str">
        <f>IF(OR(M27=0,M27="")," ",[43]!Arp(K27,M27,ARP_Threshold))</f>
        <v xml:space="preserve"> </v>
      </c>
      <c r="O27" s="578" t="e">
        <f ca="1">IF(AND(K27="",M27="")," ",[43]!Ara(K27,M27,ARA_Threshold))</f>
        <v>#NAME?</v>
      </c>
    </row>
    <row r="28" spans="1:15" s="580" customFormat="1" ht="15.75" customHeight="1" outlineLevel="2" thickBot="1">
      <c r="A28" s="580" t="s">
        <v>58</v>
      </c>
      <c r="B28" s="585" t="s">
        <v>764</v>
      </c>
      <c r="C28" s="585" t="s">
        <v>12</v>
      </c>
      <c r="D28" s="587" t="s">
        <v>1563</v>
      </c>
      <c r="E28" s="580" t="s">
        <v>1</v>
      </c>
      <c r="F28" s="590">
        <v>0</v>
      </c>
      <c r="G28" s="584"/>
      <c r="H28" s="590">
        <v>0</v>
      </c>
      <c r="I28" s="590">
        <v>0</v>
      </c>
      <c r="J28" s="590">
        <v>0</v>
      </c>
      <c r="K28" s="1307">
        <v>0</v>
      </c>
      <c r="L28" s="584"/>
      <c r="M28" s="590">
        <v>0</v>
      </c>
      <c r="N28" s="577" t="str">
        <f>IF(OR(M28=0,M28="")," ",[43]!Arp(K28,M28,ARP_Threshold))</f>
        <v xml:space="preserve"> </v>
      </c>
      <c r="O28" s="578" t="e">
        <f ca="1">IF(AND(K28="",M28="")," ",[43]!Ara(K28,M28,ARA_Threshold))</f>
        <v>#NAME?</v>
      </c>
    </row>
    <row r="29" spans="1:15" s="580" customFormat="1" ht="16.5" outlineLevel="1" thickTop="1" thickBot="1">
      <c r="A29" s="580" t="s">
        <v>59</v>
      </c>
      <c r="B29" s="585" t="s">
        <v>764</v>
      </c>
      <c r="C29" s="585" t="s">
        <v>12</v>
      </c>
      <c r="D29" s="587" t="s">
        <v>764</v>
      </c>
      <c r="E29" s="589" t="s">
        <v>60</v>
      </c>
      <c r="F29" s="595">
        <v>970246</v>
      </c>
      <c r="G29" s="576"/>
      <c r="H29" s="595">
        <v>0</v>
      </c>
      <c r="I29" s="595">
        <v>970246</v>
      </c>
      <c r="J29" s="595">
        <v>0</v>
      </c>
      <c r="K29" s="1313">
        <v>928263</v>
      </c>
      <c r="L29" s="576"/>
      <c r="M29" s="595">
        <v>899104</v>
      </c>
      <c r="N29" s="577" t="e">
        <f ca="1">IF(OR(M29=0,M29="")," ",[43]!Arp(K29,M29,ARP_Threshold))</f>
        <v>#NAME?</v>
      </c>
      <c r="O29" s="578" t="e">
        <f ca="1">IF(AND(K29="",M29="")," ",[43]!Ara(K29,M29,ARA_Threshold))</f>
        <v>#NAME?</v>
      </c>
    </row>
    <row r="30" spans="1:15" s="580" customFormat="1" ht="15.75" outlineLevel="1" thickTop="1">
      <c r="A30" s="580" t="s">
        <v>61</v>
      </c>
      <c r="B30" s="585" t="s">
        <v>764</v>
      </c>
      <c r="C30" s="585" t="s">
        <v>764</v>
      </c>
      <c r="D30" s="587" t="s">
        <v>764</v>
      </c>
      <c r="F30" s="575"/>
      <c r="G30" s="576"/>
      <c r="H30" s="575"/>
      <c r="I30" s="575"/>
      <c r="J30" s="575"/>
      <c r="K30" s="575"/>
      <c r="L30" s="576"/>
      <c r="M30" s="575"/>
      <c r="N30" s="577" t="str">
        <f>IF(OR(M30=0,M30="")," ",[43]!Arp(K30,M30,ARP_Threshold))</f>
        <v xml:space="preserve"> </v>
      </c>
      <c r="O30" s="578" t="str">
        <f>IF(AND(K30="",M30="")," ",[43]!Ara(K30,M30,ARA_Threshold))</f>
        <v xml:space="preserve"> </v>
      </c>
    </row>
    <row r="31" spans="1:15" s="580" customFormat="1" ht="15" customHeight="1" outlineLevel="2">
      <c r="A31" s="580" t="s">
        <v>62</v>
      </c>
      <c r="B31" s="585" t="s">
        <v>764</v>
      </c>
      <c r="C31" s="585" t="s">
        <v>63</v>
      </c>
      <c r="D31" s="587" t="s">
        <v>785</v>
      </c>
      <c r="E31" s="580" t="s">
        <v>64</v>
      </c>
      <c r="F31" s="575">
        <v>0</v>
      </c>
      <c r="G31" s="576"/>
      <c r="H31" s="575">
        <v>0</v>
      </c>
      <c r="I31" s="575">
        <v>0</v>
      </c>
      <c r="J31" s="575">
        <v>0</v>
      </c>
      <c r="K31" s="1308">
        <v>0</v>
      </c>
      <c r="L31" s="576"/>
      <c r="M31" s="575">
        <v>0</v>
      </c>
      <c r="N31" s="577" t="str">
        <f>IF(OR(M31=0,M31="")," ",[43]!Arp(K31,M31,ARP_Threshold))</f>
        <v xml:space="preserve"> </v>
      </c>
      <c r="O31" s="578" t="e">
        <f ca="1">IF(AND(K31="",M31="")," ",[43]!Ara(K31,M31,ARA_Threshold))</f>
        <v>#NAME?</v>
      </c>
    </row>
    <row r="32" spans="1:15" s="580" customFormat="1" ht="15" customHeight="1" outlineLevel="2">
      <c r="A32" s="580" t="s">
        <v>65</v>
      </c>
      <c r="B32" s="585" t="s">
        <v>764</v>
      </c>
      <c r="C32" s="585" t="s">
        <v>63</v>
      </c>
      <c r="D32" s="1309" t="s">
        <v>786</v>
      </c>
      <c r="E32" s="1310" t="s">
        <v>66</v>
      </c>
      <c r="F32" s="1311">
        <v>0</v>
      </c>
      <c r="G32" s="1312"/>
      <c r="H32" s="1311">
        <v>0</v>
      </c>
      <c r="I32" s="1311">
        <v>0</v>
      </c>
      <c r="J32" s="1311">
        <v>0</v>
      </c>
      <c r="K32" s="1311">
        <v>31506.052</v>
      </c>
      <c r="L32" s="576"/>
      <c r="M32" s="575">
        <v>0</v>
      </c>
      <c r="N32" s="577" t="str">
        <f>IF(OR(M32=0,M32="")," ",[43]!Arp(K32,M32,ARP_Threshold))</f>
        <v xml:space="preserve"> </v>
      </c>
      <c r="O32" s="578" t="e">
        <f ca="1">IF(AND(K32="",M32="")," ",[43]!Ara(K32,M32,ARA_Threshold))</f>
        <v>#NAME?</v>
      </c>
    </row>
    <row r="33" spans="1:15" s="580" customFormat="1" ht="15" customHeight="1" outlineLevel="2">
      <c r="A33" s="580" t="s">
        <v>67</v>
      </c>
      <c r="B33" s="585" t="s">
        <v>764</v>
      </c>
      <c r="C33" s="585" t="s">
        <v>63</v>
      </c>
      <c r="D33" s="1309" t="s">
        <v>1564</v>
      </c>
      <c r="E33" s="1310" t="s">
        <v>68</v>
      </c>
      <c r="F33" s="1311">
        <v>0</v>
      </c>
      <c r="G33" s="1312"/>
      <c r="H33" s="1311">
        <v>0</v>
      </c>
      <c r="I33" s="1311">
        <v>0</v>
      </c>
      <c r="J33" s="1311">
        <v>0</v>
      </c>
      <c r="K33" s="1311">
        <v>0</v>
      </c>
      <c r="L33" s="576"/>
      <c r="M33" s="575">
        <v>0</v>
      </c>
      <c r="N33" s="577" t="str">
        <f>IF(OR(M33=0,M33="")," ",[43]!Arp(K33,M33,ARP_Threshold))</f>
        <v xml:space="preserve"> </v>
      </c>
      <c r="O33" s="578" t="e">
        <f ca="1">IF(AND(K33="",M33="")," ",[43]!Ara(K33,M33,ARA_Threshold))</f>
        <v>#NAME?</v>
      </c>
    </row>
    <row r="34" spans="1:15" s="580" customFormat="1" ht="15.75" customHeight="1" outlineLevel="2" thickBot="1">
      <c r="A34" s="580" t="s">
        <v>69</v>
      </c>
      <c r="B34" s="585" t="s">
        <v>764</v>
      </c>
      <c r="C34" s="585" t="s">
        <v>63</v>
      </c>
      <c r="D34" s="587" t="s">
        <v>807</v>
      </c>
      <c r="E34" s="580" t="s">
        <v>70</v>
      </c>
      <c r="F34" s="590">
        <v>99771</v>
      </c>
      <c r="G34" s="584"/>
      <c r="H34" s="590">
        <v>0</v>
      </c>
      <c r="I34" s="590">
        <v>99771</v>
      </c>
      <c r="J34" s="590">
        <v>0</v>
      </c>
      <c r="K34" s="590">
        <v>99770.69038</v>
      </c>
      <c r="L34" s="584"/>
      <c r="M34" s="590">
        <v>99771</v>
      </c>
      <c r="N34" s="577" t="e">
        <f ca="1">IF(OR(M34=0,M34="")," ",[43]!Arp(K34,M34,ARP_Threshold))</f>
        <v>#NAME?</v>
      </c>
      <c r="O34" s="578" t="e">
        <f ca="1">IF(AND(K34="",M34="")," ",[43]!Ara(K34,M34,ARA_Threshold))</f>
        <v>#NAME?</v>
      </c>
    </row>
    <row r="35" spans="1:15" s="580" customFormat="1" ht="16.5" outlineLevel="1" thickTop="1" thickBot="1">
      <c r="A35" s="580" t="s">
        <v>71</v>
      </c>
      <c r="B35" s="585" t="s">
        <v>764</v>
      </c>
      <c r="C35" s="585" t="s">
        <v>63</v>
      </c>
      <c r="D35" s="587" t="s">
        <v>764</v>
      </c>
      <c r="E35" s="589" t="s">
        <v>72</v>
      </c>
      <c r="F35" s="595">
        <v>99771</v>
      </c>
      <c r="G35" s="576"/>
      <c r="H35" s="595">
        <v>0</v>
      </c>
      <c r="I35" s="595">
        <v>99771</v>
      </c>
      <c r="J35" s="595">
        <v>0</v>
      </c>
      <c r="K35" s="1315">
        <f>SUM(K31:K34)</f>
        <v>131276.74238000001</v>
      </c>
      <c r="L35" s="576"/>
      <c r="M35" s="595">
        <v>99771</v>
      </c>
      <c r="N35" s="577" t="e">
        <f ca="1">IF(OR(M35=0,M35="")," ",[43]!Arp(K35,M35,ARP_Threshold))</f>
        <v>#NAME?</v>
      </c>
      <c r="O35" s="578" t="e">
        <f ca="1">IF(AND(K35="",M35="")," ",[43]!Ara(K35,M35,ARA_Threshold))</f>
        <v>#NAME?</v>
      </c>
    </row>
    <row r="36" spans="1:15" s="580" customFormat="1" ht="15.75" outlineLevel="1" thickTop="1">
      <c r="A36" s="580" t="s">
        <v>73</v>
      </c>
      <c r="B36" s="585" t="s">
        <v>764</v>
      </c>
      <c r="C36" s="585" t="s">
        <v>764</v>
      </c>
      <c r="D36" s="587" t="s">
        <v>764</v>
      </c>
      <c r="F36" s="575"/>
      <c r="G36" s="576"/>
      <c r="H36" s="575"/>
      <c r="I36" s="575"/>
      <c r="J36" s="575"/>
      <c r="K36" s="575"/>
      <c r="L36" s="576"/>
      <c r="M36" s="575"/>
      <c r="N36" s="577" t="str">
        <f>IF(OR(M36=0,M36="")," ",[43]!Arp(K36,M36,ARP_Threshold))</f>
        <v xml:space="preserve"> </v>
      </c>
      <c r="O36" s="578" t="str">
        <f>IF(AND(K36="",M36="")," ",[43]!Ara(K36,M36,ARA_Threshold))</f>
        <v xml:space="preserve"> </v>
      </c>
    </row>
    <row r="37" spans="1:15" s="580" customFormat="1" ht="15.75" customHeight="1" outlineLevel="2" thickBot="1">
      <c r="A37" s="580" t="s">
        <v>74</v>
      </c>
      <c r="B37" s="585" t="s">
        <v>764</v>
      </c>
      <c r="C37" s="585" t="s">
        <v>75</v>
      </c>
      <c r="D37" s="587" t="s">
        <v>782</v>
      </c>
      <c r="E37" s="580" t="s">
        <v>76</v>
      </c>
      <c r="F37" s="590">
        <v>0</v>
      </c>
      <c r="G37" s="584"/>
      <c r="H37" s="590">
        <v>0</v>
      </c>
      <c r="I37" s="590">
        <v>0</v>
      </c>
      <c r="J37" s="590">
        <v>0</v>
      </c>
      <c r="K37" s="590">
        <v>32367.106530000001</v>
      </c>
      <c r="L37" s="584"/>
      <c r="M37" s="590">
        <v>0</v>
      </c>
      <c r="N37" s="577" t="str">
        <f>IF(OR(M37=0,M37="")," ",[43]!Arp(K37,M37,ARP_Threshold))</f>
        <v xml:space="preserve"> </v>
      </c>
      <c r="O37" s="578" t="e">
        <f ca="1">IF(AND(K37="",M37="")," ",[43]!Ara(K37,M37,ARA_Threshold))</f>
        <v>#NAME?</v>
      </c>
    </row>
    <row r="38" spans="1:15" s="580" customFormat="1" ht="16.5" outlineLevel="1" thickTop="1" thickBot="1">
      <c r="A38" s="580" t="s">
        <v>77</v>
      </c>
      <c r="B38" s="585" t="s">
        <v>764</v>
      </c>
      <c r="C38" s="585" t="s">
        <v>75</v>
      </c>
      <c r="D38" s="587" t="s">
        <v>764</v>
      </c>
      <c r="E38" s="589" t="s">
        <v>78</v>
      </c>
      <c r="F38" s="595">
        <v>0</v>
      </c>
      <c r="G38" s="576"/>
      <c r="H38" s="595">
        <v>0</v>
      </c>
      <c r="I38" s="595">
        <v>0</v>
      </c>
      <c r="J38" s="595">
        <v>0</v>
      </c>
      <c r="K38" s="1317">
        <f>SUM(K37)</f>
        <v>32367.106530000001</v>
      </c>
      <c r="L38" s="576"/>
      <c r="M38" s="595">
        <v>0</v>
      </c>
      <c r="N38" s="577" t="str">
        <f>IF(OR(M38=0,M38="")," ",[43]!Arp(K38,M38,ARP_Threshold))</f>
        <v xml:space="preserve"> </v>
      </c>
      <c r="O38" s="578" t="e">
        <f ca="1">IF(AND(K38="",M38="")," ",[43]!Ara(K38,M38,ARA_Threshold))</f>
        <v>#NAME?</v>
      </c>
    </row>
    <row r="39" spans="1:15" s="580" customFormat="1" ht="15.75" outlineLevel="1" thickTop="1">
      <c r="A39" s="580" t="s">
        <v>79</v>
      </c>
      <c r="B39" s="585" t="s">
        <v>764</v>
      </c>
      <c r="C39" s="585" t="s">
        <v>764</v>
      </c>
      <c r="D39" s="587" t="s">
        <v>764</v>
      </c>
      <c r="F39" s="575"/>
      <c r="G39" s="576"/>
      <c r="H39" s="575"/>
      <c r="I39" s="575"/>
      <c r="J39" s="575"/>
      <c r="K39" s="575"/>
      <c r="L39" s="576"/>
      <c r="M39" s="575"/>
      <c r="N39" s="577" t="str">
        <f>IF(OR(M39=0,M39="")," ",[43]!Arp(K39,M39,ARP_Threshold))</f>
        <v xml:space="preserve"> </v>
      </c>
      <c r="O39" s="578" t="str">
        <f>IF(AND(K39="",M39="")," ",[43]!Ara(K39,M39,ARA_Threshold))</f>
        <v xml:space="preserve"> </v>
      </c>
    </row>
    <row r="40" spans="1:15" s="580" customFormat="1" ht="15" customHeight="1" outlineLevel="2">
      <c r="A40" s="580" t="s">
        <v>80</v>
      </c>
      <c r="B40" s="585" t="s">
        <v>764</v>
      </c>
      <c r="C40" s="585" t="s">
        <v>81</v>
      </c>
      <c r="D40" s="587" t="s">
        <v>775</v>
      </c>
      <c r="E40" s="580" t="s">
        <v>82</v>
      </c>
      <c r="F40" s="575">
        <v>713180</v>
      </c>
      <c r="G40" s="576"/>
      <c r="H40" s="575">
        <v>0</v>
      </c>
      <c r="I40" s="575">
        <v>713180</v>
      </c>
      <c r="J40" s="575">
        <v>0</v>
      </c>
      <c r="K40" s="575">
        <v>453586.41655000002</v>
      </c>
      <c r="L40" s="576"/>
      <c r="M40" s="575">
        <v>507419</v>
      </c>
      <c r="N40" s="577" t="e">
        <f ca="1">IF(OR(M40=0,M40="")," ",[43]!Arp(K40,M40,ARP_Threshold))</f>
        <v>#NAME?</v>
      </c>
      <c r="O40" s="578" t="e">
        <f ca="1">IF(AND(K40="",M40="")," ",[43]!Ara(K40,M40,ARA_Threshold))</f>
        <v>#NAME?</v>
      </c>
    </row>
    <row r="41" spans="1:15" s="580" customFormat="1" ht="15" customHeight="1" outlineLevel="2">
      <c r="A41" s="580" t="s">
        <v>83</v>
      </c>
      <c r="B41" s="585" t="s">
        <v>764</v>
      </c>
      <c r="C41" s="585" t="s">
        <v>81</v>
      </c>
      <c r="D41" s="587" t="s">
        <v>776</v>
      </c>
      <c r="E41" s="580" t="s">
        <v>84</v>
      </c>
      <c r="F41" s="575">
        <v>-14547</v>
      </c>
      <c r="G41" s="576"/>
      <c r="H41" s="575">
        <v>0</v>
      </c>
      <c r="I41" s="575">
        <v>-14547</v>
      </c>
      <c r="J41" s="575">
        <v>0</v>
      </c>
      <c r="K41" s="575">
        <v>-17137.528750000001</v>
      </c>
      <c r="L41" s="576"/>
      <c r="M41" s="575">
        <v>-7474</v>
      </c>
      <c r="N41" s="577" t="e">
        <f ca="1">IF(OR(M41=0,M41="")," ",[43]!Arp(K41,M41,ARP_Threshold))</f>
        <v>#NAME?</v>
      </c>
      <c r="O41" s="578" t="e">
        <f ca="1">IF(AND(K41="",M41="")," ",[43]!Ara(K41,M41,ARA_Threshold))</f>
        <v>#NAME?</v>
      </c>
    </row>
    <row r="42" spans="1:15" s="580" customFormat="1" ht="15" customHeight="1" outlineLevel="2">
      <c r="A42" s="580" t="s">
        <v>85</v>
      </c>
      <c r="B42" s="585" t="s">
        <v>764</v>
      </c>
      <c r="C42" s="585" t="s">
        <v>81</v>
      </c>
      <c r="D42" s="587" t="s">
        <v>777</v>
      </c>
      <c r="E42" s="580" t="s">
        <v>86</v>
      </c>
      <c r="F42" s="575">
        <v>-7228</v>
      </c>
      <c r="G42" s="576"/>
      <c r="H42" s="575">
        <v>0</v>
      </c>
      <c r="I42" s="575">
        <v>-7228</v>
      </c>
      <c r="J42" s="575">
        <v>0</v>
      </c>
      <c r="K42" s="575">
        <v>-4375.4399000000003</v>
      </c>
      <c r="L42" s="576"/>
      <c r="M42" s="575">
        <v>-9167</v>
      </c>
      <c r="N42" s="577" t="e">
        <f ca="1">IF(OR(M42=0,M42="")," ",[43]!Arp(K42,M42,ARP_Threshold))</f>
        <v>#NAME?</v>
      </c>
      <c r="O42" s="578" t="e">
        <f ca="1">IF(AND(K42="",M42="")," ",[43]!Ara(K42,M42,ARA_Threshold))</f>
        <v>#NAME?</v>
      </c>
    </row>
    <row r="43" spans="1:15" s="580" customFormat="1" ht="15.75" customHeight="1" outlineLevel="2" thickBot="1">
      <c r="A43" s="580" t="s">
        <v>87</v>
      </c>
      <c r="B43" s="585" t="s">
        <v>764</v>
      </c>
      <c r="C43" s="585" t="s">
        <v>81</v>
      </c>
      <c r="D43" s="587" t="s">
        <v>778</v>
      </c>
      <c r="E43" s="580" t="s">
        <v>88</v>
      </c>
      <c r="F43" s="590">
        <v>1561</v>
      </c>
      <c r="G43" s="584"/>
      <c r="H43" s="590">
        <v>0</v>
      </c>
      <c r="I43" s="590">
        <v>1561</v>
      </c>
      <c r="J43" s="590">
        <v>0</v>
      </c>
      <c r="K43" s="590">
        <v>1560.8046400000001</v>
      </c>
      <c r="L43" s="584"/>
      <c r="M43" s="590">
        <v>1561</v>
      </c>
      <c r="N43" s="577" t="e">
        <f ca="1">IF(OR(M43=0,M43="")," ",[43]!Arp(K43,M43,ARP_Threshold))</f>
        <v>#NAME?</v>
      </c>
      <c r="O43" s="578" t="e">
        <f ca="1">IF(AND(K43="",M43="")," ",[43]!Ara(K43,M43,ARA_Threshold))</f>
        <v>#NAME?</v>
      </c>
    </row>
    <row r="44" spans="1:15" s="580" customFormat="1" ht="16.5" outlineLevel="1" thickTop="1" thickBot="1">
      <c r="A44" s="580" t="s">
        <v>89</v>
      </c>
      <c r="B44" s="585" t="s">
        <v>764</v>
      </c>
      <c r="C44" s="585" t="s">
        <v>81</v>
      </c>
      <c r="D44" s="587" t="s">
        <v>764</v>
      </c>
      <c r="E44" s="589" t="s">
        <v>1367</v>
      </c>
      <c r="F44" s="595">
        <v>692966</v>
      </c>
      <c r="G44" s="576"/>
      <c r="H44" s="595">
        <v>0</v>
      </c>
      <c r="I44" s="595">
        <v>692966</v>
      </c>
      <c r="J44" s="595">
        <v>0</v>
      </c>
      <c r="K44" s="1319">
        <f>SUM(K40:K43)</f>
        <v>433634.25254000002</v>
      </c>
      <c r="L44" s="576"/>
      <c r="M44" s="595">
        <v>492339</v>
      </c>
      <c r="N44" s="577" t="e">
        <f ca="1">IF(OR(M44=0,M44="")," ",[43]!Arp(K44,M44,ARP_Threshold))</f>
        <v>#NAME?</v>
      </c>
      <c r="O44" s="578" t="e">
        <f ca="1">IF(AND(K44="",M44="")," ",[43]!Ara(K44,M44,ARA_Threshold))</f>
        <v>#NAME?</v>
      </c>
    </row>
    <row r="45" spans="1:15" s="580" customFormat="1" ht="16.5" outlineLevel="1" thickTop="1" thickBot="1">
      <c r="A45" s="580" t="s">
        <v>90</v>
      </c>
      <c r="B45" s="585" t="s">
        <v>764</v>
      </c>
      <c r="C45" s="585" t="s">
        <v>764</v>
      </c>
      <c r="D45" s="587" t="s">
        <v>764</v>
      </c>
      <c r="F45" s="575"/>
      <c r="G45" s="576"/>
      <c r="H45" s="575"/>
      <c r="I45" s="575"/>
      <c r="J45" s="575"/>
      <c r="K45" s="575"/>
      <c r="L45" s="576"/>
      <c r="M45" s="575"/>
      <c r="N45" s="577" t="str">
        <f>IF(OR(M45=0,M45="")," ",[43]!Arp(K45,M45,ARP_Threshold))</f>
        <v xml:space="preserve"> </v>
      </c>
      <c r="O45" s="578" t="str">
        <f>IF(AND(K45="",M45="")," ",[43]!Ara(K45,M45,ARA_Threshold))</f>
        <v xml:space="preserve"> </v>
      </c>
    </row>
    <row r="46" spans="1:15" s="580" customFormat="1" ht="16.5" outlineLevel="1" thickTop="1" thickBot="1">
      <c r="A46" s="580" t="s">
        <v>91</v>
      </c>
      <c r="B46" s="585" t="s">
        <v>764</v>
      </c>
      <c r="C46" s="585" t="s">
        <v>92</v>
      </c>
      <c r="D46" s="587" t="s">
        <v>764</v>
      </c>
      <c r="E46" s="589" t="s">
        <v>93</v>
      </c>
      <c r="F46" s="579">
        <v>0</v>
      </c>
      <c r="G46" s="576"/>
      <c r="H46" s="579">
        <v>0</v>
      </c>
      <c r="I46" s="579">
        <v>0</v>
      </c>
      <c r="J46" s="579">
        <v>0</v>
      </c>
      <c r="K46" s="579">
        <v>0</v>
      </c>
      <c r="L46" s="576"/>
      <c r="M46" s="579">
        <v>0</v>
      </c>
      <c r="N46" s="577" t="str">
        <f>IF(OR(M46=0,M46="")," ",[43]!Arp(K46,M46,ARP_Threshold))</f>
        <v xml:space="preserve"> </v>
      </c>
      <c r="O46" s="578" t="e">
        <f ca="1">IF(AND(K46="",M46="")," ",[43]!Ara(K46,M46,ARA_Threshold))</f>
        <v>#NAME?</v>
      </c>
    </row>
    <row r="47" spans="1:15" s="580" customFormat="1" ht="15.75" outlineLevel="1" thickTop="1">
      <c r="A47" s="580" t="s">
        <v>94</v>
      </c>
      <c r="B47" s="585" t="s">
        <v>764</v>
      </c>
      <c r="C47" s="585" t="s">
        <v>764</v>
      </c>
      <c r="D47" s="587" t="s">
        <v>764</v>
      </c>
      <c r="F47" s="575"/>
      <c r="G47" s="576"/>
      <c r="H47" s="575"/>
      <c r="I47" s="575"/>
      <c r="J47" s="575"/>
      <c r="K47" s="575"/>
      <c r="L47" s="576"/>
      <c r="M47" s="575"/>
      <c r="N47" s="577" t="str">
        <f>IF(OR(M47=0,M47="")," ",[43]!Arp(K47,M47,ARP_Threshold))</f>
        <v xml:space="preserve"> </v>
      </c>
      <c r="O47" s="578" t="str">
        <f>IF(AND(K47="",M47="")," ",[43]!Ara(K47,M47,ARA_Threshold))</f>
        <v xml:space="preserve"> </v>
      </c>
    </row>
    <row r="48" spans="1:15" s="580" customFormat="1" ht="15.75" customHeight="1" outlineLevel="2" thickBot="1">
      <c r="A48" s="580" t="s">
        <v>95</v>
      </c>
      <c r="B48" s="585" t="s">
        <v>764</v>
      </c>
      <c r="C48" s="585" t="s">
        <v>96</v>
      </c>
      <c r="D48" s="587" t="s">
        <v>1565</v>
      </c>
      <c r="E48" s="580" t="s">
        <v>97</v>
      </c>
      <c r="F48" s="590">
        <v>0</v>
      </c>
      <c r="G48" s="584"/>
      <c r="H48" s="590">
        <v>0</v>
      </c>
      <c r="I48" s="590">
        <v>0</v>
      </c>
      <c r="J48" s="590">
        <v>0</v>
      </c>
      <c r="K48" s="590">
        <v>0</v>
      </c>
      <c r="L48" s="584"/>
      <c r="M48" s="590">
        <v>0</v>
      </c>
      <c r="N48" s="577" t="str">
        <f>IF(OR(M48=0,M48="")," ",[43]!Arp(K48,M48,ARP_Threshold))</f>
        <v xml:space="preserve"> </v>
      </c>
      <c r="O48" s="578" t="e">
        <f ca="1">IF(AND(K48="",M48="")," ",[43]!Ara(K48,M48,ARA_Threshold))</f>
        <v>#NAME?</v>
      </c>
    </row>
    <row r="49" spans="1:15" s="580" customFormat="1" ht="16.5" outlineLevel="1" thickTop="1" thickBot="1">
      <c r="A49" s="580" t="s">
        <v>98</v>
      </c>
      <c r="B49" s="585" t="s">
        <v>764</v>
      </c>
      <c r="C49" s="585" t="s">
        <v>96</v>
      </c>
      <c r="D49" s="587" t="s">
        <v>764</v>
      </c>
      <c r="E49" s="589" t="s">
        <v>99</v>
      </c>
      <c r="F49" s="595">
        <v>0</v>
      </c>
      <c r="G49" s="576"/>
      <c r="H49" s="595">
        <v>0</v>
      </c>
      <c r="I49" s="595">
        <v>0</v>
      </c>
      <c r="J49" s="595">
        <v>0</v>
      </c>
      <c r="K49" s="595">
        <v>0</v>
      </c>
      <c r="L49" s="576"/>
      <c r="M49" s="595">
        <v>0</v>
      </c>
      <c r="N49" s="577" t="str">
        <f>IF(OR(M49=0,M49="")," ",[43]!Arp(K49,M49,ARP_Threshold))</f>
        <v xml:space="preserve"> </v>
      </c>
      <c r="O49" s="578" t="e">
        <f ca="1">IF(AND(K49="",M49="")," ",[43]!Ara(K49,M49,ARA_Threshold))</f>
        <v>#NAME?</v>
      </c>
    </row>
    <row r="50" spans="1:15" s="580" customFormat="1" ht="15.75" outlineLevel="1" thickTop="1">
      <c r="A50" s="580" t="s">
        <v>100</v>
      </c>
      <c r="B50" s="585" t="s">
        <v>764</v>
      </c>
      <c r="C50" s="585" t="s">
        <v>764</v>
      </c>
      <c r="D50" s="587" t="s">
        <v>764</v>
      </c>
      <c r="F50" s="575"/>
      <c r="G50" s="576"/>
      <c r="H50" s="575"/>
      <c r="I50" s="575"/>
      <c r="J50" s="575"/>
      <c r="K50" s="575"/>
      <c r="L50" s="576"/>
      <c r="M50" s="575"/>
      <c r="N50" s="577" t="str">
        <f>IF(OR(M50=0,M50="")," ",[43]!Arp(K50,M50,ARP_Threshold))</f>
        <v xml:space="preserve"> </v>
      </c>
      <c r="O50" s="578" t="str">
        <f>IF(AND(K50="",M50="")," ",[43]!Ara(K50,M50,ARA_Threshold))</f>
        <v xml:space="preserve"> </v>
      </c>
    </row>
    <row r="51" spans="1:15" s="580" customFormat="1" ht="15" customHeight="1" outlineLevel="2">
      <c r="A51" s="580" t="s">
        <v>101</v>
      </c>
      <c r="B51" s="585" t="s">
        <v>764</v>
      </c>
      <c r="C51" s="585" t="s">
        <v>102</v>
      </c>
      <c r="D51" s="587" t="s">
        <v>772</v>
      </c>
      <c r="E51" s="580" t="s">
        <v>103</v>
      </c>
      <c r="F51" s="575">
        <v>300039</v>
      </c>
      <c r="G51" s="576"/>
      <c r="H51" s="575">
        <v>0</v>
      </c>
      <c r="I51" s="575">
        <v>300039</v>
      </c>
      <c r="J51" s="575">
        <v>0</v>
      </c>
      <c r="K51" s="575">
        <v>75038.73</v>
      </c>
      <c r="L51" s="576"/>
      <c r="M51" s="575">
        <v>39</v>
      </c>
      <c r="N51" s="577" t="e">
        <f ca="1">IF(OR(M51=0,M51="")," ",[43]!Arp(K51,M51,ARP_Threshold))</f>
        <v>#NAME?</v>
      </c>
      <c r="O51" s="578" t="e">
        <f ca="1">IF(AND(K51="",M51="")," ",[43]!Ara(K51,M51,ARA_Threshold))</f>
        <v>#NAME?</v>
      </c>
    </row>
    <row r="52" spans="1:15" s="580" customFormat="1" ht="15" customHeight="1" outlineLevel="2">
      <c r="A52" s="580" t="s">
        <v>104</v>
      </c>
      <c r="B52" s="585" t="s">
        <v>764</v>
      </c>
      <c r="C52" s="585" t="s">
        <v>102</v>
      </c>
      <c r="D52" s="587" t="s">
        <v>773</v>
      </c>
      <c r="E52" s="580" t="s">
        <v>105</v>
      </c>
      <c r="F52" s="575">
        <v>505</v>
      </c>
      <c r="G52" s="576"/>
      <c r="H52" s="575">
        <v>0</v>
      </c>
      <c r="I52" s="575">
        <v>505</v>
      </c>
      <c r="J52" s="575">
        <v>0</v>
      </c>
      <c r="K52" s="575">
        <v>-99.880600000000001</v>
      </c>
      <c r="L52" s="576"/>
      <c r="M52" s="575">
        <v>0</v>
      </c>
      <c r="N52" s="577" t="str">
        <f>IF(OR(M52=0,M52="")," ",[43]!Arp(K52,M52,ARP_Threshold))</f>
        <v xml:space="preserve"> </v>
      </c>
      <c r="O52" s="578" t="e">
        <f ca="1">IF(AND(K52="",M52="")," ",[43]!Ara(K52,M52,ARA_Threshold))</f>
        <v>#NAME?</v>
      </c>
    </row>
    <row r="53" spans="1:15" s="580" customFormat="1" ht="15" customHeight="1" outlineLevel="2">
      <c r="A53" s="580" t="s">
        <v>106</v>
      </c>
      <c r="B53" s="585" t="s">
        <v>764</v>
      </c>
      <c r="C53" s="585" t="s">
        <v>102</v>
      </c>
      <c r="D53" s="587" t="s">
        <v>774</v>
      </c>
      <c r="E53" s="580" t="s">
        <v>107</v>
      </c>
      <c r="F53" s="575">
        <v>-6174</v>
      </c>
      <c r="G53" s="576"/>
      <c r="H53" s="575">
        <v>0</v>
      </c>
      <c r="I53" s="575">
        <v>-6174</v>
      </c>
      <c r="J53" s="575">
        <v>0</v>
      </c>
      <c r="K53" s="575">
        <v>-1243.7003999999999</v>
      </c>
      <c r="L53" s="576"/>
      <c r="M53" s="575">
        <v>-39</v>
      </c>
      <c r="N53" s="577" t="e">
        <f ca="1">IF(OR(M53=0,M53="")," ",[43]!Arp(K53,M53,ARP_Threshold))</f>
        <v>#NAME?</v>
      </c>
      <c r="O53" s="578" t="e">
        <f ca="1">IF(AND(K53="",M53="")," ",[43]!Ara(K53,M53,ARA_Threshold))</f>
        <v>#NAME?</v>
      </c>
    </row>
    <row r="54" spans="1:15" s="580" customFormat="1" ht="15" customHeight="1" outlineLevel="2">
      <c r="A54" s="580" t="s">
        <v>108</v>
      </c>
      <c r="B54" s="585" t="s">
        <v>764</v>
      </c>
      <c r="C54" s="585" t="s">
        <v>102</v>
      </c>
      <c r="D54" s="587" t="s">
        <v>1566</v>
      </c>
      <c r="E54" s="580" t="s">
        <v>109</v>
      </c>
      <c r="F54" s="575">
        <v>0</v>
      </c>
      <c r="G54" s="576"/>
      <c r="H54" s="575">
        <v>0</v>
      </c>
      <c r="I54" s="575">
        <v>0</v>
      </c>
      <c r="J54" s="575">
        <v>0</v>
      </c>
      <c r="K54" s="575">
        <v>1.6000000000000001E-4</v>
      </c>
      <c r="L54" s="576"/>
      <c r="M54" s="575">
        <v>0</v>
      </c>
      <c r="N54" s="577" t="str">
        <f>IF(OR(M54=0,M54="")," ",[43]!Arp(K54,M54,ARP_Threshold))</f>
        <v xml:space="preserve"> </v>
      </c>
      <c r="O54" s="578" t="e">
        <f ca="1">IF(AND(K54="",M54="")," ",[43]!Ara(K54,M54,ARA_Threshold))</f>
        <v>#NAME?</v>
      </c>
    </row>
    <row r="55" spans="1:15" s="580" customFormat="1" ht="15" customHeight="1" outlineLevel="2">
      <c r="A55" s="580" t="s">
        <v>110</v>
      </c>
      <c r="B55" s="585" t="s">
        <v>764</v>
      </c>
      <c r="C55" s="585" t="s">
        <v>102</v>
      </c>
      <c r="D55" s="587" t="s">
        <v>1567</v>
      </c>
      <c r="E55" s="580" t="s">
        <v>111</v>
      </c>
      <c r="F55" s="575">
        <v>0</v>
      </c>
      <c r="G55" s="576"/>
      <c r="H55" s="575">
        <v>0</v>
      </c>
      <c r="I55" s="575">
        <v>0</v>
      </c>
      <c r="J55" s="575">
        <v>0</v>
      </c>
      <c r="K55" s="575">
        <v>-1.7000000000000001E-4</v>
      </c>
      <c r="L55" s="576"/>
      <c r="M55" s="575">
        <v>0</v>
      </c>
      <c r="N55" s="577" t="str">
        <f>IF(OR(M55=0,M55="")," ",[43]!Arp(K55,M55,ARP_Threshold))</f>
        <v xml:space="preserve"> </v>
      </c>
      <c r="O55" s="578" t="e">
        <f ca="1">IF(AND(K55="",M55="")," ",[43]!Ara(K55,M55,ARA_Threshold))</f>
        <v>#NAME?</v>
      </c>
    </row>
    <row r="56" spans="1:15" s="580" customFormat="1" ht="15" customHeight="1" outlineLevel="2">
      <c r="A56" s="580" t="s">
        <v>112</v>
      </c>
      <c r="B56" s="585" t="s">
        <v>764</v>
      </c>
      <c r="C56" s="585" t="s">
        <v>102</v>
      </c>
      <c r="D56" s="587" t="s">
        <v>1568</v>
      </c>
      <c r="E56" s="580" t="s">
        <v>113</v>
      </c>
      <c r="F56" s="575">
        <v>0</v>
      </c>
      <c r="G56" s="576"/>
      <c r="H56" s="575">
        <v>0</v>
      </c>
      <c r="I56" s="575">
        <v>0</v>
      </c>
      <c r="J56" s="575">
        <v>0</v>
      </c>
      <c r="K56" s="575">
        <v>0</v>
      </c>
      <c r="L56" s="576"/>
      <c r="M56" s="575">
        <v>0</v>
      </c>
      <c r="N56" s="577" t="str">
        <f>IF(OR(M56=0,M56="")," ",[43]!Arp(K56,M56,ARP_Threshold))</f>
        <v xml:space="preserve"> </v>
      </c>
      <c r="O56" s="578" t="e">
        <f ca="1">IF(AND(K56="",M56="")," ",[43]!Ara(K56,M56,ARA_Threshold))</f>
        <v>#NAME?</v>
      </c>
    </row>
    <row r="57" spans="1:15" s="580" customFormat="1" ht="15" customHeight="1" outlineLevel="2">
      <c r="A57" s="580" t="s">
        <v>114</v>
      </c>
      <c r="B57" s="585" t="s">
        <v>764</v>
      </c>
      <c r="C57" s="585" t="s">
        <v>102</v>
      </c>
      <c r="D57" s="587" t="s">
        <v>1569</v>
      </c>
      <c r="E57" s="580" t="s">
        <v>115</v>
      </c>
      <c r="F57" s="575">
        <v>0</v>
      </c>
      <c r="G57" s="576"/>
      <c r="H57" s="575">
        <v>0</v>
      </c>
      <c r="I57" s="575">
        <v>0</v>
      </c>
      <c r="J57" s="575">
        <v>0</v>
      </c>
      <c r="K57" s="575">
        <v>18.374209999999998</v>
      </c>
      <c r="L57" s="576"/>
      <c r="M57" s="575">
        <v>0</v>
      </c>
      <c r="N57" s="577" t="str">
        <f>IF(OR(M57=0,M57="")," ",[43]!Arp(K57,M57,ARP_Threshold))</f>
        <v xml:space="preserve"> </v>
      </c>
      <c r="O57" s="578" t="e">
        <f ca="1">IF(AND(K57="",M57="")," ",[43]!Ara(K57,M57,ARA_Threshold))</f>
        <v>#NAME?</v>
      </c>
    </row>
    <row r="58" spans="1:15" s="580" customFormat="1" ht="15" customHeight="1" outlineLevel="2">
      <c r="A58" s="580" t="s">
        <v>116</v>
      </c>
      <c r="B58" s="585" t="s">
        <v>764</v>
      </c>
      <c r="C58" s="585" t="s">
        <v>102</v>
      </c>
      <c r="D58" s="587" t="s">
        <v>1570</v>
      </c>
      <c r="E58" s="580" t="s">
        <v>117</v>
      </c>
      <c r="F58" s="575">
        <v>0</v>
      </c>
      <c r="G58" s="576"/>
      <c r="H58" s="575">
        <v>0</v>
      </c>
      <c r="I58" s="575">
        <v>0</v>
      </c>
      <c r="J58" s="575">
        <v>0</v>
      </c>
      <c r="K58" s="575">
        <v>150000</v>
      </c>
      <c r="L58" s="576"/>
      <c r="M58" s="575">
        <v>0</v>
      </c>
      <c r="N58" s="577" t="str">
        <f>IF(OR(M58=0,M58="")," ",[43]!Arp(K58,M58,ARP_Threshold))</f>
        <v xml:space="preserve"> </v>
      </c>
      <c r="O58" s="578" t="e">
        <f ca="1">IF(AND(K58="",M58="")," ",[43]!Ara(K58,M58,ARA_Threshold))</f>
        <v>#NAME?</v>
      </c>
    </row>
    <row r="59" spans="1:15" s="580" customFormat="1" ht="15.75" customHeight="1" outlineLevel="2" thickBot="1">
      <c r="A59" s="580" t="s">
        <v>118</v>
      </c>
      <c r="B59" s="585" t="s">
        <v>764</v>
      </c>
      <c r="C59" s="585" t="s">
        <v>102</v>
      </c>
      <c r="D59" s="587" t="s">
        <v>1571</v>
      </c>
      <c r="E59" s="580" t="s">
        <v>119</v>
      </c>
      <c r="F59" s="590">
        <v>0</v>
      </c>
      <c r="G59" s="584"/>
      <c r="H59" s="590">
        <v>0</v>
      </c>
      <c r="I59" s="590">
        <v>0</v>
      </c>
      <c r="J59" s="590">
        <v>0</v>
      </c>
      <c r="K59" s="590">
        <v>521.62579000000005</v>
      </c>
      <c r="L59" s="584"/>
      <c r="M59" s="590">
        <v>0</v>
      </c>
      <c r="N59" s="577" t="str">
        <f>IF(OR(M59=0,M59="")," ",[43]!Arp(K59,M59,ARP_Threshold))</f>
        <v xml:space="preserve"> </v>
      </c>
      <c r="O59" s="578" t="e">
        <f ca="1">IF(AND(K59="",M59="")," ",[43]!Ara(K59,M59,ARA_Threshold))</f>
        <v>#NAME?</v>
      </c>
    </row>
    <row r="60" spans="1:15" s="580" customFormat="1" ht="16.5" outlineLevel="1" thickTop="1" thickBot="1">
      <c r="A60" s="580" t="s">
        <v>120</v>
      </c>
      <c r="B60" s="585" t="s">
        <v>764</v>
      </c>
      <c r="C60" s="585" t="s">
        <v>102</v>
      </c>
      <c r="D60" s="587" t="s">
        <v>764</v>
      </c>
      <c r="E60" s="589" t="s">
        <v>121</v>
      </c>
      <c r="F60" s="595">
        <v>294370</v>
      </c>
      <c r="G60" s="576"/>
      <c r="H60" s="595">
        <v>0</v>
      </c>
      <c r="I60" s="595">
        <v>294370</v>
      </c>
      <c r="J60" s="595">
        <v>0</v>
      </c>
      <c r="K60" s="1356">
        <f>SUM(K51:K59)</f>
        <v>224235.14898999999</v>
      </c>
      <c r="L60" s="576"/>
      <c r="M60" s="595">
        <v>0</v>
      </c>
      <c r="N60" s="577" t="str">
        <f>IF(OR(M60=0,M60="")," ",[43]!Arp(K60,M60,ARP_Threshold))</f>
        <v xml:space="preserve"> </v>
      </c>
      <c r="O60" s="578" t="e">
        <f ca="1">IF(AND(K60="",M60="")," ",[43]!Ara(K60,M60,ARA_Threshold))</f>
        <v>#NAME?</v>
      </c>
    </row>
    <row r="61" spans="1:15" s="580" customFormat="1" ht="15.75" outlineLevel="1" thickTop="1">
      <c r="A61" s="580" t="s">
        <v>122</v>
      </c>
      <c r="B61" s="585" t="s">
        <v>764</v>
      </c>
      <c r="C61" s="585" t="s">
        <v>764</v>
      </c>
      <c r="D61" s="587" t="s">
        <v>764</v>
      </c>
      <c r="F61" s="575"/>
      <c r="G61" s="576"/>
      <c r="H61" s="575"/>
      <c r="I61" s="575"/>
      <c r="J61" s="575"/>
      <c r="K61" s="575"/>
      <c r="L61" s="576"/>
      <c r="M61" s="575"/>
      <c r="N61" s="577" t="str">
        <f>IF(OR(M61=0,M61="")," ",[43]!Arp(K61,M61,ARP_Threshold))</f>
        <v xml:space="preserve"> </v>
      </c>
      <c r="O61" s="578" t="str">
        <f>IF(AND(K61="",M61="")," ",[43]!Ara(K61,M61,ARA_Threshold))</f>
        <v xml:space="preserve"> </v>
      </c>
    </row>
    <row r="62" spans="1:15" s="580" customFormat="1" ht="15" customHeight="1" outlineLevel="2">
      <c r="A62" s="580" t="s">
        <v>123</v>
      </c>
      <c r="B62" s="585" t="s">
        <v>764</v>
      </c>
      <c r="C62" s="585" t="s">
        <v>124</v>
      </c>
      <c r="D62" s="587" t="s">
        <v>779</v>
      </c>
      <c r="E62" s="580" t="s">
        <v>125</v>
      </c>
      <c r="F62" s="575">
        <v>0</v>
      </c>
      <c r="G62" s="576"/>
      <c r="H62" s="575">
        <v>0</v>
      </c>
      <c r="I62" s="575">
        <v>0</v>
      </c>
      <c r="J62" s="575">
        <v>0</v>
      </c>
      <c r="K62" s="575">
        <v>0</v>
      </c>
      <c r="L62" s="576"/>
      <c r="M62" s="575">
        <v>0</v>
      </c>
      <c r="N62" s="577" t="str">
        <f>IF(OR(M62=0,M62="")," ",[43]!Arp(K62,M62,ARP_Threshold))</f>
        <v xml:space="preserve"> </v>
      </c>
      <c r="O62" s="578" t="e">
        <f ca="1">IF(AND(K62="",M62="")," ",[43]!Ara(K62,M62,ARA_Threshold))</f>
        <v>#NAME?</v>
      </c>
    </row>
    <row r="63" spans="1:15" s="580" customFormat="1" ht="15" customHeight="1" outlineLevel="2">
      <c r="A63" s="580" t="s">
        <v>126</v>
      </c>
      <c r="B63" s="585" t="s">
        <v>764</v>
      </c>
      <c r="C63" s="585" t="s">
        <v>124</v>
      </c>
      <c r="D63" s="587" t="s">
        <v>780</v>
      </c>
      <c r="E63" s="580" t="s">
        <v>127</v>
      </c>
      <c r="F63" s="575">
        <v>0</v>
      </c>
      <c r="G63" s="576"/>
      <c r="H63" s="575">
        <v>0</v>
      </c>
      <c r="I63" s="575">
        <v>0</v>
      </c>
      <c r="J63" s="575">
        <v>0</v>
      </c>
      <c r="K63" s="575">
        <v>0</v>
      </c>
      <c r="L63" s="576"/>
      <c r="M63" s="575">
        <v>0</v>
      </c>
      <c r="N63" s="577" t="str">
        <f>IF(OR(M63=0,M63="")," ",[43]!Arp(K63,M63,ARP_Threshold))</f>
        <v xml:space="preserve"> </v>
      </c>
      <c r="O63" s="578" t="e">
        <f ca="1">IF(AND(K63="",M63="")," ",[43]!Ara(K63,M63,ARA_Threshold))</f>
        <v>#NAME?</v>
      </c>
    </row>
    <row r="64" spans="1:15" s="580" customFormat="1" ht="15.75" customHeight="1" outlineLevel="2" thickBot="1">
      <c r="A64" s="580" t="s">
        <v>128</v>
      </c>
      <c r="B64" s="585" t="s">
        <v>764</v>
      </c>
      <c r="C64" s="585" t="s">
        <v>124</v>
      </c>
      <c r="D64" s="587" t="s">
        <v>781</v>
      </c>
      <c r="E64" s="580" t="s">
        <v>129</v>
      </c>
      <c r="F64" s="590">
        <v>0</v>
      </c>
      <c r="G64" s="584"/>
      <c r="H64" s="590">
        <v>0</v>
      </c>
      <c r="I64" s="590">
        <v>0</v>
      </c>
      <c r="J64" s="590">
        <v>0</v>
      </c>
      <c r="K64" s="590">
        <v>0</v>
      </c>
      <c r="L64" s="584"/>
      <c r="M64" s="590">
        <v>0</v>
      </c>
      <c r="N64" s="577" t="str">
        <f>IF(OR(M64=0,M64="")," ",[43]!Arp(K64,M64,ARP_Threshold))</f>
        <v xml:space="preserve"> </v>
      </c>
      <c r="O64" s="578" t="e">
        <f ca="1">IF(AND(K64="",M64="")," ",[43]!Ara(K64,M64,ARA_Threshold))</f>
        <v>#NAME?</v>
      </c>
    </row>
    <row r="65" spans="1:15" s="580" customFormat="1" ht="16.5" outlineLevel="1" thickTop="1" thickBot="1">
      <c r="A65" s="580" t="s">
        <v>130</v>
      </c>
      <c r="B65" s="585" t="s">
        <v>764</v>
      </c>
      <c r="C65" s="585" t="s">
        <v>124</v>
      </c>
      <c r="D65" s="587" t="s">
        <v>764</v>
      </c>
      <c r="E65" s="589" t="s">
        <v>1368</v>
      </c>
      <c r="F65" s="595">
        <v>0</v>
      </c>
      <c r="G65" s="576"/>
      <c r="H65" s="595">
        <v>0</v>
      </c>
      <c r="I65" s="595">
        <v>0</v>
      </c>
      <c r="J65" s="595">
        <v>0</v>
      </c>
      <c r="K65" s="595">
        <v>0</v>
      </c>
      <c r="L65" s="576"/>
      <c r="M65" s="595">
        <v>0</v>
      </c>
      <c r="N65" s="577" t="str">
        <f>IF(OR(M65=0,M65="")," ",[43]!Arp(K65,M65,ARP_Threshold))</f>
        <v xml:space="preserve"> </v>
      </c>
      <c r="O65" s="578" t="e">
        <f ca="1">IF(AND(K65="",M65="")," ",[43]!Ara(K65,M65,ARA_Threshold))</f>
        <v>#NAME?</v>
      </c>
    </row>
    <row r="66" spans="1:15" s="580" customFormat="1" ht="15.75" outlineLevel="1" thickTop="1">
      <c r="A66" s="580" t="s">
        <v>131</v>
      </c>
      <c r="B66" s="585" t="s">
        <v>764</v>
      </c>
      <c r="C66" s="585" t="s">
        <v>764</v>
      </c>
      <c r="D66" s="587" t="s">
        <v>764</v>
      </c>
      <c r="F66" s="575"/>
      <c r="G66" s="576"/>
      <c r="H66" s="575"/>
      <c r="I66" s="575"/>
      <c r="J66" s="575"/>
      <c r="K66" s="575"/>
      <c r="L66" s="576"/>
      <c r="M66" s="575"/>
      <c r="N66" s="577" t="str">
        <f>IF(OR(M66=0,M66="")," ",[43]!Arp(K66,M66,ARP_Threshold))</f>
        <v xml:space="preserve"> </v>
      </c>
      <c r="O66" s="578" t="str">
        <f>IF(AND(K66="",M66="")," ",[43]!Ara(K66,M66,ARA_Threshold))</f>
        <v xml:space="preserve"> </v>
      </c>
    </row>
    <row r="67" spans="1:15" s="580" customFormat="1" ht="15" customHeight="1" outlineLevel="2">
      <c r="A67" s="580" t="s">
        <v>132</v>
      </c>
      <c r="B67" s="585" t="s">
        <v>764</v>
      </c>
      <c r="C67" s="585" t="s">
        <v>133</v>
      </c>
      <c r="D67" s="587" t="s">
        <v>1572</v>
      </c>
      <c r="E67" s="580" t="s">
        <v>134</v>
      </c>
      <c r="F67" s="575">
        <v>0</v>
      </c>
      <c r="G67" s="576"/>
      <c r="H67" s="575">
        <v>0</v>
      </c>
      <c r="I67" s="575">
        <v>0</v>
      </c>
      <c r="J67" s="575">
        <v>0</v>
      </c>
      <c r="K67">
        <v>430367.16668000002</v>
      </c>
      <c r="L67" s="576"/>
      <c r="M67" s="575">
        <v>0</v>
      </c>
      <c r="N67" s="577" t="str">
        <f>IF(OR(M67=0,M67="")," ",[43]!Arp(K67,M67,ARP_Threshold))</f>
        <v xml:space="preserve"> </v>
      </c>
      <c r="O67" s="578" t="e">
        <f ca="1">IF(AND(K67="",M67="")," ",[43]!Ara(K67,M67,ARA_Threshold))</f>
        <v>#NAME?</v>
      </c>
    </row>
    <row r="68" spans="1:15" s="580" customFormat="1" ht="15.75" customHeight="1" outlineLevel="2" thickBot="1">
      <c r="A68" s="580" t="s">
        <v>135</v>
      </c>
      <c r="B68" s="585" t="s">
        <v>764</v>
      </c>
      <c r="C68" s="585" t="s">
        <v>133</v>
      </c>
      <c r="D68" s="587" t="s">
        <v>1573</v>
      </c>
      <c r="E68" s="580" t="s">
        <v>136</v>
      </c>
      <c r="F68" s="590">
        <v>0</v>
      </c>
      <c r="G68" s="584"/>
      <c r="H68" s="590">
        <v>0</v>
      </c>
      <c r="I68" s="590">
        <v>0</v>
      </c>
      <c r="J68" s="590">
        <v>0</v>
      </c>
      <c r="K68">
        <v>-29695.80385</v>
      </c>
      <c r="L68" s="584"/>
      <c r="M68" s="590">
        <v>0</v>
      </c>
      <c r="N68" s="577" t="str">
        <f>IF(OR(M68=0,M68="")," ",[43]!Arp(K68,M68,ARP_Threshold))</f>
        <v xml:space="preserve"> </v>
      </c>
      <c r="O68" s="578" t="e">
        <f ca="1">IF(AND(K68="",M68="")," ",[43]!Ara(K68,M68,ARA_Threshold))</f>
        <v>#NAME?</v>
      </c>
    </row>
    <row r="69" spans="1:15" s="580" customFormat="1" ht="16.5" outlineLevel="1" thickTop="1" thickBot="1">
      <c r="A69" s="580" t="s">
        <v>137</v>
      </c>
      <c r="B69" s="585" t="s">
        <v>764</v>
      </c>
      <c r="C69" s="585" t="s">
        <v>133</v>
      </c>
      <c r="D69" s="587" t="s">
        <v>764</v>
      </c>
      <c r="E69" s="589" t="s">
        <v>138</v>
      </c>
      <c r="F69" s="595">
        <v>0</v>
      </c>
      <c r="G69" s="576"/>
      <c r="H69" s="595">
        <v>0</v>
      </c>
      <c r="I69" s="595">
        <v>0</v>
      </c>
      <c r="J69" s="595">
        <v>0</v>
      </c>
      <c r="K69" s="1321">
        <f>SUM(K67:K68)</f>
        <v>400671.36283</v>
      </c>
      <c r="L69" s="576"/>
      <c r="M69" s="595">
        <v>0</v>
      </c>
      <c r="N69" s="577" t="str">
        <f>IF(OR(M69=0,M69="")," ",[43]!Arp(K69,M69,ARP_Threshold))</f>
        <v xml:space="preserve"> </v>
      </c>
      <c r="O69" s="578" t="e">
        <f ca="1">IF(AND(K69="",M69="")," ",[43]!Ara(K69,M69,ARA_Threshold))</f>
        <v>#NAME?</v>
      </c>
    </row>
    <row r="70" spans="1:15" s="580" customFormat="1" ht="15.75" outlineLevel="1" thickTop="1">
      <c r="A70" s="580" t="s">
        <v>139</v>
      </c>
      <c r="B70" s="585" t="s">
        <v>764</v>
      </c>
      <c r="C70" s="585" t="s">
        <v>764</v>
      </c>
      <c r="D70" s="587" t="s">
        <v>764</v>
      </c>
      <c r="F70" s="575"/>
      <c r="G70" s="576"/>
      <c r="H70" s="575"/>
      <c r="I70" s="575"/>
      <c r="J70" s="575"/>
      <c r="K70" s="575"/>
      <c r="L70" s="576"/>
      <c r="M70" s="575"/>
      <c r="N70" s="577" t="str">
        <f>IF(OR(M70=0,M70="")," ",[43]!Arp(K70,M70,ARP_Threshold))</f>
        <v xml:space="preserve"> </v>
      </c>
      <c r="O70" s="578" t="str">
        <f>IF(AND(K70="",M70="")," ",[43]!Ara(K70,M70,ARA_Threshold))</f>
        <v xml:space="preserve"> </v>
      </c>
    </row>
    <row r="71" spans="1:15" s="580" customFormat="1" ht="15.75" customHeight="1" outlineLevel="2" thickBot="1">
      <c r="A71" s="580" t="s">
        <v>140</v>
      </c>
      <c r="B71" s="585" t="s">
        <v>764</v>
      </c>
      <c r="C71" s="585" t="s">
        <v>141</v>
      </c>
      <c r="D71" s="587" t="s">
        <v>1574</v>
      </c>
      <c r="E71" s="580" t="s">
        <v>142</v>
      </c>
      <c r="F71" s="590">
        <v>75000</v>
      </c>
      <c r="G71" s="584"/>
      <c r="H71" s="590">
        <v>0</v>
      </c>
      <c r="I71" s="590">
        <v>75000</v>
      </c>
      <c r="J71" s="590">
        <v>0</v>
      </c>
      <c r="K71" s="590">
        <v>0</v>
      </c>
      <c r="L71" s="584"/>
      <c r="M71" s="590">
        <v>0</v>
      </c>
      <c r="N71" s="577" t="str">
        <f>IF(OR(M71=0,M71="")," ",[43]!Arp(K71,M71,ARP_Threshold))</f>
        <v xml:space="preserve"> </v>
      </c>
      <c r="O71" s="578" t="e">
        <f ca="1">IF(AND(K71="",M71="")," ",[43]!Ara(K71,M71,ARA_Threshold))</f>
        <v>#NAME?</v>
      </c>
    </row>
    <row r="72" spans="1:15" s="580" customFormat="1" ht="15.75" customHeight="1" outlineLevel="2" thickTop="1" thickBot="1">
      <c r="A72" s="580" t="s">
        <v>1544</v>
      </c>
      <c r="B72" s="585" t="s">
        <v>764</v>
      </c>
      <c r="C72" s="585" t="s">
        <v>141</v>
      </c>
      <c r="D72" s="587" t="s">
        <v>1546</v>
      </c>
      <c r="E72" s="587" t="s">
        <v>1545</v>
      </c>
      <c r="F72" s="713">
        <v>-1862</v>
      </c>
      <c r="G72" s="584"/>
      <c r="H72" s="713">
        <v>0</v>
      </c>
      <c r="I72" s="713">
        <v>-1862</v>
      </c>
      <c r="J72" s="713">
        <v>0</v>
      </c>
      <c r="K72" s="713">
        <v>-5.8999999999999997E-2</v>
      </c>
      <c r="L72" s="584"/>
      <c r="M72" s="713">
        <v>0</v>
      </c>
      <c r="N72" s="577" t="str">
        <f>IF(OR(M72=0,M72="")," ",[43]!Arp(K72,M72,ARP_Threshold))</f>
        <v xml:space="preserve"> </v>
      </c>
      <c r="O72" s="578" t="e">
        <f ca="1">IF(AND(K72="",M72="")," ",[43]!Ara(K72,M72,ARA_Threshold))</f>
        <v>#NAME?</v>
      </c>
    </row>
    <row r="73" spans="1:15" s="580" customFormat="1" ht="16.5" outlineLevel="1" thickTop="1" thickBot="1">
      <c r="A73" s="580" t="s">
        <v>143</v>
      </c>
      <c r="B73" s="585" t="s">
        <v>764</v>
      </c>
      <c r="C73" s="585" t="s">
        <v>141</v>
      </c>
      <c r="D73" s="587" t="s">
        <v>764</v>
      </c>
      <c r="E73" s="589" t="s">
        <v>144</v>
      </c>
      <c r="F73" s="595">
        <v>73138</v>
      </c>
      <c r="G73" s="576"/>
      <c r="H73" s="595">
        <v>0</v>
      </c>
      <c r="I73" s="595">
        <v>73138</v>
      </c>
      <c r="J73" s="595">
        <v>0</v>
      </c>
      <c r="K73" s="595">
        <v>0</v>
      </c>
      <c r="L73" s="576"/>
      <c r="M73" s="595">
        <v>0</v>
      </c>
      <c r="N73" s="577" t="str">
        <f>IF(OR(M73=0,M73="")," ",[43]!Arp(K73,M73,ARP_Threshold))</f>
        <v xml:space="preserve"> </v>
      </c>
      <c r="O73" s="578" t="e">
        <f ca="1">IF(AND(K73="",M73="")," ",[43]!Ara(K73,M73,ARA_Threshold))</f>
        <v>#NAME?</v>
      </c>
    </row>
    <row r="74" spans="1:15" s="580" customFormat="1" ht="15.75" outlineLevel="1" thickTop="1">
      <c r="A74" s="580" t="s">
        <v>145</v>
      </c>
      <c r="B74" s="585" t="s">
        <v>764</v>
      </c>
      <c r="C74" s="585" t="s">
        <v>764</v>
      </c>
      <c r="D74" s="587" t="s">
        <v>764</v>
      </c>
      <c r="F74" s="575"/>
      <c r="G74" s="576"/>
      <c r="H74" s="575"/>
      <c r="I74" s="575"/>
      <c r="J74" s="575"/>
      <c r="K74" s="575"/>
      <c r="L74" s="576"/>
      <c r="M74" s="575"/>
      <c r="N74" s="577" t="str">
        <f>IF(OR(M74=0,M74="")," ",[43]!Arp(K74,M74,ARP_Threshold))</f>
        <v xml:space="preserve"> </v>
      </c>
      <c r="O74" s="578" t="str">
        <f>IF(AND(K74="",M74="")," ",[43]!Ara(K74,M74,ARA_Threshold))</f>
        <v xml:space="preserve"> </v>
      </c>
    </row>
    <row r="75" spans="1:15" s="580" customFormat="1" ht="15.75" customHeight="1" outlineLevel="2" thickBot="1">
      <c r="A75" s="580" t="s">
        <v>146</v>
      </c>
      <c r="B75" s="585" t="s">
        <v>764</v>
      </c>
      <c r="C75" s="585" t="s">
        <v>147</v>
      </c>
      <c r="D75" s="587" t="s">
        <v>1575</v>
      </c>
      <c r="E75" s="580" t="s">
        <v>148</v>
      </c>
      <c r="F75" s="590">
        <v>0</v>
      </c>
      <c r="G75" s="584"/>
      <c r="H75" s="590">
        <v>0</v>
      </c>
      <c r="I75" s="590">
        <v>0</v>
      </c>
      <c r="J75" s="590">
        <v>0</v>
      </c>
      <c r="K75" s="590">
        <v>0</v>
      </c>
      <c r="L75" s="584"/>
      <c r="M75" s="590">
        <v>0</v>
      </c>
      <c r="N75" s="577" t="str">
        <f>IF(OR(M75=0,M75="")," ",[43]!Arp(K75,M75,ARP_Threshold))</f>
        <v xml:space="preserve"> </v>
      </c>
      <c r="O75" s="578" t="e">
        <f ca="1">IF(AND(K75="",M75="")," ",[43]!Ara(K75,M75,ARA_Threshold))</f>
        <v>#NAME?</v>
      </c>
    </row>
    <row r="76" spans="1:15" s="580" customFormat="1" ht="16.5" outlineLevel="1" thickTop="1" thickBot="1">
      <c r="A76" s="580" t="s">
        <v>149</v>
      </c>
      <c r="B76" s="585" t="s">
        <v>764</v>
      </c>
      <c r="C76" s="585" t="s">
        <v>147</v>
      </c>
      <c r="D76" s="587" t="s">
        <v>764</v>
      </c>
      <c r="E76" s="589" t="s">
        <v>150</v>
      </c>
      <c r="F76" s="595">
        <v>0</v>
      </c>
      <c r="G76" s="576"/>
      <c r="H76" s="595">
        <v>0</v>
      </c>
      <c r="I76" s="595">
        <v>0</v>
      </c>
      <c r="J76" s="595">
        <v>0</v>
      </c>
      <c r="K76" s="595">
        <v>0</v>
      </c>
      <c r="L76" s="576"/>
      <c r="M76" s="595">
        <v>0</v>
      </c>
      <c r="N76" s="577" t="str">
        <f>IF(OR(M76=0,M76="")," ",[43]!Arp(K76,M76,ARP_Threshold))</f>
        <v xml:space="preserve"> </v>
      </c>
      <c r="O76" s="578" t="e">
        <f ca="1">IF(AND(K76="",M76="")," ",[43]!Ara(K76,M76,ARA_Threshold))</f>
        <v>#NAME?</v>
      </c>
    </row>
    <row r="77" spans="1:15" s="580" customFormat="1" ht="15.75" outlineLevel="1" thickTop="1">
      <c r="A77" s="580" t="s">
        <v>151</v>
      </c>
      <c r="B77" s="585" t="s">
        <v>764</v>
      </c>
      <c r="C77" s="585" t="s">
        <v>764</v>
      </c>
      <c r="D77" s="587" t="s">
        <v>764</v>
      </c>
      <c r="F77" s="575"/>
      <c r="G77" s="576"/>
      <c r="H77" s="575"/>
      <c r="I77" s="575"/>
      <c r="J77" s="575"/>
      <c r="K77" s="575"/>
      <c r="L77" s="576"/>
      <c r="M77" s="575"/>
      <c r="N77" s="577" t="str">
        <f>IF(OR(M77=0,M77="")," ",[43]!Arp(K77,M77,ARP_Threshold))</f>
        <v xml:space="preserve"> </v>
      </c>
      <c r="O77" s="578" t="str">
        <f>IF(AND(K77="",M77="")," ",[43]!Ara(K77,M77,ARA_Threshold))</f>
        <v xml:space="preserve"> </v>
      </c>
    </row>
    <row r="78" spans="1:15" s="580" customFormat="1" ht="15.75" customHeight="1" outlineLevel="2" thickBot="1">
      <c r="A78" s="580" t="s">
        <v>152</v>
      </c>
      <c r="B78" s="585" t="s">
        <v>764</v>
      </c>
      <c r="C78" s="585" t="s">
        <v>153</v>
      </c>
      <c r="D78" s="587" t="s">
        <v>1576</v>
      </c>
      <c r="E78" s="580" t="s">
        <v>154</v>
      </c>
      <c r="F78" s="590">
        <v>0</v>
      </c>
      <c r="G78" s="584"/>
      <c r="H78" s="590">
        <v>0</v>
      </c>
      <c r="I78" s="590">
        <v>0</v>
      </c>
      <c r="J78" s="590">
        <v>0</v>
      </c>
      <c r="K78" s="590">
        <v>30737.00505</v>
      </c>
      <c r="L78" s="584"/>
      <c r="M78" s="590">
        <v>0</v>
      </c>
      <c r="N78" s="577" t="str">
        <f>IF(OR(M78=0,M78="")," ",[43]!Arp(K78,M78,ARP_Threshold))</f>
        <v xml:space="preserve"> </v>
      </c>
      <c r="O78" s="578" t="e">
        <f ca="1">IF(AND(K78="",M78="")," ",[43]!Ara(K78,M78,ARA_Threshold))</f>
        <v>#NAME?</v>
      </c>
    </row>
    <row r="79" spans="1:15" s="580" customFormat="1" ht="16.5" outlineLevel="1" thickTop="1" thickBot="1">
      <c r="A79" s="580" t="s">
        <v>155</v>
      </c>
      <c r="B79" s="585" t="s">
        <v>764</v>
      </c>
      <c r="C79" s="585" t="s">
        <v>153</v>
      </c>
      <c r="D79" s="587" t="s">
        <v>764</v>
      </c>
      <c r="E79" s="589" t="s">
        <v>156</v>
      </c>
      <c r="F79" s="595">
        <v>0</v>
      </c>
      <c r="G79" s="576"/>
      <c r="H79" s="595">
        <v>0</v>
      </c>
      <c r="I79" s="595">
        <v>0</v>
      </c>
      <c r="J79" s="595">
        <v>0</v>
      </c>
      <c r="K79" s="1316">
        <f>SUM(K78)</f>
        <v>30737.00505</v>
      </c>
      <c r="L79" s="576"/>
      <c r="M79" s="595">
        <v>0</v>
      </c>
      <c r="N79" s="577" t="str">
        <f>IF(OR(M79=0,M79="")," ",[43]!Arp(K79,M79,ARP_Threshold))</f>
        <v xml:space="preserve"> </v>
      </c>
      <c r="O79" s="578" t="e">
        <f ca="1">IF(AND(K79="",M79="")," ",[43]!Ara(K79,M79,ARA_Threshold))</f>
        <v>#NAME?</v>
      </c>
    </row>
    <row r="80" spans="1:15" s="580" customFormat="1" ht="15.75" outlineLevel="1" thickTop="1">
      <c r="A80" s="580" t="s">
        <v>157</v>
      </c>
      <c r="B80" s="585" t="s">
        <v>764</v>
      </c>
      <c r="C80" s="585" t="s">
        <v>764</v>
      </c>
      <c r="D80" s="587" t="s">
        <v>764</v>
      </c>
      <c r="F80" s="575"/>
      <c r="G80" s="576"/>
      <c r="H80" s="575"/>
      <c r="I80" s="575"/>
      <c r="J80" s="575"/>
      <c r="K80" s="575"/>
      <c r="L80" s="576"/>
      <c r="M80" s="575"/>
      <c r="N80" s="577" t="str">
        <f>IF(OR(M80=0,M80="")," ",[43]!Arp(K80,M80,ARP_Threshold))</f>
        <v xml:space="preserve"> </v>
      </c>
      <c r="O80" s="578" t="str">
        <f>IF(AND(K80="",M80="")," ",[43]!Ara(K80,M80,ARA_Threshold))</f>
        <v xml:space="preserve"> </v>
      </c>
    </row>
    <row r="81" spans="1:15" s="580" customFormat="1" ht="15.75" customHeight="1" outlineLevel="2" thickBot="1">
      <c r="A81" s="580" t="s">
        <v>158</v>
      </c>
      <c r="B81" s="585" t="s">
        <v>764</v>
      </c>
      <c r="C81" s="585" t="s">
        <v>159</v>
      </c>
      <c r="D81" s="587" t="s">
        <v>1577</v>
      </c>
      <c r="E81" s="580" t="s">
        <v>160</v>
      </c>
      <c r="F81" s="590">
        <v>0</v>
      </c>
      <c r="G81" s="584"/>
      <c r="H81" s="590">
        <v>0</v>
      </c>
      <c r="I81" s="590">
        <v>0</v>
      </c>
      <c r="J81" s="590">
        <v>0</v>
      </c>
      <c r="K81">
        <v>0</v>
      </c>
      <c r="L81" s="584"/>
      <c r="M81" s="590">
        <v>0</v>
      </c>
      <c r="N81" s="577" t="str">
        <f>IF(OR(M81=0,M81="")," ",[43]!Arp(K81,M81,ARP_Threshold))</f>
        <v xml:space="preserve"> </v>
      </c>
      <c r="O81" s="578" t="e">
        <f ca="1">IF(AND(K81="",M81="")," ",[43]!Ara(K81,M81,ARA_Threshold))</f>
        <v>#NAME?</v>
      </c>
    </row>
    <row r="82" spans="1:15" s="580" customFormat="1" ht="16.5" outlineLevel="1" thickTop="1" thickBot="1">
      <c r="A82" s="580" t="s">
        <v>161</v>
      </c>
      <c r="B82" s="585" t="s">
        <v>764</v>
      </c>
      <c r="C82" s="585" t="s">
        <v>159</v>
      </c>
      <c r="D82" s="587" t="s">
        <v>764</v>
      </c>
      <c r="E82" s="589" t="s">
        <v>162</v>
      </c>
      <c r="F82" s="595">
        <v>0</v>
      </c>
      <c r="G82" s="576"/>
      <c r="H82" s="595">
        <v>0</v>
      </c>
      <c r="I82" s="595">
        <v>0</v>
      </c>
      <c r="J82" s="595">
        <v>0</v>
      </c>
      <c r="K82" s="1322">
        <v>1395</v>
      </c>
      <c r="L82" s="576"/>
      <c r="M82" s="595">
        <v>0</v>
      </c>
      <c r="N82" s="577" t="str">
        <f>IF(OR(M82=0,M82="")," ",[43]!Arp(K82,M82,ARP_Threshold))</f>
        <v xml:space="preserve"> </v>
      </c>
      <c r="O82" s="578" t="e">
        <f ca="1">IF(AND(K82="",M82="")," ",[43]!Ara(K82,M82,ARA_Threshold))</f>
        <v>#NAME?</v>
      </c>
    </row>
    <row r="83" spans="1:15" s="580" customFormat="1" ht="15.75" outlineLevel="1" thickTop="1">
      <c r="A83" s="580" t="s">
        <v>163</v>
      </c>
      <c r="B83" s="585" t="s">
        <v>764</v>
      </c>
      <c r="C83" s="585" t="s">
        <v>764</v>
      </c>
      <c r="D83" s="587" t="s">
        <v>764</v>
      </c>
      <c r="F83" s="575"/>
      <c r="G83" s="576"/>
      <c r="H83" s="575"/>
      <c r="I83" s="575"/>
      <c r="J83" s="575"/>
      <c r="K83" s="575"/>
      <c r="L83" s="576"/>
      <c r="M83" s="575"/>
      <c r="N83" s="577" t="str">
        <f>IF(OR(M83=0,M83="")," ",[43]!Arp(K83,M83,ARP_Threshold))</f>
        <v xml:space="preserve"> </v>
      </c>
      <c r="O83" s="578" t="str">
        <f>IF(AND(K83="",M83="")," ",[43]!Ara(K83,M83,ARA_Threshold))</f>
        <v xml:space="preserve"> </v>
      </c>
    </row>
    <row r="84" spans="1:15" s="580" customFormat="1" ht="15" customHeight="1" outlineLevel="2">
      <c r="A84" s="580" t="s">
        <v>164</v>
      </c>
      <c r="B84" s="585" t="s">
        <v>764</v>
      </c>
      <c r="C84" s="585" t="s">
        <v>165</v>
      </c>
      <c r="D84" s="587" t="s">
        <v>790</v>
      </c>
      <c r="E84" s="580" t="s">
        <v>166</v>
      </c>
      <c r="F84" s="575">
        <v>1765</v>
      </c>
      <c r="G84" s="576"/>
      <c r="H84" s="575">
        <v>0</v>
      </c>
      <c r="I84" s="575">
        <v>1765</v>
      </c>
      <c r="J84" s="575">
        <v>0</v>
      </c>
      <c r="K84" s="575">
        <v>435.94936999999999</v>
      </c>
      <c r="L84" s="576"/>
      <c r="M84" s="575">
        <v>2711</v>
      </c>
      <c r="N84" s="577" t="e">
        <f ca="1">IF(OR(M84=0,M84="")," ",[43]!Arp(K84,M84,ARP_Threshold))</f>
        <v>#NAME?</v>
      </c>
      <c r="O84" s="578" t="e">
        <f ca="1">IF(AND(K84="",M84="")," ",[43]!Ara(K84,M84,ARA_Threshold))</f>
        <v>#NAME?</v>
      </c>
    </row>
    <row r="85" spans="1:15" s="580" customFormat="1" ht="15" customHeight="1" outlineLevel="2">
      <c r="A85" s="580" t="s">
        <v>167</v>
      </c>
      <c r="B85" s="585" t="s">
        <v>764</v>
      </c>
      <c r="C85" s="585" t="s">
        <v>165</v>
      </c>
      <c r="D85" s="587" t="s">
        <v>791</v>
      </c>
      <c r="E85" s="580" t="s">
        <v>168</v>
      </c>
      <c r="F85" s="575">
        <v>6</v>
      </c>
      <c r="G85" s="576"/>
      <c r="H85" s="575">
        <v>0</v>
      </c>
      <c r="I85" s="575">
        <v>6</v>
      </c>
      <c r="J85" s="575">
        <v>0</v>
      </c>
      <c r="K85" s="575">
        <v>6.0475200000000005</v>
      </c>
      <c r="L85" s="576"/>
      <c r="M85" s="575">
        <v>66</v>
      </c>
      <c r="N85" s="577" t="e">
        <f ca="1">IF(OR(M85=0,M85="")," ",[43]!Arp(K85,M85,ARP_Threshold))</f>
        <v>#NAME?</v>
      </c>
      <c r="O85" s="578" t="e">
        <f ca="1">IF(AND(K85="",M85="")," ",[43]!Ara(K85,M85,ARA_Threshold))</f>
        <v>#NAME?</v>
      </c>
    </row>
    <row r="86" spans="1:15" s="580" customFormat="1" ht="15" customHeight="1" outlineLevel="2">
      <c r="A86" s="580" t="s">
        <v>169</v>
      </c>
      <c r="B86" s="585" t="s">
        <v>764</v>
      </c>
      <c r="C86" s="585" t="s">
        <v>165</v>
      </c>
      <c r="D86" s="587" t="s">
        <v>1578</v>
      </c>
      <c r="E86" s="580" t="s">
        <v>170</v>
      </c>
      <c r="F86" s="575">
        <v>0</v>
      </c>
      <c r="G86" s="576"/>
      <c r="H86" s="575">
        <v>0</v>
      </c>
      <c r="I86" s="575">
        <v>0</v>
      </c>
      <c r="J86" s="575">
        <v>0</v>
      </c>
      <c r="K86" s="575">
        <v>0</v>
      </c>
      <c r="L86" s="576"/>
      <c r="M86" s="575">
        <v>0</v>
      </c>
      <c r="N86" s="577" t="str">
        <f>IF(OR(M86=0,M86="")," ",[43]!Arp(K86,M86,ARP_Threshold))</f>
        <v xml:space="preserve"> </v>
      </c>
      <c r="O86" s="578" t="e">
        <f ca="1">IF(AND(K86="",M86="")," ",[43]!Ara(K86,M86,ARA_Threshold))</f>
        <v>#NAME?</v>
      </c>
    </row>
    <row r="87" spans="1:15" s="580" customFormat="1" ht="15" customHeight="1" outlineLevel="2">
      <c r="A87" s="580" t="s">
        <v>171</v>
      </c>
      <c r="B87" s="585" t="s">
        <v>764</v>
      </c>
      <c r="C87" s="585" t="s">
        <v>165</v>
      </c>
      <c r="D87" s="587" t="s">
        <v>792</v>
      </c>
      <c r="E87" s="580" t="s">
        <v>172</v>
      </c>
      <c r="F87" s="575">
        <v>51</v>
      </c>
      <c r="G87" s="576"/>
      <c r="H87" s="575">
        <v>0</v>
      </c>
      <c r="I87" s="575">
        <v>51</v>
      </c>
      <c r="J87" s="575">
        <v>0</v>
      </c>
      <c r="K87" s="575">
        <v>495.91422999999998</v>
      </c>
      <c r="L87" s="576"/>
      <c r="M87" s="575">
        <v>18</v>
      </c>
      <c r="N87" s="577" t="e">
        <f ca="1">IF(OR(M87=0,M87="")," ",[43]!Arp(K87,M87,ARP_Threshold))</f>
        <v>#NAME?</v>
      </c>
      <c r="O87" s="578" t="e">
        <f ca="1">IF(AND(K87="",M87="")," ",[43]!Ara(K87,M87,ARA_Threshold))</f>
        <v>#NAME?</v>
      </c>
    </row>
    <row r="88" spans="1:15" s="580" customFormat="1" ht="15" customHeight="1" outlineLevel="2">
      <c r="A88" s="580" t="s">
        <v>173</v>
      </c>
      <c r="B88" s="585" t="s">
        <v>764</v>
      </c>
      <c r="C88" s="585" t="s">
        <v>165</v>
      </c>
      <c r="D88" s="587" t="s">
        <v>793</v>
      </c>
      <c r="E88" s="580" t="s">
        <v>174</v>
      </c>
      <c r="F88" s="575">
        <v>315</v>
      </c>
      <c r="G88" s="576"/>
      <c r="H88" s="575">
        <v>0</v>
      </c>
      <c r="I88" s="575">
        <v>315</v>
      </c>
      <c r="J88" s="575">
        <v>0</v>
      </c>
      <c r="K88" s="575">
        <v>26.424700000000001</v>
      </c>
      <c r="L88" s="576"/>
      <c r="M88" s="575">
        <v>25</v>
      </c>
      <c r="N88" s="577" t="e">
        <f ca="1">IF(OR(M88=0,M88="")," ",[43]!Arp(K88,M88,ARP_Threshold))</f>
        <v>#NAME?</v>
      </c>
      <c r="O88" s="578" t="e">
        <f ca="1">IF(AND(K88="",M88="")," ",[43]!Ara(K88,M88,ARA_Threshold))</f>
        <v>#NAME?</v>
      </c>
    </row>
    <row r="89" spans="1:15" s="580" customFormat="1" ht="15" customHeight="1" outlineLevel="2">
      <c r="A89" s="580" t="s">
        <v>175</v>
      </c>
      <c r="B89" s="585" t="s">
        <v>764</v>
      </c>
      <c r="C89" s="585" t="s">
        <v>165</v>
      </c>
      <c r="D89" s="587" t="s">
        <v>794</v>
      </c>
      <c r="E89" s="580" t="s">
        <v>176</v>
      </c>
      <c r="F89" s="575">
        <v>11</v>
      </c>
      <c r="G89" s="576"/>
      <c r="H89" s="575">
        <v>0</v>
      </c>
      <c r="I89" s="575">
        <v>11</v>
      </c>
      <c r="J89" s="575">
        <v>0</v>
      </c>
      <c r="K89" s="575">
        <v>31.117360000000001</v>
      </c>
      <c r="L89" s="576"/>
      <c r="M89" s="575">
        <v>167</v>
      </c>
      <c r="N89" s="577" t="e">
        <f ca="1">IF(OR(M89=0,M89="")," ",[43]!Arp(K89,M89,ARP_Threshold))</f>
        <v>#NAME?</v>
      </c>
      <c r="O89" s="578" t="e">
        <f ca="1">IF(AND(K89="",M89="")," ",[43]!Ara(K89,M89,ARA_Threshold))</f>
        <v>#NAME?</v>
      </c>
    </row>
    <row r="90" spans="1:15" s="580" customFormat="1" ht="15" customHeight="1" outlineLevel="2">
      <c r="A90" s="580" t="s">
        <v>177</v>
      </c>
      <c r="B90" s="585" t="s">
        <v>764</v>
      </c>
      <c r="C90" s="585" t="s">
        <v>165</v>
      </c>
      <c r="D90" s="587" t="s">
        <v>1579</v>
      </c>
      <c r="E90" s="580" t="s">
        <v>180</v>
      </c>
      <c r="F90" s="575">
        <v>0</v>
      </c>
      <c r="G90" s="576"/>
      <c r="H90" s="575">
        <v>0</v>
      </c>
      <c r="I90" s="575">
        <v>0</v>
      </c>
      <c r="J90" s="575">
        <v>0</v>
      </c>
      <c r="K90" s="575">
        <v>7.3999999999999999E-4</v>
      </c>
      <c r="L90" s="576"/>
      <c r="M90" s="575">
        <v>0</v>
      </c>
      <c r="N90" s="577" t="str">
        <f>IF(OR(M90=0,M90="")," ",[43]!Arp(K90,M90,ARP_Threshold))</f>
        <v xml:space="preserve"> </v>
      </c>
      <c r="O90" s="578" t="e">
        <f ca="1">IF(AND(K90="",M90="")," ",[43]!Ara(K90,M90,ARA_Threshold))</f>
        <v>#NAME?</v>
      </c>
    </row>
    <row r="91" spans="1:15" s="580" customFormat="1" ht="15" customHeight="1" outlineLevel="2">
      <c r="A91" s="580" t="s">
        <v>178</v>
      </c>
      <c r="B91" s="585" t="s">
        <v>764</v>
      </c>
      <c r="C91" s="585" t="s">
        <v>165</v>
      </c>
      <c r="D91" s="587" t="s">
        <v>795</v>
      </c>
      <c r="E91" s="580" t="s">
        <v>182</v>
      </c>
      <c r="F91" s="575">
        <v>0</v>
      </c>
      <c r="G91" s="576"/>
      <c r="H91" s="575">
        <v>0</v>
      </c>
      <c r="I91" s="575">
        <v>0</v>
      </c>
      <c r="J91" s="575">
        <v>0</v>
      </c>
      <c r="K91" s="575">
        <v>3.5100000000000001E-3</v>
      </c>
      <c r="L91" s="576"/>
      <c r="M91" s="575">
        <v>0</v>
      </c>
      <c r="N91" s="577" t="str">
        <f>IF(OR(M91=0,M91="")," ",[43]!Arp(K91,M91,ARP_Threshold))</f>
        <v xml:space="preserve"> </v>
      </c>
      <c r="O91" s="578" t="e">
        <f ca="1">IF(AND(K91="",M91="")," ",[43]!Ara(K91,M91,ARA_Threshold))</f>
        <v>#NAME?</v>
      </c>
    </row>
    <row r="92" spans="1:15" s="580" customFormat="1" ht="15" customHeight="1" outlineLevel="2">
      <c r="A92" s="580" t="s">
        <v>179</v>
      </c>
      <c r="B92" s="585" t="s">
        <v>764</v>
      </c>
      <c r="C92" s="585" t="s">
        <v>165</v>
      </c>
      <c r="D92" s="587" t="s">
        <v>796</v>
      </c>
      <c r="E92" s="580" t="s">
        <v>184</v>
      </c>
      <c r="F92" s="575">
        <v>0</v>
      </c>
      <c r="G92" s="576"/>
      <c r="H92" s="575">
        <v>0</v>
      </c>
      <c r="I92" s="575">
        <v>0</v>
      </c>
      <c r="J92" s="575">
        <v>0</v>
      </c>
      <c r="K92" s="575">
        <v>1.5E-3</v>
      </c>
      <c r="L92" s="576"/>
      <c r="M92" s="575">
        <v>0</v>
      </c>
      <c r="N92" s="577" t="str">
        <f>IF(OR(M92=0,M92="")," ",[43]!Arp(K92,M92,ARP_Threshold))</f>
        <v xml:space="preserve"> </v>
      </c>
      <c r="O92" s="578" t="e">
        <f ca="1">IF(AND(K92="",M92="")," ",[43]!Ara(K92,M92,ARA_Threshold))</f>
        <v>#NAME?</v>
      </c>
    </row>
    <row r="93" spans="1:15" s="580" customFormat="1" ht="15" customHeight="1" outlineLevel="2">
      <c r="A93" s="580" t="s">
        <v>181</v>
      </c>
      <c r="B93" s="585" t="s">
        <v>764</v>
      </c>
      <c r="C93" s="585" t="s">
        <v>165</v>
      </c>
      <c r="D93" s="587" t="s">
        <v>797</v>
      </c>
      <c r="E93" s="580" t="s">
        <v>186</v>
      </c>
      <c r="F93" s="575">
        <v>0</v>
      </c>
      <c r="G93" s="576"/>
      <c r="H93" s="575">
        <v>0</v>
      </c>
      <c r="I93" s="575">
        <v>0</v>
      </c>
      <c r="J93" s="575">
        <v>0</v>
      </c>
      <c r="K93" s="575">
        <v>693.12065000000007</v>
      </c>
      <c r="L93" s="576"/>
      <c r="M93" s="575">
        <v>642</v>
      </c>
      <c r="N93" s="577" t="e">
        <f ca="1">IF(OR(M93=0,M93="")," ",[43]!Arp(K93,M93,ARP_Threshold))</f>
        <v>#NAME?</v>
      </c>
      <c r="O93" s="578" t="e">
        <f ca="1">IF(AND(K93="",M93="")," ",[43]!Ara(K93,M93,ARA_Threshold))</f>
        <v>#NAME?</v>
      </c>
    </row>
    <row r="94" spans="1:15" s="580" customFormat="1" ht="15" customHeight="1" outlineLevel="2">
      <c r="A94" s="580" t="s">
        <v>183</v>
      </c>
      <c r="B94" s="585" t="s">
        <v>764</v>
      </c>
      <c r="C94" s="585" t="s">
        <v>165</v>
      </c>
      <c r="D94" s="587" t="s">
        <v>798</v>
      </c>
      <c r="E94" s="580" t="s">
        <v>188</v>
      </c>
      <c r="F94" s="575">
        <v>0</v>
      </c>
      <c r="G94" s="576"/>
      <c r="H94" s="575">
        <v>0</v>
      </c>
      <c r="I94" s="575">
        <v>0</v>
      </c>
      <c r="J94" s="575">
        <v>0</v>
      </c>
      <c r="K94" s="575">
        <v>7.3999999999999999E-4</v>
      </c>
      <c r="L94" s="576"/>
      <c r="M94" s="575">
        <v>0</v>
      </c>
      <c r="N94" s="577" t="str">
        <f>IF(OR(M94=0,M94="")," ",[43]!Arp(K94,M94,ARP_Threshold))</f>
        <v xml:space="preserve"> </v>
      </c>
      <c r="O94" s="578" t="e">
        <f ca="1">IF(AND(K94="",M94="")," ",[43]!Ara(K94,M94,ARA_Threshold))</f>
        <v>#NAME?</v>
      </c>
    </row>
    <row r="95" spans="1:15" s="580" customFormat="1" ht="15" customHeight="1" outlineLevel="2">
      <c r="A95" s="580" t="s">
        <v>185</v>
      </c>
      <c r="B95" s="585" t="s">
        <v>764</v>
      </c>
      <c r="C95" s="585" t="s">
        <v>165</v>
      </c>
      <c r="D95" s="587" t="s">
        <v>799</v>
      </c>
      <c r="E95" s="580" t="s">
        <v>190</v>
      </c>
      <c r="F95" s="575">
        <v>0</v>
      </c>
      <c r="G95" s="576"/>
      <c r="H95" s="575">
        <v>0</v>
      </c>
      <c r="I95" s="575">
        <v>0</v>
      </c>
      <c r="J95" s="575">
        <v>0</v>
      </c>
      <c r="K95" s="575">
        <v>6.2E-4</v>
      </c>
      <c r="L95" s="576"/>
      <c r="M95" s="575">
        <v>121</v>
      </c>
      <c r="N95" s="577" t="e">
        <f ca="1">IF(OR(M95=0,M95="")," ",[43]!Arp(K95,M95,ARP_Threshold))</f>
        <v>#NAME?</v>
      </c>
      <c r="O95" s="578" t="e">
        <f ca="1">IF(AND(K95="",M95="")," ",[43]!Ara(K95,M95,ARA_Threshold))</f>
        <v>#NAME?</v>
      </c>
    </row>
    <row r="96" spans="1:15" s="580" customFormat="1" ht="15" customHeight="1" outlineLevel="2">
      <c r="A96" s="580" t="s">
        <v>187</v>
      </c>
      <c r="B96" s="585" t="s">
        <v>764</v>
      </c>
      <c r="C96" s="585" t="s">
        <v>165</v>
      </c>
      <c r="D96" s="587" t="s">
        <v>800</v>
      </c>
      <c r="E96" s="580" t="s">
        <v>1548</v>
      </c>
      <c r="F96" s="575">
        <v>0</v>
      </c>
      <c r="G96" s="576"/>
      <c r="H96" s="575">
        <v>0</v>
      </c>
      <c r="I96" s="575">
        <v>0</v>
      </c>
      <c r="J96" s="575">
        <v>0</v>
      </c>
      <c r="K96" s="575">
        <v>335.899</v>
      </c>
      <c r="L96" s="576"/>
      <c r="M96" s="575">
        <v>0</v>
      </c>
      <c r="N96" s="577" t="str">
        <f>IF(OR(M96=0,M96="")," ",[43]!Arp(K96,M96,ARP_Threshold))</f>
        <v xml:space="preserve"> </v>
      </c>
      <c r="O96" s="578" t="e">
        <f ca="1">IF(AND(K96="",M96="")," ",[43]!Ara(K96,M96,ARA_Threshold))</f>
        <v>#NAME?</v>
      </c>
    </row>
    <row r="97" spans="1:17" s="580" customFormat="1" ht="15" customHeight="1" outlineLevel="2">
      <c r="A97" s="580" t="s">
        <v>189</v>
      </c>
      <c r="B97" s="585" t="s">
        <v>764</v>
      </c>
      <c r="C97" s="585" t="s">
        <v>165</v>
      </c>
      <c r="D97" s="587" t="s">
        <v>801</v>
      </c>
      <c r="E97" s="580" t="s">
        <v>191</v>
      </c>
      <c r="F97" s="575">
        <v>0</v>
      </c>
      <c r="G97" s="576"/>
      <c r="H97" s="575">
        <v>0</v>
      </c>
      <c r="I97" s="575">
        <v>0</v>
      </c>
      <c r="J97" s="575">
        <v>0</v>
      </c>
      <c r="K97" s="575">
        <v>2175.5275499999998</v>
      </c>
      <c r="L97" s="576"/>
      <c r="M97" s="575">
        <v>0</v>
      </c>
      <c r="N97" s="577" t="str">
        <f>IF(OR(M97=0,M97="")," ",[43]!Arp(K97,M97,ARP_Threshold))</f>
        <v xml:space="preserve"> </v>
      </c>
      <c r="O97" s="578" t="e">
        <f ca="1">IF(AND(K97="",M97="")," ",[43]!Ara(K97,M97,ARA_Threshold))</f>
        <v>#NAME?</v>
      </c>
    </row>
    <row r="98" spans="1:17" s="580" customFormat="1" ht="15" customHeight="1" outlineLevel="2" thickBot="1">
      <c r="A98" s="580" t="s">
        <v>1547</v>
      </c>
      <c r="B98" s="585" t="s">
        <v>764</v>
      </c>
      <c r="C98" s="585" t="s">
        <v>165</v>
      </c>
      <c r="D98" s="587" t="s">
        <v>1549</v>
      </c>
      <c r="E98" s="587" t="s">
        <v>192</v>
      </c>
      <c r="F98" s="575">
        <v>438</v>
      </c>
      <c r="G98" s="584"/>
      <c r="H98" s="575">
        <v>0</v>
      </c>
      <c r="I98" s="575">
        <v>438</v>
      </c>
      <c r="J98" s="575">
        <v>0</v>
      </c>
      <c r="K98" s="575">
        <v>8.8000000000000003E-4</v>
      </c>
      <c r="L98" s="584"/>
      <c r="M98" s="575">
        <v>0</v>
      </c>
      <c r="N98" s="577" t="str">
        <f>IF(OR(M98=0,M98="")," ",[43]!Arp(K98,M98,ARP_Threshold))</f>
        <v xml:space="preserve"> </v>
      </c>
      <c r="O98" s="578" t="e">
        <f ca="1">IF(AND(K98="",M98="")," ",[43]!Ara(K98,M98,ARA_Threshold))</f>
        <v>#NAME?</v>
      </c>
    </row>
    <row r="99" spans="1:17" s="580" customFormat="1" ht="16.5" outlineLevel="1" thickTop="1" thickBot="1">
      <c r="A99" s="580" t="s">
        <v>195</v>
      </c>
      <c r="B99" s="585" t="s">
        <v>764</v>
      </c>
      <c r="C99" s="585" t="s">
        <v>165</v>
      </c>
      <c r="D99" s="587" t="s">
        <v>764</v>
      </c>
      <c r="E99" s="589" t="s">
        <v>196</v>
      </c>
      <c r="F99" s="595">
        <v>2586</v>
      </c>
      <c r="G99" s="576"/>
      <c r="H99" s="595">
        <v>0</v>
      </c>
      <c r="I99" s="595">
        <v>2586</v>
      </c>
      <c r="J99" s="595">
        <v>0</v>
      </c>
      <c r="K99" s="1323">
        <f>SUM(K84:K98)</f>
        <v>4200.0083699999996</v>
      </c>
      <c r="L99" s="576"/>
      <c r="M99" s="595">
        <v>3782</v>
      </c>
      <c r="N99" s="577" t="e">
        <f ca="1">IF(OR(M99=0,M99="")," ",[43]!Arp(K99,M99,ARP_Threshold))</f>
        <v>#NAME?</v>
      </c>
      <c r="O99" s="578" t="e">
        <f ca="1">IF(AND(K99="",M99="")," ",[43]!Ara(K99,M99,ARA_Threshold))</f>
        <v>#NAME?</v>
      </c>
      <c r="Q99" s="600"/>
    </row>
    <row r="100" spans="1:17" s="580" customFormat="1" ht="15.75" outlineLevel="1" thickTop="1">
      <c r="A100" s="580" t="s">
        <v>197</v>
      </c>
      <c r="B100" s="585" t="s">
        <v>764</v>
      </c>
      <c r="C100" s="585" t="s">
        <v>764</v>
      </c>
      <c r="D100" s="587" t="s">
        <v>764</v>
      </c>
      <c r="F100" s="575"/>
      <c r="G100" s="576"/>
      <c r="H100" s="575"/>
      <c r="I100" s="575"/>
      <c r="J100" s="575"/>
      <c r="K100" s="575"/>
      <c r="L100" s="576"/>
      <c r="M100" s="575"/>
      <c r="N100" s="577" t="str">
        <f>IF(OR(M100=0,M100="")," ",[43]!Arp(K100,M100,ARP_Threshold))</f>
        <v xml:space="preserve"> </v>
      </c>
      <c r="O100" s="578" t="str">
        <f>IF(AND(K100="",M100="")," ",[43]!Ara(K100,M100,ARA_Threshold))</f>
        <v xml:space="preserve"> </v>
      </c>
    </row>
    <row r="101" spans="1:17" s="580" customFormat="1" ht="15" customHeight="1" outlineLevel="2">
      <c r="A101" s="580" t="s">
        <v>198</v>
      </c>
      <c r="B101" s="585" t="s">
        <v>764</v>
      </c>
      <c r="C101" s="585" t="s">
        <v>199</v>
      </c>
      <c r="D101" s="587" t="s">
        <v>787</v>
      </c>
      <c r="E101" s="580" t="s">
        <v>200</v>
      </c>
      <c r="F101" s="575">
        <v>26931</v>
      </c>
      <c r="G101" s="576"/>
      <c r="H101" s="575">
        <v>0</v>
      </c>
      <c r="I101" s="575">
        <v>26931</v>
      </c>
      <c r="J101" s="575">
        <v>0</v>
      </c>
      <c r="K101" s="575">
        <v>26930.719079999999</v>
      </c>
      <c r="L101" s="576"/>
      <c r="M101" s="575">
        <v>26931</v>
      </c>
      <c r="N101" s="577" t="e">
        <f ca="1">IF(OR(M101=0,M101="")," ",[43]!Arp(K101,M101,ARP_Threshold))</f>
        <v>#NAME?</v>
      </c>
      <c r="O101" s="578" t="e">
        <f ca="1">IF(AND(K101="",M101="")," ",[43]!Ara(K101,M101,ARA_Threshold))</f>
        <v>#NAME?</v>
      </c>
    </row>
    <row r="102" spans="1:17" s="580" customFormat="1" ht="15" customHeight="1" outlineLevel="2">
      <c r="A102" s="580" t="s">
        <v>201</v>
      </c>
      <c r="B102" s="585" t="s">
        <v>764</v>
      </c>
      <c r="C102" s="585" t="s">
        <v>199</v>
      </c>
      <c r="D102" s="587" t="s">
        <v>788</v>
      </c>
      <c r="E102" s="580" t="s">
        <v>202</v>
      </c>
      <c r="F102" s="575">
        <v>-26931</v>
      </c>
      <c r="G102" s="576"/>
      <c r="H102" s="575">
        <v>0</v>
      </c>
      <c r="I102" s="575">
        <v>-26931</v>
      </c>
      <c r="J102" s="575">
        <v>0</v>
      </c>
      <c r="K102" s="575">
        <v>-26930.719079999999</v>
      </c>
      <c r="L102" s="576"/>
      <c r="M102" s="575">
        <v>-26931</v>
      </c>
      <c r="N102" s="577" t="e">
        <f ca="1">IF(OR(M102=0,M102="")," ",[43]!Arp(K102,M102,ARP_Threshold))</f>
        <v>#NAME?</v>
      </c>
      <c r="O102" s="578" t="e">
        <f ca="1">IF(AND(K102="",M102="")," ",[43]!Ara(K102,M102,ARA_Threshold))</f>
        <v>#NAME?</v>
      </c>
    </row>
    <row r="103" spans="1:17" s="580" customFormat="1" ht="15" customHeight="1" outlineLevel="2">
      <c r="B103" s="585"/>
      <c r="C103" s="585"/>
      <c r="D103" s="587">
        <v>10601600001</v>
      </c>
      <c r="E103" s="580" t="s">
        <v>211</v>
      </c>
      <c r="F103" s="575"/>
      <c r="G103" s="576"/>
      <c r="H103" s="575"/>
      <c r="I103" s="575"/>
      <c r="J103" s="575"/>
      <c r="K103" s="575">
        <v>2.7000000000000001E-3</v>
      </c>
      <c r="L103" s="576"/>
      <c r="M103" s="575"/>
      <c r="N103" s="577"/>
      <c r="O103" s="578"/>
    </row>
    <row r="104" spans="1:17" s="580" customFormat="1" ht="15" customHeight="1" outlineLevel="2">
      <c r="B104" s="585"/>
      <c r="C104" s="585"/>
      <c r="D104" s="587">
        <v>10601700001</v>
      </c>
      <c r="E104" s="580" t="s">
        <v>1765</v>
      </c>
      <c r="F104" s="575"/>
      <c r="G104" s="576"/>
      <c r="H104" s="575"/>
      <c r="I104" s="575"/>
      <c r="J104" s="575"/>
      <c r="K104" s="575">
        <v>1.0000000000000001E-5</v>
      </c>
      <c r="L104" s="576"/>
      <c r="M104" s="575"/>
      <c r="N104" s="577"/>
      <c r="O104" s="578"/>
    </row>
    <row r="105" spans="1:17" s="580" customFormat="1" ht="15" customHeight="1" outlineLevel="2">
      <c r="A105" s="580" t="s">
        <v>203</v>
      </c>
      <c r="B105" s="585" t="s">
        <v>764</v>
      </c>
      <c r="C105" s="585" t="s">
        <v>199</v>
      </c>
      <c r="D105" s="587" t="s">
        <v>802</v>
      </c>
      <c r="E105" s="580" t="s">
        <v>204</v>
      </c>
      <c r="F105" s="575">
        <v>23288</v>
      </c>
      <c r="G105" s="576"/>
      <c r="H105" s="575">
        <v>0</v>
      </c>
      <c r="I105" s="575">
        <v>23288</v>
      </c>
      <c r="J105" s="575">
        <v>0</v>
      </c>
      <c r="K105" s="575">
        <v>3960.88769</v>
      </c>
      <c r="L105" s="576"/>
      <c r="M105" s="575">
        <v>16194</v>
      </c>
      <c r="N105" s="577" t="e">
        <f ca="1">IF(OR(M105=0,M105="")," ",[43]!Arp(K105,M105,ARP_Threshold))</f>
        <v>#NAME?</v>
      </c>
      <c r="O105" s="578" t="e">
        <f ca="1">IF(AND(K105="",M105="")," ",[43]!Ara(K105,M105,ARA_Threshold))</f>
        <v>#NAME?</v>
      </c>
    </row>
    <row r="106" spans="1:17" s="580" customFormat="1" ht="15.75" customHeight="1" outlineLevel="2" thickBot="1">
      <c r="A106" s="580" t="s">
        <v>205</v>
      </c>
      <c r="B106" s="585" t="s">
        <v>764</v>
      </c>
      <c r="C106" s="585" t="s">
        <v>199</v>
      </c>
      <c r="D106" s="587" t="s">
        <v>1580</v>
      </c>
      <c r="E106" s="580" t="s">
        <v>204</v>
      </c>
      <c r="F106" s="590">
        <v>0</v>
      </c>
      <c r="G106" s="584"/>
      <c r="H106" s="590">
        <v>0</v>
      </c>
      <c r="I106" s="590">
        <v>0</v>
      </c>
      <c r="J106" s="590">
        <v>0</v>
      </c>
      <c r="K106" s="590">
        <v>1264.0219999999999</v>
      </c>
      <c r="L106" s="584"/>
      <c r="M106" s="590">
        <v>0</v>
      </c>
      <c r="N106" s="577" t="str">
        <f>IF(OR(M106=0,M106="")," ",[43]!Arp(K106,M106,ARP_Threshold))</f>
        <v xml:space="preserve"> </v>
      </c>
      <c r="O106" s="578" t="e">
        <f ca="1">IF(AND(K106="",M106="")," ",[43]!Ara(K106,M106,ARA_Threshold))</f>
        <v>#NAME?</v>
      </c>
    </row>
    <row r="107" spans="1:17" s="580" customFormat="1" ht="15.75" customHeight="1" outlineLevel="2" thickTop="1">
      <c r="A107" s="580" t="s">
        <v>1357</v>
      </c>
      <c r="B107" s="585" t="s">
        <v>764</v>
      </c>
      <c r="C107" s="585" t="s">
        <v>199</v>
      </c>
      <c r="D107" s="587" t="s">
        <v>803</v>
      </c>
      <c r="E107" s="587" t="s">
        <v>193</v>
      </c>
      <c r="F107" s="710">
        <v>239</v>
      </c>
      <c r="G107" s="584"/>
      <c r="H107" s="710">
        <v>0</v>
      </c>
      <c r="I107" s="710">
        <v>239</v>
      </c>
      <c r="J107" s="710">
        <v>0</v>
      </c>
      <c r="K107" s="710">
        <v>0</v>
      </c>
      <c r="L107" s="584"/>
      <c r="M107" s="710">
        <v>0</v>
      </c>
      <c r="N107" s="577" t="str">
        <f>IF(OR(M107=0,M107="")," ",[43]!Arp(K107,M107,ARP_Threshold))</f>
        <v xml:space="preserve"> </v>
      </c>
      <c r="O107" s="578" t="e">
        <f ca="1">IF(AND(K107="",M107="")," ",[43]!Ara(K107,M107,ARA_Threshold))</f>
        <v>#NAME?</v>
      </c>
    </row>
    <row r="108" spans="1:17" s="580" customFormat="1" ht="15.75" customHeight="1" outlineLevel="2">
      <c r="A108" s="580" t="s">
        <v>1358</v>
      </c>
      <c r="B108" s="585" t="s">
        <v>764</v>
      </c>
      <c r="C108" s="585" t="s">
        <v>199</v>
      </c>
      <c r="D108" s="587" t="s">
        <v>804</v>
      </c>
      <c r="E108" s="587" t="s">
        <v>194</v>
      </c>
      <c r="F108" s="711">
        <v>0</v>
      </c>
      <c r="G108" s="584"/>
      <c r="H108" s="711">
        <v>0</v>
      </c>
      <c r="I108" s="711">
        <v>0</v>
      </c>
      <c r="J108" s="711">
        <v>0</v>
      </c>
      <c r="K108" s="711">
        <v>0</v>
      </c>
      <c r="L108" s="584"/>
      <c r="M108" s="711">
        <v>0</v>
      </c>
      <c r="N108" s="577" t="str">
        <f>IF(OR(M108=0,M108="")," ",[43]!Arp(K108,M108,ARP_Threshold))</f>
        <v xml:space="preserve"> </v>
      </c>
      <c r="O108" s="578" t="e">
        <f ca="1">IF(AND(K108="",M108="")," ",[43]!Ara(K108,M108,ARA_Threshold))</f>
        <v>#NAME?</v>
      </c>
    </row>
    <row r="109" spans="1:17" s="580" customFormat="1" ht="15.75" outlineLevel="1" thickBot="1">
      <c r="A109" s="580" t="s">
        <v>206</v>
      </c>
      <c r="B109" s="585" t="s">
        <v>764</v>
      </c>
      <c r="C109" s="585" t="s">
        <v>199</v>
      </c>
      <c r="D109" s="587" t="s">
        <v>764</v>
      </c>
      <c r="E109" s="589" t="s">
        <v>207</v>
      </c>
      <c r="F109" s="712">
        <v>23527</v>
      </c>
      <c r="G109" s="576"/>
      <c r="H109" s="712">
        <v>0</v>
      </c>
      <c r="I109" s="712">
        <v>23527</v>
      </c>
      <c r="J109" s="712">
        <v>0</v>
      </c>
      <c r="K109" s="1325">
        <f>SUM(K101:K108)</f>
        <v>5224.9124000000002</v>
      </c>
      <c r="L109" s="576"/>
      <c r="M109" s="712">
        <v>16194</v>
      </c>
      <c r="N109" s="577" t="e">
        <f ca="1">IF(OR(M109=0,M109="")," ",[43]!Arp(K109,M109,ARP_Threshold))</f>
        <v>#NAME?</v>
      </c>
      <c r="O109" s="578" t="e">
        <f ca="1">IF(AND(K109="",M109="")," ",[43]!Ara(K109,M109,ARA_Threshold))</f>
        <v>#NAME?</v>
      </c>
    </row>
    <row r="110" spans="1:17" s="580" customFormat="1" ht="15.75" outlineLevel="1" thickTop="1">
      <c r="A110" s="580" t="s">
        <v>208</v>
      </c>
      <c r="B110" s="585" t="s">
        <v>764</v>
      </c>
      <c r="C110" s="585" t="s">
        <v>764</v>
      </c>
      <c r="D110" s="587" t="s">
        <v>764</v>
      </c>
      <c r="F110" s="575"/>
      <c r="G110" s="576"/>
      <c r="H110" s="575"/>
      <c r="I110" s="575"/>
      <c r="J110" s="575"/>
      <c r="K110" s="575"/>
      <c r="L110" s="576"/>
      <c r="M110" s="575"/>
      <c r="N110" s="577" t="str">
        <f>IF(OR(M110=0,M110="")," ",[43]!Arp(K110,M110,ARP_Threshold))</f>
        <v xml:space="preserve"> </v>
      </c>
      <c r="O110" s="578" t="str">
        <f>IF(AND(K110="",M110="")," ",[43]!Ara(K110,M110,ARA_Threshold))</f>
        <v xml:space="preserve"> </v>
      </c>
    </row>
    <row r="111" spans="1:17" s="580" customFormat="1" ht="15" customHeight="1" outlineLevel="2">
      <c r="A111" s="580" t="s">
        <v>209</v>
      </c>
      <c r="B111" s="585" t="s">
        <v>764</v>
      </c>
      <c r="C111" s="585" t="s">
        <v>210</v>
      </c>
      <c r="D111" s="587" t="s">
        <v>805</v>
      </c>
      <c r="E111" s="580" t="s">
        <v>211</v>
      </c>
      <c r="F111" s="575">
        <v>0</v>
      </c>
      <c r="G111" s="576"/>
      <c r="H111" s="575">
        <v>0</v>
      </c>
      <c r="I111" s="575">
        <v>0</v>
      </c>
      <c r="J111" s="575">
        <v>0</v>
      </c>
      <c r="K111" s="575">
        <v>0</v>
      </c>
      <c r="L111" s="576"/>
      <c r="M111" s="575">
        <v>0</v>
      </c>
      <c r="N111" s="577" t="str">
        <f>IF(OR(M111=0,M111="")," ",[43]!Arp(K111,M111,ARP_Threshold))</f>
        <v xml:space="preserve"> </v>
      </c>
      <c r="O111" s="578" t="e">
        <f ca="1">IF(AND(K111="",M111="")," ",[43]!Ara(K111,M111,ARA_Threshold))</f>
        <v>#NAME?</v>
      </c>
    </row>
    <row r="112" spans="1:17" s="580" customFormat="1" ht="15.75" customHeight="1" outlineLevel="2" thickBot="1">
      <c r="A112" s="580" t="s">
        <v>212</v>
      </c>
      <c r="B112" s="585" t="s">
        <v>764</v>
      </c>
      <c r="C112" s="585" t="s">
        <v>210</v>
      </c>
      <c r="D112" s="587" t="s">
        <v>1581</v>
      </c>
      <c r="E112" s="580" t="s">
        <v>213</v>
      </c>
      <c r="F112" s="590">
        <v>0</v>
      </c>
      <c r="G112" s="584"/>
      <c r="H112" s="590">
        <v>0</v>
      </c>
      <c r="I112" s="590">
        <v>0</v>
      </c>
      <c r="J112" s="590">
        <v>0</v>
      </c>
      <c r="K112" s="590">
        <v>3557.52016</v>
      </c>
      <c r="L112" s="584"/>
      <c r="M112" s="590">
        <v>0</v>
      </c>
      <c r="N112" s="577" t="str">
        <f>IF(OR(M112=0,M112="")," ",[43]!Arp(K112,M112,ARP_Threshold))</f>
        <v xml:space="preserve"> </v>
      </c>
      <c r="O112" s="578" t="e">
        <f ca="1">IF(AND(K112="",M112="")," ",[43]!Ara(K112,M112,ARA_Threshold))</f>
        <v>#NAME?</v>
      </c>
    </row>
    <row r="113" spans="1:15" s="580" customFormat="1" ht="16.5" outlineLevel="1" thickTop="1" thickBot="1">
      <c r="A113" s="580" t="s">
        <v>214</v>
      </c>
      <c r="B113" s="585" t="s">
        <v>764</v>
      </c>
      <c r="C113" s="585" t="s">
        <v>210</v>
      </c>
      <c r="D113" s="587" t="s">
        <v>764</v>
      </c>
      <c r="E113" s="589" t="s">
        <v>215</v>
      </c>
      <c r="F113" s="595">
        <v>0</v>
      </c>
      <c r="G113" s="576"/>
      <c r="H113" s="595">
        <v>0</v>
      </c>
      <c r="I113" s="595">
        <v>0</v>
      </c>
      <c r="J113" s="595">
        <v>0</v>
      </c>
      <c r="K113" s="1318">
        <f>SUM(K111:K112)</f>
        <v>3557.52016</v>
      </c>
      <c r="L113" s="576"/>
      <c r="M113" s="595">
        <v>0</v>
      </c>
      <c r="N113" s="577" t="str">
        <f>IF(OR(M113=0,M113="")," ",[43]!Arp(K113,M113,ARP_Threshold))</f>
        <v xml:space="preserve"> </v>
      </c>
      <c r="O113" s="578" t="e">
        <f ca="1">IF(AND(K113="",M113="")," ",[43]!Ara(K113,M113,ARA_Threshold))</f>
        <v>#NAME?</v>
      </c>
    </row>
    <row r="114" spans="1:15" s="580" customFormat="1" ht="15.75" outlineLevel="1" thickTop="1">
      <c r="A114" s="580" t="s">
        <v>216</v>
      </c>
      <c r="B114" s="585" t="s">
        <v>764</v>
      </c>
      <c r="C114" s="585" t="s">
        <v>764</v>
      </c>
      <c r="D114" s="587" t="s">
        <v>764</v>
      </c>
      <c r="F114" s="575"/>
      <c r="G114" s="576"/>
      <c r="H114" s="575"/>
      <c r="I114" s="575"/>
      <c r="J114" s="575"/>
      <c r="K114" s="575"/>
      <c r="L114" s="576"/>
      <c r="M114" s="575"/>
      <c r="N114" s="577" t="str">
        <f>IF(OR(M114=0,M114="")," ",[43]!Arp(K114,M114,ARP_Threshold))</f>
        <v xml:space="preserve"> </v>
      </c>
      <c r="O114" s="578" t="str">
        <f>IF(AND(K114="",M114="")," ",[43]!Ara(K114,M114,ARA_Threshold))</f>
        <v xml:space="preserve"> </v>
      </c>
    </row>
    <row r="115" spans="1:15" s="580" customFormat="1" ht="15.75" customHeight="1" outlineLevel="2" thickBot="1">
      <c r="A115" s="580" t="s">
        <v>217</v>
      </c>
      <c r="B115" s="585" t="s">
        <v>764</v>
      </c>
      <c r="C115" s="585" t="s">
        <v>218</v>
      </c>
      <c r="D115" s="587" t="s">
        <v>1582</v>
      </c>
      <c r="E115" s="580" t="s">
        <v>219</v>
      </c>
      <c r="F115" s="590">
        <v>0</v>
      </c>
      <c r="G115" s="584"/>
      <c r="H115" s="590">
        <v>0</v>
      </c>
      <c r="I115" s="590">
        <v>0</v>
      </c>
      <c r="J115" s="590">
        <v>0</v>
      </c>
      <c r="K115" s="590">
        <v>0</v>
      </c>
      <c r="L115" s="584"/>
      <c r="M115" s="590">
        <v>0</v>
      </c>
      <c r="N115" s="577" t="str">
        <f>IF(OR(M115=0,M115="")," ",[43]!Arp(K115,M115,ARP_Threshold))</f>
        <v xml:space="preserve"> </v>
      </c>
      <c r="O115" s="578" t="e">
        <f ca="1">IF(AND(K115="",M115="")," ",[43]!Ara(K115,M115,ARA_Threshold))</f>
        <v>#NAME?</v>
      </c>
    </row>
    <row r="116" spans="1:15" s="580" customFormat="1" ht="16.5" outlineLevel="1" thickTop="1" thickBot="1">
      <c r="A116" s="580" t="s">
        <v>220</v>
      </c>
      <c r="B116" s="585" t="s">
        <v>764</v>
      </c>
      <c r="C116" s="585" t="s">
        <v>218</v>
      </c>
      <c r="D116" s="587" t="s">
        <v>764</v>
      </c>
      <c r="E116" s="589" t="s">
        <v>221</v>
      </c>
      <c r="F116" s="595">
        <v>0</v>
      </c>
      <c r="G116" s="576"/>
      <c r="H116" s="595">
        <v>0</v>
      </c>
      <c r="I116" s="595">
        <v>0</v>
      </c>
      <c r="J116" s="595">
        <v>0</v>
      </c>
      <c r="K116" s="595">
        <v>0</v>
      </c>
      <c r="L116" s="576"/>
      <c r="M116" s="595">
        <v>0</v>
      </c>
      <c r="N116" s="577" t="str">
        <f>IF(OR(M116=0,M116="")," ",[43]!Arp(K116,M116,ARP_Threshold))</f>
        <v xml:space="preserve"> </v>
      </c>
      <c r="O116" s="578" t="e">
        <f ca="1">IF(AND(K116="",M116="")," ",[43]!Ara(K116,M116,ARA_Threshold))</f>
        <v>#NAME?</v>
      </c>
    </row>
    <row r="117" spans="1:15" s="580" customFormat="1" ht="15.75" outlineLevel="1" thickTop="1">
      <c r="A117" s="580" t="s">
        <v>222</v>
      </c>
      <c r="B117" s="585" t="s">
        <v>764</v>
      </c>
      <c r="C117" s="585" t="s">
        <v>764</v>
      </c>
      <c r="D117" s="587" t="s">
        <v>764</v>
      </c>
      <c r="F117" s="575"/>
      <c r="G117" s="576"/>
      <c r="H117" s="575"/>
      <c r="I117" s="575"/>
      <c r="J117" s="575"/>
      <c r="K117" s="575"/>
      <c r="L117" s="576"/>
      <c r="M117" s="575"/>
      <c r="N117" s="577" t="str">
        <f>IF(OR(M117=0,M117="")," ",[43]!Arp(K117,M117,ARP_Threshold))</f>
        <v xml:space="preserve"> </v>
      </c>
      <c r="O117" s="578" t="str">
        <f>IF(AND(K117="",M117="")," ",[43]!Ara(K117,M117,ARA_Threshold))</f>
        <v xml:space="preserve"> </v>
      </c>
    </row>
    <row r="118" spans="1:15" s="580" customFormat="1" ht="15.75" customHeight="1" outlineLevel="2" thickBot="1">
      <c r="A118" s="580" t="s">
        <v>223</v>
      </c>
      <c r="B118" s="585" t="s">
        <v>764</v>
      </c>
      <c r="C118" s="585" t="s">
        <v>224</v>
      </c>
      <c r="D118" s="587" t="s">
        <v>806</v>
      </c>
      <c r="E118" s="580" t="s">
        <v>225</v>
      </c>
      <c r="F118" s="590">
        <v>0</v>
      </c>
      <c r="G118" s="584"/>
      <c r="H118" s="590">
        <v>0</v>
      </c>
      <c r="I118" s="590">
        <v>0</v>
      </c>
      <c r="J118" s="590">
        <v>0</v>
      </c>
      <c r="K118" s="1324">
        <v>365.49200000000002</v>
      </c>
      <c r="L118" s="584"/>
      <c r="M118" s="590">
        <v>0</v>
      </c>
      <c r="N118" s="577" t="str">
        <f>IF(OR(M118=0,M118="")," ",[43]!Arp(K118,M118,ARP_Threshold))</f>
        <v xml:space="preserve"> </v>
      </c>
      <c r="O118" s="578" t="e">
        <f ca="1">IF(AND(K118="",M118="")," ",[43]!Ara(K118,M118,ARA_Threshold))</f>
        <v>#NAME?</v>
      </c>
    </row>
    <row r="119" spans="1:15" s="580" customFormat="1" ht="16.5" outlineLevel="1" thickTop="1" thickBot="1">
      <c r="A119" s="580" t="s">
        <v>226</v>
      </c>
      <c r="B119" s="585" t="s">
        <v>764</v>
      </c>
      <c r="C119" s="585" t="s">
        <v>224</v>
      </c>
      <c r="D119" s="587" t="s">
        <v>764</v>
      </c>
      <c r="E119" s="589" t="s">
        <v>227</v>
      </c>
      <c r="F119" s="595">
        <v>0</v>
      </c>
      <c r="G119" s="576"/>
      <c r="H119" s="595">
        <v>0</v>
      </c>
      <c r="I119" s="595">
        <v>0</v>
      </c>
      <c r="J119" s="595">
        <v>0</v>
      </c>
      <c r="K119" s="1318">
        <v>365.49200000000002</v>
      </c>
      <c r="L119" s="576"/>
      <c r="M119" s="595">
        <v>0</v>
      </c>
      <c r="N119" s="577" t="str">
        <f>IF(OR(M119=0,M119="")," ",[43]!Arp(K119,M119,ARP_Threshold))</f>
        <v xml:space="preserve"> </v>
      </c>
      <c r="O119" s="578" t="e">
        <f ca="1">IF(AND(K119="",M119="")," ",[43]!Ara(K119,M119,ARA_Threshold))</f>
        <v>#NAME?</v>
      </c>
    </row>
    <row r="120" spans="1:15" s="580" customFormat="1" ht="15.75" outlineLevel="1" thickTop="1">
      <c r="A120" s="580" t="s">
        <v>228</v>
      </c>
      <c r="B120" s="585" t="s">
        <v>764</v>
      </c>
      <c r="C120" s="585" t="s">
        <v>764</v>
      </c>
      <c r="D120" s="587" t="s">
        <v>764</v>
      </c>
      <c r="F120" s="575"/>
      <c r="G120" s="576"/>
      <c r="H120" s="575"/>
      <c r="I120" s="575"/>
      <c r="J120" s="575"/>
      <c r="K120" s="575"/>
      <c r="L120" s="576"/>
      <c r="M120" s="575"/>
      <c r="N120" s="577" t="str">
        <f>IF(OR(M120=0,M120="")," ",[43]!Arp(K120,M120,ARP_Threshold))</f>
        <v xml:space="preserve"> </v>
      </c>
      <c r="O120" s="578" t="str">
        <f>IF(AND(K120="",M120="")," ",[43]!Ara(K120,M120,ARA_Threshold))</f>
        <v xml:space="preserve"> </v>
      </c>
    </row>
    <row r="121" spans="1:15" s="580" customFormat="1" ht="15" customHeight="1" outlineLevel="2">
      <c r="A121" s="580" t="s">
        <v>229</v>
      </c>
      <c r="B121" s="585" t="s">
        <v>764</v>
      </c>
      <c r="C121" s="585" t="s">
        <v>230</v>
      </c>
      <c r="D121" s="587" t="s">
        <v>789</v>
      </c>
      <c r="E121" s="580" t="s">
        <v>231</v>
      </c>
      <c r="F121" s="575">
        <v>5</v>
      </c>
      <c r="G121" s="576"/>
      <c r="H121" s="575">
        <v>0</v>
      </c>
      <c r="I121" s="575">
        <v>5</v>
      </c>
      <c r="J121" s="575">
        <v>0</v>
      </c>
      <c r="K121" s="575">
        <v>5</v>
      </c>
      <c r="L121" s="576"/>
      <c r="M121" s="575">
        <v>5</v>
      </c>
      <c r="N121" s="577" t="e">
        <f ca="1">IF(OR(M121=0,M121="")," ",[43]!Arp(K121,M121,ARP_Threshold))</f>
        <v>#NAME?</v>
      </c>
      <c r="O121" s="578" t="e">
        <f ca="1">IF(AND(K121="",M121="")," ",[43]!Ara(K121,M121,ARA_Threshold))</f>
        <v>#NAME?</v>
      </c>
    </row>
    <row r="122" spans="1:15" s="580" customFormat="1" ht="15" customHeight="1" outlineLevel="2">
      <c r="A122" s="580" t="s">
        <v>232</v>
      </c>
      <c r="B122" s="585" t="s">
        <v>764</v>
      </c>
      <c r="C122" s="585" t="s">
        <v>230</v>
      </c>
      <c r="D122" s="587" t="s">
        <v>811</v>
      </c>
      <c r="E122" s="580" t="s">
        <v>233</v>
      </c>
      <c r="F122" s="575">
        <v>30000</v>
      </c>
      <c r="G122" s="576"/>
      <c r="H122" s="575">
        <v>0</v>
      </c>
      <c r="I122" s="575">
        <v>30000</v>
      </c>
      <c r="J122" s="575">
        <v>0</v>
      </c>
      <c r="K122" s="575">
        <v>0</v>
      </c>
      <c r="L122" s="576"/>
      <c r="M122" s="575">
        <v>0</v>
      </c>
      <c r="N122" s="577" t="str">
        <f>IF(OR(M122=0,M122="")," ",[43]!Arp(K122,M122,ARP_Threshold))</f>
        <v xml:space="preserve"> </v>
      </c>
      <c r="O122" s="578" t="e">
        <f ca="1">IF(AND(K122="",M122="")," ",[43]!Ara(K122,M122,ARA_Threshold))</f>
        <v>#NAME?</v>
      </c>
    </row>
    <row r="123" spans="1:15" s="580" customFormat="1" ht="15" customHeight="1" outlineLevel="2">
      <c r="A123" s="580" t="s">
        <v>234</v>
      </c>
      <c r="B123" s="585" t="s">
        <v>764</v>
      </c>
      <c r="C123" s="585" t="s">
        <v>230</v>
      </c>
      <c r="D123" s="587" t="s">
        <v>818</v>
      </c>
      <c r="E123" s="580" t="s">
        <v>235</v>
      </c>
      <c r="F123" s="575">
        <v>201</v>
      </c>
      <c r="G123" s="576"/>
      <c r="H123" s="575">
        <v>0</v>
      </c>
      <c r="I123" s="575">
        <v>201</v>
      </c>
      <c r="J123" s="575">
        <v>0</v>
      </c>
      <c r="K123" s="575">
        <v>99.289479999999998</v>
      </c>
      <c r="L123" s="576"/>
      <c r="M123" s="575">
        <v>183</v>
      </c>
      <c r="N123" s="577" t="e">
        <f ca="1">IF(OR(M123=0,M123="")," ",[43]!Arp(K123,M123,ARP_Threshold))</f>
        <v>#NAME?</v>
      </c>
      <c r="O123" s="578" t="e">
        <f ca="1">IF(AND(K123="",M123="")," ",[43]!Ara(K123,M123,ARA_Threshold))</f>
        <v>#NAME?</v>
      </c>
    </row>
    <row r="124" spans="1:15" s="580" customFormat="1" ht="15" customHeight="1" outlineLevel="2">
      <c r="A124" s="580" t="s">
        <v>236</v>
      </c>
      <c r="B124" s="585" t="s">
        <v>764</v>
      </c>
      <c r="C124" s="585" t="s">
        <v>230</v>
      </c>
      <c r="D124" s="1070" t="s">
        <v>819</v>
      </c>
      <c r="E124" s="580" t="s">
        <v>237</v>
      </c>
      <c r="F124" s="575">
        <v>0</v>
      </c>
      <c r="G124" s="576"/>
      <c r="H124" s="575">
        <v>0</v>
      </c>
      <c r="I124" s="575">
        <v>0</v>
      </c>
      <c r="J124" s="575">
        <v>0</v>
      </c>
      <c r="K124" s="575">
        <v>5.0400000000000002E-3</v>
      </c>
      <c r="L124" s="576"/>
      <c r="M124" s="575">
        <v>0</v>
      </c>
      <c r="N124" s="577" t="str">
        <f>IF(OR(M124=0,M124="")," ",[43]!Arp(K124,M124,ARP_Threshold))</f>
        <v xml:space="preserve"> </v>
      </c>
      <c r="O124" s="578" t="e">
        <f ca="1">IF(AND(K124="",M124="")," ",[43]!Ara(K124,M124,ARA_Threshold))</f>
        <v>#NAME?</v>
      </c>
    </row>
    <row r="125" spans="1:15" s="580" customFormat="1" ht="15" customHeight="1" outlineLevel="2">
      <c r="A125" s="580" t="s">
        <v>238</v>
      </c>
      <c r="B125" s="585" t="s">
        <v>764</v>
      </c>
      <c r="C125" s="585" t="s">
        <v>230</v>
      </c>
      <c r="D125" s="587" t="s">
        <v>1583</v>
      </c>
      <c r="E125" s="580" t="s">
        <v>239</v>
      </c>
      <c r="F125" s="575">
        <v>0</v>
      </c>
      <c r="G125" s="576"/>
      <c r="H125" s="575">
        <v>0</v>
      </c>
      <c r="I125" s="575">
        <v>0</v>
      </c>
      <c r="J125" s="575">
        <v>0</v>
      </c>
      <c r="K125" s="575">
        <v>0</v>
      </c>
      <c r="L125" s="576"/>
      <c r="M125" s="575">
        <v>0</v>
      </c>
      <c r="N125" s="577" t="str">
        <f>IF(OR(M125=0,M125="")," ",[43]!Arp(K125,M125,ARP_Threshold))</f>
        <v xml:space="preserve"> </v>
      </c>
      <c r="O125" s="578" t="e">
        <f ca="1">IF(AND(K125="",M125="")," ",[43]!Ara(K125,M125,ARA_Threshold))</f>
        <v>#NAME?</v>
      </c>
    </row>
    <row r="126" spans="1:15" s="580" customFormat="1" ht="15" customHeight="1" outlineLevel="2">
      <c r="A126" s="580" t="s">
        <v>240</v>
      </c>
      <c r="B126" s="585" t="s">
        <v>764</v>
      </c>
      <c r="C126" s="585" t="s">
        <v>230</v>
      </c>
      <c r="D126" s="587" t="s">
        <v>820</v>
      </c>
      <c r="E126" s="580" t="s">
        <v>241</v>
      </c>
      <c r="F126" s="575">
        <v>92</v>
      </c>
      <c r="G126" s="576"/>
      <c r="H126" s="575">
        <v>0</v>
      </c>
      <c r="I126" s="575">
        <v>92</v>
      </c>
      <c r="J126" s="575">
        <v>0</v>
      </c>
      <c r="K126" s="575">
        <v>70.333950000000002</v>
      </c>
      <c r="L126" s="576"/>
      <c r="M126" s="575">
        <v>91</v>
      </c>
      <c r="N126" s="577" t="e">
        <f ca="1">IF(OR(M126=0,M126="")," ",[43]!Arp(K126,M126,ARP_Threshold))</f>
        <v>#NAME?</v>
      </c>
      <c r="O126" s="578" t="e">
        <f ca="1">IF(AND(K126="",M126="")," ",[43]!Ara(K126,M126,ARA_Threshold))</f>
        <v>#NAME?</v>
      </c>
    </row>
    <row r="127" spans="1:15" s="580" customFormat="1" ht="15" customHeight="1" outlineLevel="2">
      <c r="A127" s="580" t="s">
        <v>242</v>
      </c>
      <c r="B127" s="585" t="s">
        <v>764</v>
      </c>
      <c r="C127" s="585" t="s">
        <v>230</v>
      </c>
      <c r="D127" s="587" t="s">
        <v>1584</v>
      </c>
      <c r="E127" s="580" t="s">
        <v>243</v>
      </c>
      <c r="F127" s="575">
        <v>548</v>
      </c>
      <c r="G127" s="576"/>
      <c r="H127" s="575">
        <v>0</v>
      </c>
      <c r="I127" s="575">
        <v>548</v>
      </c>
      <c r="J127" s="575">
        <v>0</v>
      </c>
      <c r="K127" s="575">
        <v>247.03251</v>
      </c>
      <c r="L127" s="576"/>
      <c r="M127" s="575">
        <v>15</v>
      </c>
      <c r="N127" s="577" t="e">
        <f ca="1">IF(OR(M127=0,M127="")," ",[43]!Arp(K127,M127,ARP_Threshold))</f>
        <v>#NAME?</v>
      </c>
      <c r="O127" s="578" t="e">
        <f ca="1">IF(AND(K127="",M127="")," ",[43]!Ara(K127,M127,ARA_Threshold))</f>
        <v>#NAME?</v>
      </c>
    </row>
    <row r="128" spans="1:15" s="580" customFormat="1" ht="15.75" customHeight="1" outlineLevel="2" thickBot="1">
      <c r="A128" s="580" t="s">
        <v>244</v>
      </c>
      <c r="B128" s="585" t="s">
        <v>764</v>
      </c>
      <c r="C128" s="585" t="s">
        <v>230</v>
      </c>
      <c r="D128" s="587" t="s">
        <v>1585</v>
      </c>
      <c r="E128" s="580" t="s">
        <v>245</v>
      </c>
      <c r="F128" s="590">
        <v>10</v>
      </c>
      <c r="G128" s="584"/>
      <c r="H128" s="590">
        <v>0</v>
      </c>
      <c r="I128" s="590">
        <v>10</v>
      </c>
      <c r="J128" s="590">
        <v>0</v>
      </c>
      <c r="K128" s="590">
        <v>3800.88942</v>
      </c>
      <c r="L128" s="584"/>
      <c r="M128" s="590">
        <v>-14</v>
      </c>
      <c r="N128" s="577" t="e">
        <f ca="1">IF(OR(M128=0,M128="")," ",[43]!Arp(K128,M128,ARP_Threshold))</f>
        <v>#NAME?</v>
      </c>
      <c r="O128" s="578" t="e">
        <f ca="1">IF(AND(K128="",M128="")," ",[43]!Ara(K128,M128,ARA_Threshold))</f>
        <v>#NAME?</v>
      </c>
    </row>
    <row r="129" spans="1:15" s="580" customFormat="1" ht="16.5" outlineLevel="1" thickTop="1" thickBot="1">
      <c r="A129" s="580" t="s">
        <v>246</v>
      </c>
      <c r="B129" s="585" t="s">
        <v>764</v>
      </c>
      <c r="C129" s="585" t="s">
        <v>230</v>
      </c>
      <c r="D129" s="587" t="s">
        <v>764</v>
      </c>
      <c r="E129" s="589" t="s">
        <v>247</v>
      </c>
      <c r="F129" s="595">
        <v>30856</v>
      </c>
      <c r="G129" s="576"/>
      <c r="H129" s="595">
        <v>0</v>
      </c>
      <c r="I129" s="595">
        <v>30856</v>
      </c>
      <c r="J129" s="595">
        <v>0</v>
      </c>
      <c r="K129" s="1315">
        <f>SUM(K121:K128)</f>
        <v>4222.5504000000001</v>
      </c>
      <c r="L129" s="576"/>
      <c r="M129" s="595">
        <v>280</v>
      </c>
      <c r="N129" s="577" t="e">
        <f ca="1">IF(OR(M129=0,M129="")," ",[43]!Arp(K129,M129,ARP_Threshold))</f>
        <v>#NAME?</v>
      </c>
      <c r="O129" s="578" t="e">
        <f ca="1">IF(AND(K129="",M129="")," ",[43]!Ara(K129,M129,ARA_Threshold))</f>
        <v>#NAME?</v>
      </c>
    </row>
    <row r="130" spans="1:15" s="580" customFormat="1" ht="15.75" outlineLevel="1" thickTop="1">
      <c r="A130" s="580" t="s">
        <v>248</v>
      </c>
      <c r="B130" s="585" t="s">
        <v>764</v>
      </c>
      <c r="C130" s="585" t="s">
        <v>764</v>
      </c>
      <c r="D130" s="587" t="s">
        <v>764</v>
      </c>
      <c r="F130" s="575"/>
      <c r="G130" s="576"/>
      <c r="H130" s="575"/>
      <c r="I130" s="575"/>
      <c r="J130" s="575"/>
      <c r="K130" s="575"/>
      <c r="L130" s="576"/>
      <c r="M130" s="575"/>
      <c r="N130" s="577" t="str">
        <f>IF(OR(M130=0,M130="")," ",[43]!Arp(K130,M130,ARP_Threshold))</f>
        <v xml:space="preserve"> </v>
      </c>
      <c r="O130" s="578" t="str">
        <f>IF(AND(K130="",M130="")," ",[43]!Ara(K130,M130,ARA_Threshold))</f>
        <v xml:space="preserve"> </v>
      </c>
    </row>
    <row r="131" spans="1:15" s="580" customFormat="1" ht="15" customHeight="1" outlineLevel="2">
      <c r="A131" s="580" t="s">
        <v>249</v>
      </c>
      <c r="B131" s="585" t="s">
        <v>764</v>
      </c>
      <c r="C131" s="585" t="s">
        <v>250</v>
      </c>
      <c r="D131" s="587" t="s">
        <v>812</v>
      </c>
      <c r="E131" s="580" t="s">
        <v>251</v>
      </c>
      <c r="F131" s="575">
        <v>225</v>
      </c>
      <c r="G131" s="576"/>
      <c r="H131" s="575">
        <v>0</v>
      </c>
      <c r="I131" s="575">
        <v>225</v>
      </c>
      <c r="J131" s="575">
        <v>0</v>
      </c>
      <c r="K131" s="575">
        <v>225.25918999999999</v>
      </c>
      <c r="L131" s="576"/>
      <c r="M131" s="575">
        <v>221</v>
      </c>
      <c r="N131" s="577" t="e">
        <f ca="1">IF(OR(M131=0,M131="")," ",[43]!Arp(K131,M131,ARP_Threshold))</f>
        <v>#NAME?</v>
      </c>
      <c r="O131" s="578" t="e">
        <f ca="1">IF(AND(K131="",M131="")," ",[43]!Ara(K131,M131,ARA_Threshold))</f>
        <v>#NAME?</v>
      </c>
    </row>
    <row r="132" spans="1:15" s="580" customFormat="1" ht="15" customHeight="1" outlineLevel="2">
      <c r="A132" s="580" t="s">
        <v>252</v>
      </c>
      <c r="B132" s="585" t="s">
        <v>764</v>
      </c>
      <c r="C132" s="585" t="s">
        <v>250</v>
      </c>
      <c r="D132" s="587" t="s">
        <v>813</v>
      </c>
      <c r="E132" s="580" t="s">
        <v>253</v>
      </c>
      <c r="F132" s="575">
        <v>21</v>
      </c>
      <c r="G132" s="576"/>
      <c r="H132" s="575">
        <v>0</v>
      </c>
      <c r="I132" s="575">
        <v>21</v>
      </c>
      <c r="J132" s="575">
        <v>0</v>
      </c>
      <c r="K132" s="575">
        <v>20.520679999999999</v>
      </c>
      <c r="L132" s="576"/>
      <c r="M132" s="575">
        <v>21</v>
      </c>
      <c r="N132" s="577" t="e">
        <f ca="1">IF(OR(M132=0,M132="")," ",[43]!Arp(K132,M132,ARP_Threshold))</f>
        <v>#NAME?</v>
      </c>
      <c r="O132" s="578" t="e">
        <f ca="1">IF(AND(K132="",M132="")," ",[43]!Ara(K132,M132,ARA_Threshold))</f>
        <v>#NAME?</v>
      </c>
    </row>
    <row r="133" spans="1:15" s="580" customFormat="1" ht="15" customHeight="1" outlineLevel="2">
      <c r="A133" s="580" t="s">
        <v>254</v>
      </c>
      <c r="B133" s="585" t="s">
        <v>764</v>
      </c>
      <c r="C133" s="585" t="s">
        <v>250</v>
      </c>
      <c r="D133" s="587" t="s">
        <v>822</v>
      </c>
      <c r="E133" s="580" t="s">
        <v>255</v>
      </c>
      <c r="F133" s="575">
        <v>3927</v>
      </c>
      <c r="G133" s="576"/>
      <c r="H133" s="575">
        <v>0</v>
      </c>
      <c r="I133" s="575">
        <v>3927</v>
      </c>
      <c r="J133" s="575">
        <v>0</v>
      </c>
      <c r="K133" s="575">
        <v>3926.7049999999999</v>
      </c>
      <c r="L133" s="576"/>
      <c r="M133" s="575">
        <v>3927</v>
      </c>
      <c r="N133" s="577" t="e">
        <f ca="1">IF(OR(M133=0,M133="")," ",[43]!Arp(K133,M133,ARP_Threshold))</f>
        <v>#NAME?</v>
      </c>
      <c r="O133" s="578" t="e">
        <f ca="1">IF(AND(K133="",M133="")," ",[43]!Ara(K133,M133,ARA_Threshold))</f>
        <v>#NAME?</v>
      </c>
    </row>
    <row r="134" spans="1:15" s="580" customFormat="1" ht="15.75" customHeight="1" outlineLevel="2" thickBot="1">
      <c r="A134" s="580" t="s">
        <v>256</v>
      </c>
      <c r="B134" s="585" t="s">
        <v>764</v>
      </c>
      <c r="C134" s="585" t="s">
        <v>250</v>
      </c>
      <c r="D134" s="587" t="s">
        <v>823</v>
      </c>
      <c r="E134" s="580" t="s">
        <v>257</v>
      </c>
      <c r="F134" s="590">
        <v>14</v>
      </c>
      <c r="G134" s="584"/>
      <c r="H134" s="590">
        <v>0</v>
      </c>
      <c r="I134" s="590">
        <v>14</v>
      </c>
      <c r="J134" s="590">
        <v>0</v>
      </c>
      <c r="K134" s="590">
        <v>14</v>
      </c>
      <c r="L134" s="584"/>
      <c r="M134" s="590">
        <v>14</v>
      </c>
      <c r="N134" s="577" t="e">
        <f ca="1">IF(OR(M134=0,M134="")," ",[43]!Arp(K134,M134,ARP_Threshold))</f>
        <v>#NAME?</v>
      </c>
      <c r="O134" s="578" t="e">
        <f ca="1">IF(AND(K134="",M134="")," ",[43]!Ara(K134,M134,ARA_Threshold))</f>
        <v>#NAME?</v>
      </c>
    </row>
    <row r="135" spans="1:15" s="580" customFormat="1" ht="16.5" outlineLevel="1" thickTop="1" thickBot="1">
      <c r="A135" s="580" t="s">
        <v>258</v>
      </c>
      <c r="B135" s="585" t="s">
        <v>764</v>
      </c>
      <c r="C135" s="585" t="s">
        <v>250</v>
      </c>
      <c r="D135" s="587" t="s">
        <v>764</v>
      </c>
      <c r="E135" s="589" t="s">
        <v>259</v>
      </c>
      <c r="F135" s="595">
        <v>4187</v>
      </c>
      <c r="G135" s="576"/>
      <c r="H135" s="595">
        <v>0</v>
      </c>
      <c r="I135" s="595">
        <v>4187</v>
      </c>
      <c r="J135" s="595">
        <v>0</v>
      </c>
      <c r="K135" s="1326">
        <f>SUM(K131:K134)</f>
        <v>4186.4848700000002</v>
      </c>
      <c r="L135" s="576"/>
      <c r="M135" s="595">
        <v>4183</v>
      </c>
      <c r="N135" s="577" t="e">
        <f ca="1">IF(OR(M135=0,M135="")," ",[43]!Arp(K135,M135,ARP_Threshold))</f>
        <v>#NAME?</v>
      </c>
      <c r="O135" s="578" t="e">
        <f ca="1">IF(AND(K135="",M135="")," ",[43]!Ara(K135,M135,ARA_Threshold))</f>
        <v>#NAME?</v>
      </c>
    </row>
    <row r="136" spans="1:15" s="580" customFormat="1" ht="15.75" outlineLevel="1" thickTop="1">
      <c r="A136" s="580" t="s">
        <v>260</v>
      </c>
      <c r="B136" s="585" t="s">
        <v>764</v>
      </c>
      <c r="C136" s="585" t="s">
        <v>764</v>
      </c>
      <c r="D136" s="587" t="s">
        <v>764</v>
      </c>
      <c r="F136" s="575"/>
      <c r="G136" s="576"/>
      <c r="H136" s="575"/>
      <c r="I136" s="575"/>
      <c r="J136" s="575"/>
      <c r="K136" s="575"/>
      <c r="L136" s="576"/>
      <c r="M136" s="575"/>
      <c r="N136" s="577" t="str">
        <f>IF(OR(M136=0,M136="")," ",[43]!Arp(K136,M136,ARP_Threshold))</f>
        <v xml:space="preserve"> </v>
      </c>
      <c r="O136" s="578" t="str">
        <f>IF(AND(K136="",M136="")," ",[43]!Ara(K136,M136,ARA_Threshold))</f>
        <v xml:space="preserve"> </v>
      </c>
    </row>
    <row r="137" spans="1:15" s="580" customFormat="1" ht="15" customHeight="1" outlineLevel="2">
      <c r="A137" s="580" t="s">
        <v>261</v>
      </c>
      <c r="B137" s="585" t="s">
        <v>764</v>
      </c>
      <c r="C137" s="585" t="s">
        <v>262</v>
      </c>
      <c r="D137" s="587" t="s">
        <v>814</v>
      </c>
      <c r="E137" s="580" t="s">
        <v>263</v>
      </c>
      <c r="F137" s="575">
        <v>2500</v>
      </c>
      <c r="G137" s="576"/>
      <c r="H137" s="575">
        <v>0</v>
      </c>
      <c r="I137" s="575">
        <v>2500</v>
      </c>
      <c r="J137" s="575">
        <v>0</v>
      </c>
      <c r="K137" s="575">
        <v>2500</v>
      </c>
      <c r="L137" s="576"/>
      <c r="M137" s="575">
        <v>2500</v>
      </c>
      <c r="N137" s="577" t="e">
        <f ca="1">IF(OR(M137=0,M137="")," ",[43]!Arp(K137,M137,ARP_Threshold))</f>
        <v>#NAME?</v>
      </c>
      <c r="O137" s="578" t="e">
        <f ca="1">IF(AND(K137="",M137="")," ",[43]!Ara(K137,M137,ARA_Threshold))</f>
        <v>#NAME?</v>
      </c>
    </row>
    <row r="138" spans="1:15" s="580" customFormat="1" ht="15.75" customHeight="1" outlineLevel="2" thickBot="1">
      <c r="A138" s="580" t="s">
        <v>264</v>
      </c>
      <c r="B138" s="585" t="s">
        <v>764</v>
      </c>
      <c r="C138" s="585" t="s">
        <v>262</v>
      </c>
      <c r="D138" s="587" t="s">
        <v>815</v>
      </c>
      <c r="E138" s="580" t="s">
        <v>265</v>
      </c>
      <c r="F138" s="590">
        <v>0</v>
      </c>
      <c r="G138" s="584"/>
      <c r="H138" s="590">
        <v>0</v>
      </c>
      <c r="I138" s="590">
        <v>0</v>
      </c>
      <c r="J138" s="590">
        <v>0</v>
      </c>
      <c r="K138" s="590">
        <v>0</v>
      </c>
      <c r="L138" s="584"/>
      <c r="M138" s="590">
        <v>0</v>
      </c>
      <c r="N138" s="577" t="str">
        <f>IF(OR(M138=0,M138="")," ",[43]!Arp(K138,M138,ARP_Threshold))</f>
        <v xml:space="preserve"> </v>
      </c>
      <c r="O138" s="578" t="e">
        <f ca="1">IF(AND(K138="",M138="")," ",[43]!Ara(K138,M138,ARA_Threshold))</f>
        <v>#NAME?</v>
      </c>
    </row>
    <row r="139" spans="1:15" s="580" customFormat="1" ht="16.5" outlineLevel="1" thickTop="1" thickBot="1">
      <c r="A139" s="580" t="s">
        <v>266</v>
      </c>
      <c r="B139" s="585" t="s">
        <v>764</v>
      </c>
      <c r="C139" s="585" t="s">
        <v>262</v>
      </c>
      <c r="D139" s="587" t="s">
        <v>764</v>
      </c>
      <c r="E139" s="589" t="s">
        <v>267</v>
      </c>
      <c r="F139" s="595">
        <v>2500</v>
      </c>
      <c r="G139" s="576"/>
      <c r="H139" s="595">
        <v>0</v>
      </c>
      <c r="I139" s="595">
        <v>2500</v>
      </c>
      <c r="J139" s="595">
        <v>0</v>
      </c>
      <c r="K139" s="1314">
        <v>2500</v>
      </c>
      <c r="L139" s="576"/>
      <c r="M139" s="595">
        <v>2500</v>
      </c>
      <c r="N139" s="577" t="e">
        <f ca="1">IF(OR(M139=0,M139="")," ",[43]!Arp(K139,M139,ARP_Threshold))</f>
        <v>#NAME?</v>
      </c>
      <c r="O139" s="578" t="e">
        <f ca="1">IF(AND(K139="",M139="")," ",[43]!Ara(K139,M139,ARA_Threshold))</f>
        <v>#NAME?</v>
      </c>
    </row>
    <row r="140" spans="1:15" s="580" customFormat="1" ht="15.75" outlineLevel="1" thickTop="1">
      <c r="A140" s="580" t="s">
        <v>268</v>
      </c>
      <c r="B140" s="585" t="s">
        <v>764</v>
      </c>
      <c r="C140" s="585" t="s">
        <v>764</v>
      </c>
      <c r="D140" s="587" t="s">
        <v>764</v>
      </c>
      <c r="F140" s="575"/>
      <c r="G140" s="576"/>
      <c r="H140" s="575"/>
      <c r="I140" s="575"/>
      <c r="J140" s="575"/>
      <c r="K140" s="575"/>
      <c r="L140" s="576"/>
      <c r="M140" s="575"/>
      <c r="N140" s="577" t="str">
        <f>IF(OR(M140=0,M140="")," ",[43]!Arp(K140,M140,ARP_Threshold))</f>
        <v xml:space="preserve"> </v>
      </c>
      <c r="O140" s="578" t="str">
        <f>IF(AND(K140="",M140="")," ",[43]!Ara(K140,M140,ARA_Threshold))</f>
        <v xml:space="preserve"> </v>
      </c>
    </row>
    <row r="141" spans="1:15" s="580" customFormat="1" ht="15.75" customHeight="1" outlineLevel="2" thickBot="1">
      <c r="A141" s="580" t="s">
        <v>269</v>
      </c>
      <c r="B141" s="585" t="s">
        <v>764</v>
      </c>
      <c r="C141" s="585" t="s">
        <v>270</v>
      </c>
      <c r="D141" s="587" t="s">
        <v>816</v>
      </c>
      <c r="E141" s="580" t="s">
        <v>271</v>
      </c>
      <c r="F141" s="590">
        <v>200</v>
      </c>
      <c r="G141" s="584"/>
      <c r="H141" s="590">
        <v>0</v>
      </c>
      <c r="I141" s="590">
        <v>200</v>
      </c>
      <c r="J141" s="590">
        <v>0</v>
      </c>
      <c r="K141" s="590">
        <v>200</v>
      </c>
      <c r="L141" s="584"/>
      <c r="M141" s="590">
        <v>200</v>
      </c>
      <c r="N141" s="577" t="e">
        <f ca="1">IF(OR(M141=0,M141="")," ",[43]!Arp(K141,M141,ARP_Threshold))</f>
        <v>#NAME?</v>
      </c>
      <c r="O141" s="578" t="e">
        <f ca="1">IF(AND(K141="",M141="")," ",[43]!Ara(K141,M141,ARA_Threshold))</f>
        <v>#NAME?</v>
      </c>
    </row>
    <row r="142" spans="1:15" s="580" customFormat="1" ht="16.5" outlineLevel="1" thickTop="1" thickBot="1">
      <c r="A142" s="580" t="s">
        <v>272</v>
      </c>
      <c r="B142" s="585" t="s">
        <v>764</v>
      </c>
      <c r="C142" s="585" t="s">
        <v>270</v>
      </c>
      <c r="D142" s="587" t="s">
        <v>764</v>
      </c>
      <c r="E142" s="589" t="s">
        <v>273</v>
      </c>
      <c r="F142" s="595">
        <v>200</v>
      </c>
      <c r="G142" s="576"/>
      <c r="H142" s="595">
        <v>0</v>
      </c>
      <c r="I142" s="595">
        <v>200</v>
      </c>
      <c r="J142" s="595">
        <v>0</v>
      </c>
      <c r="K142" s="1314">
        <v>200</v>
      </c>
      <c r="L142" s="576"/>
      <c r="M142" s="595">
        <v>200</v>
      </c>
      <c r="N142" s="577" t="e">
        <f ca="1">IF(OR(M142=0,M142="")," ",[43]!Arp(K142,M142,ARP_Threshold))</f>
        <v>#NAME?</v>
      </c>
      <c r="O142" s="578" t="e">
        <f ca="1">IF(AND(K142="",M142="")," ",[43]!Ara(K142,M142,ARA_Threshold))</f>
        <v>#NAME?</v>
      </c>
    </row>
    <row r="143" spans="1:15" s="580" customFormat="1" ht="16.5" outlineLevel="1" thickTop="1" thickBot="1">
      <c r="A143" s="580" t="s">
        <v>274</v>
      </c>
      <c r="B143" s="585" t="s">
        <v>764</v>
      </c>
      <c r="C143" s="585" t="s">
        <v>764</v>
      </c>
      <c r="D143" s="587" t="s">
        <v>764</v>
      </c>
      <c r="F143" s="575"/>
      <c r="G143" s="576"/>
      <c r="H143" s="575"/>
      <c r="I143" s="575"/>
      <c r="J143" s="575"/>
      <c r="K143" s="575"/>
      <c r="L143" s="576"/>
      <c r="M143" s="575"/>
      <c r="N143" s="577" t="str">
        <f>IF(OR(M143=0,M143="")," ",[43]!Arp(K143,M143,ARP_Threshold))</f>
        <v xml:space="preserve"> </v>
      </c>
      <c r="O143" s="578" t="str">
        <f>IF(AND(K143="",M143="")," ",[43]!Ara(K143,M143,ARA_Threshold))</f>
        <v xml:space="preserve"> </v>
      </c>
    </row>
    <row r="144" spans="1:15" s="580" customFormat="1" ht="16.5" outlineLevel="1" thickTop="1" thickBot="1">
      <c r="A144" s="580" t="s">
        <v>275</v>
      </c>
      <c r="B144" s="585" t="s">
        <v>764</v>
      </c>
      <c r="C144" s="585" t="s">
        <v>276</v>
      </c>
      <c r="D144" s="587" t="s">
        <v>764</v>
      </c>
      <c r="E144" s="589" t="s">
        <v>277</v>
      </c>
      <c r="F144" s="579">
        <v>0</v>
      </c>
      <c r="G144" s="576"/>
      <c r="H144" s="579">
        <v>0</v>
      </c>
      <c r="I144" s="579">
        <v>0</v>
      </c>
      <c r="J144" s="579">
        <v>0</v>
      </c>
      <c r="K144" s="579">
        <v>0</v>
      </c>
      <c r="L144" s="576"/>
      <c r="M144" s="579">
        <v>0</v>
      </c>
      <c r="N144" s="577" t="str">
        <f>IF(OR(M144=0,M144="")," ",[43]!Arp(K144,M144,ARP_Threshold))</f>
        <v xml:space="preserve"> </v>
      </c>
      <c r="O144" s="578" t="e">
        <f ca="1">IF(AND(K144="",M144="")," ",[43]!Ara(K144,M144,ARA_Threshold))</f>
        <v>#NAME?</v>
      </c>
    </row>
    <row r="145" spans="1:15" s="580" customFormat="1" ht="15.75" outlineLevel="1" thickTop="1">
      <c r="A145" s="580" t="s">
        <v>278</v>
      </c>
      <c r="B145" s="585" t="s">
        <v>764</v>
      </c>
      <c r="C145" s="585" t="s">
        <v>764</v>
      </c>
      <c r="D145" s="587" t="s">
        <v>764</v>
      </c>
      <c r="F145" s="575"/>
      <c r="G145" s="576"/>
      <c r="H145" s="575"/>
      <c r="I145" s="575"/>
      <c r="J145" s="575"/>
      <c r="K145" s="575"/>
      <c r="L145" s="576"/>
      <c r="M145" s="575"/>
      <c r="N145" s="577" t="str">
        <f>IF(OR(M145=0,M145="")," ",[43]!Arp(K145,M145,ARP_Threshold))</f>
        <v xml:space="preserve"> </v>
      </c>
      <c r="O145" s="578" t="str">
        <f>IF(AND(K145="",M145="")," ",[43]!Ara(K145,M145,ARA_Threshold))</f>
        <v xml:space="preserve"> </v>
      </c>
    </row>
    <row r="146" spans="1:15" s="580" customFormat="1" ht="15.75" customHeight="1" outlineLevel="2" thickBot="1">
      <c r="A146" s="580" t="s">
        <v>279</v>
      </c>
      <c r="B146" s="585" t="s">
        <v>764</v>
      </c>
      <c r="C146" s="585" t="s">
        <v>280</v>
      </c>
      <c r="D146" s="587" t="s">
        <v>817</v>
      </c>
      <c r="E146" s="580" t="s">
        <v>281</v>
      </c>
      <c r="F146" s="590">
        <v>108</v>
      </c>
      <c r="G146" s="584"/>
      <c r="H146" s="590">
        <v>0</v>
      </c>
      <c r="I146" s="590">
        <v>108</v>
      </c>
      <c r="J146" s="590">
        <v>0</v>
      </c>
      <c r="K146" s="590">
        <v>44.578139999999998</v>
      </c>
      <c r="L146" s="584"/>
      <c r="M146" s="590">
        <v>110</v>
      </c>
      <c r="N146" s="577" t="e">
        <f ca="1">IF(OR(M146=0,M146="")," ",[43]!Arp(K146,M146,ARP_Threshold))</f>
        <v>#NAME?</v>
      </c>
      <c r="O146" s="578" t="e">
        <f ca="1">IF(AND(K146="",M146="")," ",[43]!Ara(K146,M146,ARA_Threshold))</f>
        <v>#NAME?</v>
      </c>
    </row>
    <row r="147" spans="1:15" s="580" customFormat="1" ht="16.5" outlineLevel="1" thickTop="1" thickBot="1">
      <c r="A147" s="580" t="s">
        <v>282</v>
      </c>
      <c r="B147" s="585" t="s">
        <v>764</v>
      </c>
      <c r="C147" s="585" t="s">
        <v>280</v>
      </c>
      <c r="D147" s="587" t="s">
        <v>764</v>
      </c>
      <c r="E147" s="589" t="s">
        <v>283</v>
      </c>
      <c r="F147" s="595">
        <v>108</v>
      </c>
      <c r="G147" s="576"/>
      <c r="H147" s="595">
        <v>0</v>
      </c>
      <c r="I147" s="595">
        <v>108</v>
      </c>
      <c r="J147" s="595">
        <v>0</v>
      </c>
      <c r="K147" s="1315">
        <v>45</v>
      </c>
      <c r="L147" s="576"/>
      <c r="M147" s="595">
        <v>110</v>
      </c>
      <c r="N147" s="577" t="e">
        <f ca="1">IF(OR(M147=0,M147="")," ",[43]!Arp(K147,M147,ARP_Threshold))</f>
        <v>#NAME?</v>
      </c>
      <c r="O147" s="578" t="e">
        <f ca="1">IF(AND(K147="",M147="")," ",[43]!Ara(K147,M147,ARA_Threshold))</f>
        <v>#NAME?</v>
      </c>
    </row>
    <row r="148" spans="1:15" s="580" customFormat="1" ht="15.75" outlineLevel="1" thickTop="1">
      <c r="A148" s="580" t="s">
        <v>284</v>
      </c>
      <c r="B148" s="585" t="s">
        <v>764</v>
      </c>
      <c r="C148" s="585" t="s">
        <v>764</v>
      </c>
      <c r="D148" s="587" t="s">
        <v>764</v>
      </c>
      <c r="F148" s="575"/>
      <c r="G148" s="576"/>
      <c r="H148" s="575"/>
      <c r="I148" s="575"/>
      <c r="J148" s="575"/>
      <c r="K148" s="575"/>
      <c r="L148" s="576"/>
      <c r="M148" s="575"/>
      <c r="N148" s="577" t="str">
        <f>IF(OR(M148=0,M148="")," ",[43]!Arp(K148,M148,ARP_Threshold))</f>
        <v xml:space="preserve"> </v>
      </c>
      <c r="O148" s="578" t="str">
        <f>IF(AND(K148="",M148="")," ",[43]!Ara(K148,M148,ARA_Threshold))</f>
        <v xml:space="preserve"> </v>
      </c>
    </row>
    <row r="149" spans="1:15" s="580" customFormat="1" ht="15.75" customHeight="1" outlineLevel="2" thickBot="1">
      <c r="A149" s="580" t="s">
        <v>285</v>
      </c>
      <c r="B149" s="585" t="s">
        <v>764</v>
      </c>
      <c r="C149" s="585" t="s">
        <v>286</v>
      </c>
      <c r="D149" s="1070" t="s">
        <v>821</v>
      </c>
      <c r="E149" s="580" t="s">
        <v>287</v>
      </c>
      <c r="F149" s="590">
        <v>0</v>
      </c>
      <c r="G149" s="584"/>
      <c r="H149" s="590">
        <v>0</v>
      </c>
      <c r="I149" s="590">
        <v>0</v>
      </c>
      <c r="J149" s="590">
        <v>0</v>
      </c>
      <c r="K149" s="590">
        <v>21</v>
      </c>
      <c r="L149" s="584"/>
      <c r="M149" s="590">
        <v>0</v>
      </c>
      <c r="N149" s="577" t="str">
        <f>IF(OR(M149=0,M149="")," ",[43]!Arp(K149,M149,ARP_Threshold))</f>
        <v xml:space="preserve"> </v>
      </c>
      <c r="O149" s="578" t="e">
        <f ca="1">IF(AND(K149="",M149="")," ",[43]!Ara(K149,M149,ARA_Threshold))</f>
        <v>#NAME?</v>
      </c>
    </row>
    <row r="150" spans="1:15" s="580" customFormat="1" ht="16.5" outlineLevel="1" thickTop="1" thickBot="1">
      <c r="A150" s="580" t="s">
        <v>288</v>
      </c>
      <c r="B150" s="585" t="s">
        <v>764</v>
      </c>
      <c r="C150" s="585" t="s">
        <v>286</v>
      </c>
      <c r="D150" s="587" t="s">
        <v>764</v>
      </c>
      <c r="E150" s="589" t="s">
        <v>289</v>
      </c>
      <c r="F150" s="595">
        <v>0</v>
      </c>
      <c r="G150" s="576"/>
      <c r="H150" s="595">
        <v>0</v>
      </c>
      <c r="I150" s="595">
        <v>0</v>
      </c>
      <c r="J150" s="595">
        <v>0</v>
      </c>
      <c r="K150" s="1315">
        <v>21</v>
      </c>
      <c r="L150" s="576"/>
      <c r="M150" s="595">
        <v>0</v>
      </c>
      <c r="N150" s="577" t="str">
        <f>IF(OR(M150=0,M150="")," ",[43]!Arp(K150,M150,ARP_Threshold))</f>
        <v xml:space="preserve"> </v>
      </c>
      <c r="O150" s="578" t="e">
        <f ca="1">IF(AND(K150="",M150="")," ",[43]!Ara(K150,M150,ARA_Threshold))</f>
        <v>#NAME?</v>
      </c>
    </row>
    <row r="151" spans="1:15" s="580" customFormat="1" ht="15.75" outlineLevel="1" thickTop="1">
      <c r="A151" s="580" t="s">
        <v>290</v>
      </c>
      <c r="B151" s="585" t="s">
        <v>764</v>
      </c>
      <c r="C151" s="585" t="s">
        <v>764</v>
      </c>
      <c r="D151" s="587" t="s">
        <v>764</v>
      </c>
      <c r="F151" s="575"/>
      <c r="G151" s="576"/>
      <c r="H151" s="575"/>
      <c r="I151" s="575"/>
      <c r="J151" s="575"/>
      <c r="K151" s="575"/>
      <c r="L151" s="576"/>
      <c r="M151" s="575"/>
      <c r="N151" s="577" t="str">
        <f>IF(OR(M151=0,M151="")," ",[43]!Arp(K151,M151,ARP_Threshold))</f>
        <v xml:space="preserve"> </v>
      </c>
      <c r="O151" s="578" t="str">
        <f>IF(AND(K151="",M151="")," ",[43]!Ara(K151,M151,ARA_Threshold))</f>
        <v xml:space="preserve"> </v>
      </c>
    </row>
    <row r="152" spans="1:15" s="580" customFormat="1" ht="15" customHeight="1" outlineLevel="2">
      <c r="A152" s="580" t="s">
        <v>291</v>
      </c>
      <c r="B152" s="585" t="s">
        <v>764</v>
      </c>
      <c r="C152" s="585" t="s">
        <v>292</v>
      </c>
      <c r="D152" s="587" t="s">
        <v>784</v>
      </c>
      <c r="E152" s="580" t="s">
        <v>293</v>
      </c>
      <c r="F152" s="575">
        <v>8664</v>
      </c>
      <c r="G152" s="576"/>
      <c r="H152" s="575">
        <v>0</v>
      </c>
      <c r="I152" s="575">
        <v>8664</v>
      </c>
      <c r="J152" s="575">
        <v>0</v>
      </c>
      <c r="K152" s="575">
        <v>8663.85</v>
      </c>
      <c r="L152" s="576"/>
      <c r="M152" s="575">
        <v>8664</v>
      </c>
      <c r="N152" s="577" t="e">
        <f ca="1">IF(OR(M152=0,M152="")," ",[43]!Arp(K152,M152,ARP_Threshold))</f>
        <v>#NAME?</v>
      </c>
      <c r="O152" s="578" t="e">
        <f ca="1">IF(AND(K152="",M152="")," ",[43]!Ara(K152,M152,ARA_Threshold))</f>
        <v>#NAME?</v>
      </c>
    </row>
    <row r="153" spans="1:15" s="580" customFormat="1" ht="15.75" customHeight="1" outlineLevel="2" thickBot="1">
      <c r="A153" s="580" t="s">
        <v>294</v>
      </c>
      <c r="B153" s="585" t="s">
        <v>764</v>
      </c>
      <c r="C153" s="585" t="s">
        <v>292</v>
      </c>
      <c r="D153" s="587" t="s">
        <v>1586</v>
      </c>
      <c r="E153" s="580" t="s">
        <v>295</v>
      </c>
      <c r="F153" s="590">
        <v>0</v>
      </c>
      <c r="G153" s="584"/>
      <c r="H153" s="590">
        <v>0</v>
      </c>
      <c r="I153" s="590">
        <v>0</v>
      </c>
      <c r="J153" s="590">
        <v>0</v>
      </c>
      <c r="K153" s="590">
        <v>112928.36992</v>
      </c>
      <c r="L153" s="584"/>
      <c r="M153" s="590">
        <v>0</v>
      </c>
      <c r="N153" s="577" t="str">
        <f>IF(OR(M153=0,M153="")," ",[43]!Arp(K153,M153,ARP_Threshold))</f>
        <v xml:space="preserve"> </v>
      </c>
      <c r="O153" s="578" t="e">
        <f ca="1">IF(AND(K153="",M153="")," ",[43]!Ara(K153,M153,ARA_Threshold))</f>
        <v>#NAME?</v>
      </c>
    </row>
    <row r="154" spans="1:15" s="580" customFormat="1" ht="16.5" outlineLevel="1" thickTop="1" thickBot="1">
      <c r="A154" s="580" t="s">
        <v>296</v>
      </c>
      <c r="B154" s="585" t="s">
        <v>764</v>
      </c>
      <c r="C154" s="585" t="s">
        <v>292</v>
      </c>
      <c r="D154" s="587" t="s">
        <v>764</v>
      </c>
      <c r="E154" s="589" t="s">
        <v>297</v>
      </c>
      <c r="F154" s="595">
        <v>8664</v>
      </c>
      <c r="G154" s="576"/>
      <c r="H154" s="595">
        <v>0</v>
      </c>
      <c r="I154" s="595">
        <v>8664</v>
      </c>
      <c r="J154" s="595">
        <v>0</v>
      </c>
      <c r="K154" s="1327">
        <f>SUM(K152:K153)</f>
        <v>121592.21992</v>
      </c>
      <c r="L154" s="576"/>
      <c r="M154" s="595">
        <v>8664</v>
      </c>
      <c r="N154" s="577" t="e">
        <f ca="1">IF(OR(M154=0,M154="")," ",[43]!Arp(K154,M154,ARP_Threshold))</f>
        <v>#NAME?</v>
      </c>
      <c r="O154" s="578" t="e">
        <f ca="1">IF(AND(K154="",M154="")," ",[43]!Ara(K154,M154,ARA_Threshold))</f>
        <v>#NAME?</v>
      </c>
    </row>
    <row r="155" spans="1:15" s="580" customFormat="1" ht="16.5" outlineLevel="1" thickTop="1" thickBot="1">
      <c r="A155" s="580" t="s">
        <v>298</v>
      </c>
      <c r="B155" s="585" t="s">
        <v>764</v>
      </c>
      <c r="C155" s="585" t="s">
        <v>764</v>
      </c>
      <c r="D155" s="587" t="s">
        <v>764</v>
      </c>
      <c r="F155" s="575"/>
      <c r="G155" s="576"/>
      <c r="H155" s="575"/>
      <c r="I155" s="575"/>
      <c r="J155" s="575"/>
      <c r="K155" s="575"/>
      <c r="L155" s="576"/>
      <c r="M155" s="575"/>
      <c r="N155" s="577" t="str">
        <f>IF(OR(M155=0,M155="")," ",[43]!Arp(K155,M155,ARP_Threshold))</f>
        <v xml:space="preserve"> </v>
      </c>
      <c r="O155" s="578" t="str">
        <f>IF(AND(K155="",M155="")," ",[43]!Ara(K155,M155,ARA_Threshold))</f>
        <v xml:space="preserve"> </v>
      </c>
    </row>
    <row r="156" spans="1:15" s="580" customFormat="1" ht="16.5" outlineLevel="1" thickTop="1" thickBot="1">
      <c r="A156" s="580" t="s">
        <v>299</v>
      </c>
      <c r="B156" s="585" t="s">
        <v>764</v>
      </c>
      <c r="C156" s="585" t="s">
        <v>300</v>
      </c>
      <c r="D156" s="587" t="s">
        <v>764</v>
      </c>
      <c r="E156" s="589" t="s">
        <v>301</v>
      </c>
      <c r="F156" s="579">
        <v>0</v>
      </c>
      <c r="G156" s="576"/>
      <c r="H156" s="579">
        <v>0</v>
      </c>
      <c r="I156" s="579">
        <v>0</v>
      </c>
      <c r="J156" s="579">
        <v>0</v>
      </c>
      <c r="K156" s="579">
        <v>0</v>
      </c>
      <c r="L156" s="576"/>
      <c r="M156" s="579">
        <v>0</v>
      </c>
      <c r="N156" s="577" t="str">
        <f>IF(OR(M156=0,M156="")," ",[43]!Arp(K156,M156,ARP_Threshold))</f>
        <v xml:space="preserve"> </v>
      </c>
      <c r="O156" s="578" t="e">
        <f ca="1">IF(AND(K156="",M156="")," ",[43]!Ara(K156,M156,ARA_Threshold))</f>
        <v>#NAME?</v>
      </c>
    </row>
    <row r="157" spans="1:15" s="580" customFormat="1" ht="15.75" outlineLevel="1" thickTop="1">
      <c r="A157" s="580" t="s">
        <v>302</v>
      </c>
      <c r="B157" s="585" t="s">
        <v>764</v>
      </c>
      <c r="C157" s="585" t="s">
        <v>764</v>
      </c>
      <c r="D157" s="587" t="s">
        <v>764</v>
      </c>
      <c r="F157" s="575"/>
      <c r="G157" s="576"/>
      <c r="H157" s="575"/>
      <c r="I157" s="575"/>
      <c r="J157" s="575"/>
      <c r="K157" s="575"/>
      <c r="L157" s="576"/>
      <c r="M157" s="575"/>
      <c r="N157" s="577" t="str">
        <f>IF(OR(M157=0,M157="")," ",[43]!Arp(K157,M157,ARP_Threshold))</f>
        <v xml:space="preserve"> </v>
      </c>
      <c r="O157" s="578" t="str">
        <f>IF(AND(K157="",M157="")," ",[43]!Ara(K157,M157,ARA_Threshold))</f>
        <v xml:space="preserve"> </v>
      </c>
    </row>
    <row r="158" spans="1:15" s="580" customFormat="1" ht="15" customHeight="1" outlineLevel="2">
      <c r="A158" s="580" t="s">
        <v>303</v>
      </c>
      <c r="B158" s="585" t="s">
        <v>764</v>
      </c>
      <c r="C158" s="585" t="s">
        <v>304</v>
      </c>
      <c r="D158" s="587" t="s">
        <v>824</v>
      </c>
      <c r="E158" s="580" t="s">
        <v>305</v>
      </c>
      <c r="F158" s="575">
        <v>-1511</v>
      </c>
      <c r="G158" s="576"/>
      <c r="H158" s="575">
        <v>0</v>
      </c>
      <c r="I158" s="575">
        <v>-1511</v>
      </c>
      <c r="J158" s="575">
        <v>0</v>
      </c>
      <c r="K158" s="575">
        <v>-2679</v>
      </c>
      <c r="L158" s="576"/>
      <c r="M158" s="575">
        <v>-1410</v>
      </c>
      <c r="N158" s="577" t="e">
        <f ca="1">IF(OR(M158=0,M158="")," ",[43]!Arp(K158,M158,ARP_Threshold))</f>
        <v>#NAME?</v>
      </c>
      <c r="O158" s="578" t="e">
        <f ca="1">IF(AND(K158="",M158="")," ",[43]!Ara(K158,M158,ARA_Threshold))</f>
        <v>#NAME?</v>
      </c>
    </row>
    <row r="159" spans="1:15" s="580" customFormat="1" ht="15" customHeight="1" outlineLevel="2">
      <c r="A159" s="580" t="s">
        <v>306</v>
      </c>
      <c r="B159" s="585" t="s">
        <v>764</v>
      </c>
      <c r="C159" s="585" t="s">
        <v>304</v>
      </c>
      <c r="D159" s="587" t="s">
        <v>826</v>
      </c>
      <c r="E159" s="580" t="s">
        <v>307</v>
      </c>
      <c r="F159" s="575">
        <v>-1162</v>
      </c>
      <c r="G159" s="576"/>
      <c r="H159" s="575">
        <v>0</v>
      </c>
      <c r="I159" s="575">
        <v>-1162</v>
      </c>
      <c r="J159" s="575">
        <v>0</v>
      </c>
      <c r="K159" s="575">
        <v>-3261.29889</v>
      </c>
      <c r="L159" s="576"/>
      <c r="M159" s="575">
        <v>-1126</v>
      </c>
      <c r="N159" s="577" t="e">
        <f ca="1">IF(OR(M159=0,M159="")," ",[43]!Arp(K159,M159,ARP_Threshold))</f>
        <v>#NAME?</v>
      </c>
      <c r="O159" s="578" t="e">
        <f ca="1">IF(AND(K159="",M159="")," ",[43]!Ara(K159,M159,ARA_Threshold))</f>
        <v>#NAME?</v>
      </c>
    </row>
    <row r="160" spans="1:15" s="580" customFormat="1" ht="15" customHeight="1" outlineLevel="2">
      <c r="A160" s="580" t="s">
        <v>308</v>
      </c>
      <c r="B160" s="585" t="s">
        <v>764</v>
      </c>
      <c r="C160" s="585" t="s">
        <v>304</v>
      </c>
      <c r="D160" s="587" t="s">
        <v>825</v>
      </c>
      <c r="E160" s="580" t="s">
        <v>309</v>
      </c>
      <c r="F160" s="575">
        <v>-196</v>
      </c>
      <c r="G160" s="576"/>
      <c r="H160" s="575">
        <v>0</v>
      </c>
      <c r="I160" s="575">
        <v>-196</v>
      </c>
      <c r="J160" s="575">
        <v>0</v>
      </c>
      <c r="K160" s="575">
        <f>-347.89774</f>
        <v>-347.89774</v>
      </c>
      <c r="L160" s="576"/>
      <c r="M160" s="575">
        <v>-184</v>
      </c>
      <c r="N160" s="577" t="e">
        <f ca="1">IF(OR(M160=0,M160="")," ",[43]!Arp(K160,M160,ARP_Threshold))</f>
        <v>#NAME?</v>
      </c>
      <c r="O160" s="578" t="e">
        <f ca="1">IF(AND(K160="",M160="")," ",[43]!Ara(K160,M160,ARA_Threshold))</f>
        <v>#NAME?</v>
      </c>
    </row>
    <row r="161" spans="1:15" s="580" customFormat="1" ht="15.75" customHeight="1" outlineLevel="2" thickBot="1">
      <c r="A161" s="580" t="s">
        <v>310</v>
      </c>
      <c r="B161" s="585" t="s">
        <v>764</v>
      </c>
      <c r="C161" s="585" t="s">
        <v>304</v>
      </c>
      <c r="D161" s="587" t="s">
        <v>828</v>
      </c>
      <c r="E161" s="580" t="s">
        <v>311</v>
      </c>
      <c r="F161" s="590">
        <v>-176</v>
      </c>
      <c r="G161" s="584"/>
      <c r="H161" s="590">
        <v>0</v>
      </c>
      <c r="I161" s="590">
        <v>-176</v>
      </c>
      <c r="J161" s="590">
        <v>0</v>
      </c>
      <c r="K161" s="590">
        <v>-165.26012</v>
      </c>
      <c r="L161" s="584"/>
      <c r="M161" s="590">
        <v>-115</v>
      </c>
      <c r="N161" s="577" t="e">
        <f ca="1">IF(OR(M161=0,M161="")," ",[43]!Arp(K161,M161,ARP_Threshold))</f>
        <v>#NAME?</v>
      </c>
      <c r="O161" s="578" t="e">
        <f ca="1">IF(AND(K161="",M161="")," ",[43]!Ara(K161,M161,ARA_Threshold))</f>
        <v>#NAME?</v>
      </c>
    </row>
    <row r="162" spans="1:15" s="580" customFormat="1" ht="15.75" customHeight="1" outlineLevel="2" thickTop="1" thickBot="1">
      <c r="A162" s="580" t="s">
        <v>1551</v>
      </c>
      <c r="B162" s="585" t="s">
        <v>764</v>
      </c>
      <c r="C162" s="585" t="s">
        <v>304</v>
      </c>
      <c r="D162" s="587" t="s">
        <v>1553</v>
      </c>
      <c r="E162" s="587" t="s">
        <v>1552</v>
      </c>
      <c r="F162" s="713">
        <v>-614</v>
      </c>
      <c r="G162" s="584"/>
      <c r="H162" s="713">
        <v>0</v>
      </c>
      <c r="I162" s="713">
        <v>-614</v>
      </c>
      <c r="J162" s="713">
        <v>0</v>
      </c>
      <c r="K162" s="713">
        <v>-633.21181999999999</v>
      </c>
      <c r="L162" s="584"/>
      <c r="M162" s="713">
        <v>0</v>
      </c>
      <c r="N162" s="577" t="str">
        <f>IF(OR(M162=0,M162="")," ",[43]!Arp(K162,M162,ARP_Threshold))</f>
        <v xml:space="preserve"> </v>
      </c>
      <c r="O162" s="578" t="e">
        <f ca="1">IF(AND(K162="",M162="")," ",[43]!Ara(K162,M162,ARA_Threshold))</f>
        <v>#NAME?</v>
      </c>
    </row>
    <row r="163" spans="1:15" s="580" customFormat="1" ht="16.5" outlineLevel="1" thickTop="1" thickBot="1">
      <c r="A163" s="580" t="s">
        <v>312</v>
      </c>
      <c r="B163" s="585" t="s">
        <v>764</v>
      </c>
      <c r="C163" s="585" t="s">
        <v>304</v>
      </c>
      <c r="D163" s="587" t="s">
        <v>764</v>
      </c>
      <c r="E163" s="589" t="s">
        <v>313</v>
      </c>
      <c r="F163" s="595">
        <v>-3659</v>
      </c>
      <c r="G163" s="576"/>
      <c r="H163" s="595">
        <v>0</v>
      </c>
      <c r="I163" s="595">
        <v>-3659</v>
      </c>
      <c r="J163" s="595">
        <v>0</v>
      </c>
      <c r="K163" s="1327">
        <f>SUM(K158:K162)</f>
        <v>-7086.6685699999998</v>
      </c>
      <c r="L163" s="576"/>
      <c r="M163" s="595">
        <v>-2835</v>
      </c>
      <c r="N163" s="577" t="e">
        <f ca="1">IF(OR(M163=0,M163="")," ",[43]!Arp(K163,M163,ARP_Threshold))</f>
        <v>#NAME?</v>
      </c>
      <c r="O163" s="578" t="e">
        <f ca="1">IF(AND(K163="",M163="")," ",[43]!Ara(K163,M163,ARA_Threshold))</f>
        <v>#NAME?</v>
      </c>
    </row>
    <row r="164" spans="1:15" s="580" customFormat="1" ht="15.75" outlineLevel="1" thickTop="1">
      <c r="A164" s="580" t="s">
        <v>314</v>
      </c>
      <c r="B164" s="585" t="s">
        <v>764</v>
      </c>
      <c r="C164" s="585" t="s">
        <v>764</v>
      </c>
      <c r="D164" s="587" t="s">
        <v>764</v>
      </c>
      <c r="F164" s="575"/>
      <c r="G164" s="576"/>
      <c r="H164" s="575"/>
      <c r="I164" s="575"/>
      <c r="J164" s="575"/>
      <c r="K164" s="575"/>
      <c r="L164" s="576"/>
      <c r="M164" s="575"/>
      <c r="N164" s="577" t="str">
        <f>IF(OR(M164=0,M164="")," ",[43]!Arp(K164,M164,ARP_Threshold))</f>
        <v xml:space="preserve"> </v>
      </c>
      <c r="O164" s="578" t="str">
        <f>IF(AND(K164="",M164="")," ",[43]!Ara(K164,M164,ARA_Threshold))</f>
        <v xml:space="preserve"> </v>
      </c>
    </row>
    <row r="165" spans="1:15" s="580" customFormat="1" ht="15" customHeight="1" outlineLevel="2">
      <c r="A165" s="580" t="s">
        <v>315</v>
      </c>
      <c r="B165" s="585" t="s">
        <v>764</v>
      </c>
      <c r="C165" s="585" t="s">
        <v>316</v>
      </c>
      <c r="D165" s="587" t="s">
        <v>829</v>
      </c>
      <c r="E165" s="580" t="s">
        <v>317</v>
      </c>
      <c r="F165" s="575">
        <v>-17</v>
      </c>
      <c r="G165" s="576"/>
      <c r="H165" s="575">
        <v>0</v>
      </c>
      <c r="I165" s="575">
        <v>-17</v>
      </c>
      <c r="J165" s="575">
        <v>0</v>
      </c>
      <c r="K165" s="575">
        <v>-16.663</v>
      </c>
      <c r="L165" s="576"/>
      <c r="M165" s="575">
        <v>-22</v>
      </c>
      <c r="N165" s="577" t="e">
        <f ca="1">IF(OR(M165=0,M165="")," ",[43]!Arp(K165,M165,ARP_Threshold))</f>
        <v>#NAME?</v>
      </c>
      <c r="O165" s="578" t="e">
        <f ca="1">IF(AND(K165="",M165="")," ",[43]!Ara(K165,M165,ARA_Threshold))</f>
        <v>#NAME?</v>
      </c>
    </row>
    <row r="166" spans="1:15" s="580" customFormat="1" ht="15.75" customHeight="1" outlineLevel="2" thickBot="1">
      <c r="A166" s="580" t="s">
        <v>318</v>
      </c>
      <c r="B166" s="585" t="s">
        <v>764</v>
      </c>
      <c r="C166" s="585" t="s">
        <v>316</v>
      </c>
      <c r="D166" s="587" t="s">
        <v>830</v>
      </c>
      <c r="E166" s="580" t="s">
        <v>319</v>
      </c>
      <c r="F166" s="590">
        <v>-132</v>
      </c>
      <c r="G166" s="584"/>
      <c r="H166" s="590">
        <v>0</v>
      </c>
      <c r="I166" s="590">
        <v>-132</v>
      </c>
      <c r="J166" s="590">
        <v>0</v>
      </c>
      <c r="K166" s="590">
        <v>-124.44373</v>
      </c>
      <c r="L166" s="584"/>
      <c r="M166" s="590">
        <v>-169</v>
      </c>
      <c r="N166" s="577" t="e">
        <f ca="1">IF(OR(M166=0,M166="")," ",[43]!Arp(K166,M166,ARP_Threshold))</f>
        <v>#NAME?</v>
      </c>
      <c r="O166" s="578" t="e">
        <f ca="1">IF(AND(K166="",M166="")," ",[43]!Ara(K166,M166,ARA_Threshold))</f>
        <v>#NAME?</v>
      </c>
    </row>
    <row r="167" spans="1:15" s="580" customFormat="1" ht="16.5" outlineLevel="1" thickTop="1" thickBot="1">
      <c r="A167" s="580" t="s">
        <v>320</v>
      </c>
      <c r="B167" s="585" t="s">
        <v>764</v>
      </c>
      <c r="C167" s="585" t="s">
        <v>316</v>
      </c>
      <c r="D167" s="587" t="s">
        <v>764</v>
      </c>
      <c r="E167" s="589" t="s">
        <v>321</v>
      </c>
      <c r="F167" s="595">
        <v>-149</v>
      </c>
      <c r="G167" s="576"/>
      <c r="H167" s="595">
        <v>0</v>
      </c>
      <c r="I167" s="595">
        <v>-149</v>
      </c>
      <c r="J167" s="595">
        <v>0</v>
      </c>
      <c r="K167" s="1327">
        <f>SUM(K165:K166)</f>
        <v>-141.10673</v>
      </c>
      <c r="L167" s="576"/>
      <c r="M167" s="595">
        <v>-191</v>
      </c>
      <c r="N167" s="577" t="e">
        <f ca="1">IF(OR(M167=0,M167="")," ",[43]!Arp(K167,M167,ARP_Threshold))</f>
        <v>#NAME?</v>
      </c>
      <c r="O167" s="578" t="e">
        <f ca="1">IF(AND(K167="",M167="")," ",[43]!Ara(K167,M167,ARA_Threshold))</f>
        <v>#NAME?</v>
      </c>
    </row>
    <row r="168" spans="1:15" s="580" customFormat="1" ht="15.75" outlineLevel="1" thickTop="1">
      <c r="A168" s="580" t="s">
        <v>322</v>
      </c>
      <c r="B168" s="585" t="s">
        <v>764</v>
      </c>
      <c r="C168" s="585" t="s">
        <v>764</v>
      </c>
      <c r="D168" s="587" t="s">
        <v>764</v>
      </c>
      <c r="F168" s="575"/>
      <c r="G168" s="576"/>
      <c r="H168" s="575"/>
      <c r="I168" s="575"/>
      <c r="J168" s="575"/>
      <c r="K168" s="575"/>
      <c r="L168" s="576"/>
      <c r="M168" s="575"/>
      <c r="N168" s="577" t="str">
        <f>IF(OR(M168=0,M168="")," ",[43]!Arp(K168,M168,ARP_Threshold))</f>
        <v xml:space="preserve"> </v>
      </c>
      <c r="O168" s="578" t="str">
        <f>IF(AND(K168="",M168="")," ",[43]!Ara(K168,M168,ARA_Threshold))</f>
        <v xml:space="preserve"> </v>
      </c>
    </row>
    <row r="169" spans="1:15" s="580" customFormat="1" ht="15.75" customHeight="1" outlineLevel="2" thickBot="1">
      <c r="A169" s="580" t="s">
        <v>323</v>
      </c>
      <c r="B169" s="585" t="s">
        <v>764</v>
      </c>
      <c r="C169" s="585" t="s">
        <v>324</v>
      </c>
      <c r="D169" s="587" t="s">
        <v>831</v>
      </c>
      <c r="E169" s="580" t="s">
        <v>325</v>
      </c>
      <c r="F169" s="590">
        <v>-327</v>
      </c>
      <c r="G169" s="584"/>
      <c r="H169" s="590">
        <v>0</v>
      </c>
      <c r="I169" s="590">
        <v>-327</v>
      </c>
      <c r="J169" s="590">
        <v>0</v>
      </c>
      <c r="K169" s="590">
        <v>-424</v>
      </c>
      <c r="L169" s="584"/>
      <c r="M169" s="590">
        <v>-1121</v>
      </c>
      <c r="N169" s="577" t="e">
        <f ca="1">IF(OR(M169=0,M169="")," ",[43]!Arp(K169,M169,ARP_Threshold))</f>
        <v>#NAME?</v>
      </c>
      <c r="O169" s="578" t="e">
        <f ca="1">IF(AND(K169="",M169="")," ",[43]!Ara(K169,M169,ARA_Threshold))</f>
        <v>#NAME?</v>
      </c>
    </row>
    <row r="170" spans="1:15" s="580" customFormat="1" ht="16.5" outlineLevel="1" thickTop="1" thickBot="1">
      <c r="A170" s="580" t="s">
        <v>326</v>
      </c>
      <c r="B170" s="585" t="s">
        <v>764</v>
      </c>
      <c r="C170" s="585" t="s">
        <v>324</v>
      </c>
      <c r="D170" s="587" t="s">
        <v>764</v>
      </c>
      <c r="E170" s="589" t="s">
        <v>327</v>
      </c>
      <c r="F170" s="595">
        <v>-327</v>
      </c>
      <c r="G170" s="576"/>
      <c r="H170" s="595">
        <v>0</v>
      </c>
      <c r="I170" s="595">
        <v>-327</v>
      </c>
      <c r="J170" s="595">
        <v>0</v>
      </c>
      <c r="K170" s="1327">
        <f>SUM(K169)</f>
        <v>-424</v>
      </c>
      <c r="L170" s="576"/>
      <c r="M170" s="595">
        <v>-1121</v>
      </c>
      <c r="N170" s="577" t="e">
        <f ca="1">IF(OR(M170=0,M170="")," ",[43]!Arp(K170,M170,ARP_Threshold))</f>
        <v>#NAME?</v>
      </c>
      <c r="O170" s="578" t="e">
        <f ca="1">IF(AND(K170="",M170="")," ",[43]!Ara(K170,M170,ARA_Threshold))</f>
        <v>#NAME?</v>
      </c>
    </row>
    <row r="171" spans="1:15" s="580" customFormat="1" ht="15.75" outlineLevel="1" thickTop="1">
      <c r="A171" s="580" t="s">
        <v>328</v>
      </c>
      <c r="B171" s="585" t="s">
        <v>764</v>
      </c>
      <c r="C171" s="585" t="s">
        <v>764</v>
      </c>
      <c r="D171" s="587" t="s">
        <v>764</v>
      </c>
      <c r="F171" s="575"/>
      <c r="G171" s="576"/>
      <c r="H171" s="575"/>
      <c r="I171" s="575"/>
      <c r="J171" s="575"/>
      <c r="K171" s="575"/>
      <c r="L171" s="576"/>
      <c r="M171" s="575"/>
      <c r="N171" s="577" t="str">
        <f>IF(OR(M171=0,M171="")," ",[43]!Arp(K171,M171,ARP_Threshold))</f>
        <v xml:space="preserve"> </v>
      </c>
      <c r="O171" s="578" t="str">
        <f>IF(AND(K171="",M171="")," ",[43]!Ara(K171,M171,ARA_Threshold))</f>
        <v xml:space="preserve"> </v>
      </c>
    </row>
    <row r="172" spans="1:15" s="580" customFormat="1" ht="15.75" customHeight="1" outlineLevel="2" thickBot="1">
      <c r="A172" s="580" t="s">
        <v>329</v>
      </c>
      <c r="B172" s="585" t="s">
        <v>764</v>
      </c>
      <c r="C172" s="585" t="s">
        <v>330</v>
      </c>
      <c r="D172" s="587" t="s">
        <v>832</v>
      </c>
      <c r="E172" s="580" t="s">
        <v>331</v>
      </c>
      <c r="F172" s="590">
        <v>-47</v>
      </c>
      <c r="G172" s="584"/>
      <c r="H172" s="590">
        <v>0</v>
      </c>
      <c r="I172" s="590">
        <v>-47</v>
      </c>
      <c r="J172" s="590">
        <v>0</v>
      </c>
      <c r="K172" s="590">
        <v>-47.22307</v>
      </c>
      <c r="L172" s="584"/>
      <c r="M172" s="590">
        <v>-47</v>
      </c>
      <c r="N172" s="577" t="e">
        <f ca="1">IF(OR(M172=0,M172="")," ",[43]!Arp(K172,M172,ARP_Threshold))</f>
        <v>#NAME?</v>
      </c>
      <c r="O172" s="578" t="e">
        <f ca="1">IF(AND(K172="",M172="")," ",[43]!Ara(K172,M172,ARA_Threshold))</f>
        <v>#NAME?</v>
      </c>
    </row>
    <row r="173" spans="1:15" s="580" customFormat="1" ht="16.5" outlineLevel="1" thickTop="1" thickBot="1">
      <c r="A173" s="580" t="s">
        <v>332</v>
      </c>
      <c r="B173" s="585" t="s">
        <v>764</v>
      </c>
      <c r="C173" s="585" t="s">
        <v>330</v>
      </c>
      <c r="D173" s="587" t="s">
        <v>764</v>
      </c>
      <c r="E173" s="589" t="s">
        <v>333</v>
      </c>
      <c r="F173" s="595">
        <v>-47</v>
      </c>
      <c r="G173" s="576"/>
      <c r="H173" s="595">
        <v>0</v>
      </c>
      <c r="I173" s="595">
        <v>-47</v>
      </c>
      <c r="J173" s="595">
        <v>0</v>
      </c>
      <c r="K173" s="1327">
        <v>-47</v>
      </c>
      <c r="L173" s="576"/>
      <c r="M173" s="595">
        <v>-47</v>
      </c>
      <c r="N173" s="577" t="e">
        <f ca="1">IF(OR(M173=0,M173="")," ",[43]!Arp(K173,M173,ARP_Threshold))</f>
        <v>#NAME?</v>
      </c>
      <c r="O173" s="578" t="e">
        <f ca="1">IF(AND(K173="",M173="")," ",[43]!Ara(K173,M173,ARA_Threshold))</f>
        <v>#NAME?</v>
      </c>
    </row>
    <row r="174" spans="1:15" s="580" customFormat="1" ht="15.75" outlineLevel="1" thickTop="1">
      <c r="A174" s="580" t="s">
        <v>334</v>
      </c>
      <c r="B174" s="585" t="s">
        <v>764</v>
      </c>
      <c r="C174" s="585" t="s">
        <v>764</v>
      </c>
      <c r="D174" s="587" t="s">
        <v>764</v>
      </c>
      <c r="F174" s="575"/>
      <c r="G174" s="576"/>
      <c r="H174" s="575"/>
      <c r="I174" s="575"/>
      <c r="J174" s="575"/>
      <c r="K174" s="575"/>
      <c r="L174" s="576"/>
      <c r="M174" s="575"/>
      <c r="N174" s="577" t="str">
        <f>IF(OR(M174=0,M174="")," ",[43]!Arp(K174,M174,ARP_Threshold))</f>
        <v xml:space="preserve"> </v>
      </c>
      <c r="O174" s="578" t="str">
        <f>IF(AND(K174="",M174="")," ",[43]!Ara(K174,M174,ARA_Threshold))</f>
        <v xml:space="preserve"> </v>
      </c>
    </row>
    <row r="175" spans="1:15" s="580" customFormat="1" ht="15.75" customHeight="1" outlineLevel="2" thickBot="1">
      <c r="A175" s="580" t="s">
        <v>335</v>
      </c>
      <c r="B175" s="585" t="s">
        <v>764</v>
      </c>
      <c r="C175" s="585" t="s">
        <v>336</v>
      </c>
      <c r="D175" s="587" t="s">
        <v>834</v>
      </c>
      <c r="E175" s="580" t="s">
        <v>337</v>
      </c>
      <c r="F175" s="590">
        <v>0</v>
      </c>
      <c r="G175" s="584"/>
      <c r="H175" s="590">
        <v>0</v>
      </c>
      <c r="I175" s="590">
        <v>0</v>
      </c>
      <c r="J175" s="590">
        <v>0</v>
      </c>
      <c r="K175" s="590">
        <v>0</v>
      </c>
      <c r="L175" s="584"/>
      <c r="M175" s="590">
        <v>0</v>
      </c>
      <c r="N175" s="577" t="str">
        <f>IF(OR(M175=0,M175="")," ",[43]!Arp(K175,M175,ARP_Threshold))</f>
        <v xml:space="preserve"> </v>
      </c>
      <c r="O175" s="578" t="e">
        <f ca="1">IF(AND(K175="",M175="")," ",[43]!Ara(K175,M175,ARA_Threshold))</f>
        <v>#NAME?</v>
      </c>
    </row>
    <row r="176" spans="1:15" s="580" customFormat="1" ht="16.5" outlineLevel="1" thickTop="1" thickBot="1">
      <c r="A176" s="580" t="s">
        <v>338</v>
      </c>
      <c r="B176" s="585" t="s">
        <v>764</v>
      </c>
      <c r="C176" s="585" t="s">
        <v>336</v>
      </c>
      <c r="D176" s="587" t="s">
        <v>764</v>
      </c>
      <c r="E176" s="589" t="s">
        <v>339</v>
      </c>
      <c r="F176" s="595">
        <v>0</v>
      </c>
      <c r="G176" s="576"/>
      <c r="H176" s="595">
        <v>0</v>
      </c>
      <c r="I176" s="595">
        <v>0</v>
      </c>
      <c r="J176" s="595">
        <v>0</v>
      </c>
      <c r="K176" s="1327">
        <v>0</v>
      </c>
      <c r="L176" s="576"/>
      <c r="M176" s="595">
        <v>0</v>
      </c>
      <c r="N176" s="577" t="str">
        <f>IF(OR(M176=0,M176="")," ",[43]!Arp(K176,M176,ARP_Threshold))</f>
        <v xml:space="preserve"> </v>
      </c>
      <c r="O176" s="578" t="e">
        <f ca="1">IF(AND(K176="",M176="")," ",[43]!Ara(K176,M176,ARA_Threshold))</f>
        <v>#NAME?</v>
      </c>
    </row>
    <row r="177" spans="1:15" s="580" customFormat="1" ht="16.5" outlineLevel="1" thickTop="1" thickBot="1">
      <c r="A177" s="580" t="s">
        <v>340</v>
      </c>
      <c r="B177" s="585" t="s">
        <v>764</v>
      </c>
      <c r="C177" s="585" t="s">
        <v>764</v>
      </c>
      <c r="D177" s="587" t="s">
        <v>764</v>
      </c>
      <c r="F177" s="575"/>
      <c r="G177" s="576"/>
      <c r="H177" s="575"/>
      <c r="I177" s="575"/>
      <c r="J177" s="575"/>
      <c r="K177" s="575"/>
      <c r="L177" s="576"/>
      <c r="M177" s="575"/>
      <c r="N177" s="577" t="str">
        <f>IF(OR(M177=0,M177="")," ",[43]!Arp(K177,M177,ARP_Threshold))</f>
        <v xml:space="preserve"> </v>
      </c>
      <c r="O177" s="578" t="str">
        <f>IF(AND(K177="",M177="")," ",[43]!Ara(K177,M177,ARA_Threshold))</f>
        <v xml:space="preserve"> </v>
      </c>
    </row>
    <row r="178" spans="1:15" s="580" customFormat="1" ht="16.5" outlineLevel="1" thickTop="1" thickBot="1">
      <c r="A178" s="580" t="s">
        <v>341</v>
      </c>
      <c r="B178" s="585" t="s">
        <v>764</v>
      </c>
      <c r="C178" s="585" t="s">
        <v>342</v>
      </c>
      <c r="D178" s="587" t="s">
        <v>764</v>
      </c>
      <c r="E178" s="589" t="s">
        <v>343</v>
      </c>
      <c r="F178" s="579">
        <v>0</v>
      </c>
      <c r="G178" s="576"/>
      <c r="H178" s="579">
        <v>0</v>
      </c>
      <c r="I178" s="579">
        <v>0</v>
      </c>
      <c r="J178" s="579">
        <v>0</v>
      </c>
      <c r="K178" s="579">
        <v>0</v>
      </c>
      <c r="L178" s="576"/>
      <c r="M178" s="579">
        <v>0</v>
      </c>
      <c r="N178" s="577" t="str">
        <f>IF(OR(M178=0,M178="")," ",[43]!Arp(K178,M178,ARP_Threshold))</f>
        <v xml:space="preserve"> </v>
      </c>
      <c r="O178" s="578" t="e">
        <f ca="1">IF(AND(K178="",M178="")," ",[43]!Ara(K178,M178,ARA_Threshold))</f>
        <v>#NAME?</v>
      </c>
    </row>
    <row r="179" spans="1:15" s="580" customFormat="1" ht="15.75" outlineLevel="1" thickTop="1">
      <c r="A179" s="580" t="s">
        <v>344</v>
      </c>
      <c r="B179" s="585" t="s">
        <v>764</v>
      </c>
      <c r="C179" s="585" t="s">
        <v>764</v>
      </c>
      <c r="D179" s="587" t="s">
        <v>764</v>
      </c>
      <c r="F179" s="575"/>
      <c r="G179" s="576"/>
      <c r="H179" s="575"/>
      <c r="I179" s="575"/>
      <c r="J179" s="575"/>
      <c r="K179" s="575"/>
      <c r="L179" s="576"/>
      <c r="M179" s="575"/>
      <c r="N179" s="577" t="str">
        <f>IF(OR(M179=0,M179="")," ",[43]!Arp(K179,M179,ARP_Threshold))</f>
        <v xml:space="preserve"> </v>
      </c>
      <c r="O179" s="578" t="str">
        <f>IF(AND(K179="",M179="")," ",[43]!Ara(K179,M179,ARA_Threshold))</f>
        <v xml:space="preserve"> </v>
      </c>
    </row>
    <row r="180" spans="1:15" s="580" customFormat="1" ht="15" customHeight="1" outlineLevel="2">
      <c r="A180" s="580" t="s">
        <v>345</v>
      </c>
      <c r="B180" s="585" t="s">
        <v>764</v>
      </c>
      <c r="C180" s="585" t="s">
        <v>346</v>
      </c>
      <c r="D180" s="587" t="s">
        <v>1587</v>
      </c>
      <c r="E180" s="580" t="s">
        <v>347</v>
      </c>
      <c r="F180" s="575">
        <v>0</v>
      </c>
      <c r="G180" s="576"/>
      <c r="H180" s="575">
        <v>0</v>
      </c>
      <c r="I180" s="575">
        <v>0</v>
      </c>
      <c r="J180" s="575">
        <v>0</v>
      </c>
      <c r="K180" s="575">
        <v>0</v>
      </c>
      <c r="L180" s="576"/>
      <c r="M180" s="575">
        <v>0</v>
      </c>
      <c r="N180" s="577" t="str">
        <f>IF(OR(M180=0,M180="")," ",[43]!Arp(K180,M180,ARP_Threshold))</f>
        <v xml:space="preserve"> </v>
      </c>
      <c r="O180" s="578" t="e">
        <f ca="1">IF(AND(K180="",M180="")," ",[43]!Ara(K180,M180,ARA_Threshold))</f>
        <v>#NAME?</v>
      </c>
    </row>
    <row r="181" spans="1:15" s="580" customFormat="1" ht="15" customHeight="1" outlineLevel="2">
      <c r="A181" s="580" t="s">
        <v>348</v>
      </c>
      <c r="B181" s="585" t="s">
        <v>764</v>
      </c>
      <c r="C181" s="585" t="s">
        <v>346</v>
      </c>
      <c r="D181" s="587" t="s">
        <v>833</v>
      </c>
      <c r="E181" s="580" t="s">
        <v>349</v>
      </c>
      <c r="F181" s="575">
        <v>-9210</v>
      </c>
      <c r="G181" s="576"/>
      <c r="H181" s="575">
        <v>0</v>
      </c>
      <c r="I181" s="575">
        <v>-9210</v>
      </c>
      <c r="J181" s="575">
        <v>0</v>
      </c>
      <c r="K181" s="575">
        <v>-9210</v>
      </c>
      <c r="L181" s="576"/>
      <c r="M181" s="575">
        <v>-9210</v>
      </c>
      <c r="N181" s="577" t="e">
        <f ca="1">IF(OR(M181=0,M181="")," ",[43]!Arp(K181,M181,ARP_Threshold))</f>
        <v>#NAME?</v>
      </c>
      <c r="O181" s="578" t="e">
        <f ca="1">IF(AND(K181="",M181="")," ",[43]!Ara(K181,M181,ARA_Threshold))</f>
        <v>#NAME?</v>
      </c>
    </row>
    <row r="182" spans="1:15" s="580" customFormat="1" ht="15" customHeight="1" outlineLevel="2">
      <c r="A182" s="580" t="s">
        <v>350</v>
      </c>
      <c r="B182" s="585" t="s">
        <v>764</v>
      </c>
      <c r="C182" s="585" t="s">
        <v>346</v>
      </c>
      <c r="D182" s="587" t="s">
        <v>827</v>
      </c>
      <c r="E182" s="580" t="s">
        <v>351</v>
      </c>
      <c r="F182" s="575">
        <v>-239</v>
      </c>
      <c r="G182" s="576"/>
      <c r="H182" s="575">
        <v>0</v>
      </c>
      <c r="I182" s="575">
        <v>-239</v>
      </c>
      <c r="J182" s="575">
        <v>0</v>
      </c>
      <c r="K182" s="575">
        <v>-239</v>
      </c>
      <c r="L182" s="576"/>
      <c r="M182" s="575">
        <v>-239</v>
      </c>
      <c r="N182" s="577" t="e">
        <f ca="1">IF(OR(M182=0,M182="")," ",[43]!Arp(K182,M182,ARP_Threshold))</f>
        <v>#NAME?</v>
      </c>
      <c r="O182" s="578" t="e">
        <f ca="1">IF(AND(K182="",M182="")," ",[43]!Ara(K182,M182,ARA_Threshold))</f>
        <v>#NAME?</v>
      </c>
    </row>
    <row r="183" spans="1:15" s="580" customFormat="1" ht="15" customHeight="1" outlineLevel="2">
      <c r="A183" s="580" t="s">
        <v>353</v>
      </c>
      <c r="B183" s="585" t="s">
        <v>764</v>
      </c>
      <c r="C183" s="585" t="s">
        <v>346</v>
      </c>
      <c r="D183" s="587" t="s">
        <v>836</v>
      </c>
      <c r="E183" s="580" t="s">
        <v>354</v>
      </c>
      <c r="F183" s="575">
        <v>0</v>
      </c>
      <c r="G183" s="576"/>
      <c r="H183" s="575">
        <v>0</v>
      </c>
      <c r="I183" s="575">
        <v>0</v>
      </c>
      <c r="J183" s="575">
        <v>0</v>
      </c>
      <c r="K183" s="575">
        <v>-2235.8786500000001</v>
      </c>
      <c r="L183" s="576"/>
      <c r="M183" s="575">
        <v>0</v>
      </c>
      <c r="N183" s="577" t="str">
        <f>IF(OR(M183=0,M183="")," ",[43]!Arp(K183,M183,ARP_Threshold))</f>
        <v xml:space="preserve"> </v>
      </c>
      <c r="O183" s="578" t="e">
        <f ca="1">IF(AND(K183="",M183="")," ",[43]!Ara(K183,M183,ARA_Threshold))</f>
        <v>#NAME?</v>
      </c>
    </row>
    <row r="184" spans="1:15" s="580" customFormat="1" ht="15" customHeight="1" outlineLevel="2">
      <c r="B184" s="585"/>
      <c r="C184" s="585"/>
      <c r="D184" s="587" t="s">
        <v>1819</v>
      </c>
      <c r="E184" s="580" t="s">
        <v>1820</v>
      </c>
      <c r="F184" s="575"/>
      <c r="G184" s="576"/>
      <c r="H184" s="575"/>
      <c r="I184" s="575"/>
      <c r="J184" s="575"/>
      <c r="K184" s="575">
        <v>-25</v>
      </c>
      <c r="L184" s="576"/>
      <c r="M184" s="575"/>
      <c r="N184" s="577"/>
      <c r="O184" s="578"/>
    </row>
    <row r="185" spans="1:15" s="580" customFormat="1" ht="15" customHeight="1" outlineLevel="2">
      <c r="A185" s="580" t="s">
        <v>355</v>
      </c>
      <c r="B185" s="585" t="s">
        <v>764</v>
      </c>
      <c r="C185" s="585" t="s">
        <v>346</v>
      </c>
      <c r="D185" s="587" t="s">
        <v>837</v>
      </c>
      <c r="E185" s="580" t="s">
        <v>356</v>
      </c>
      <c r="F185" s="575">
        <v>-77</v>
      </c>
      <c r="G185" s="576"/>
      <c r="H185" s="575">
        <v>0</v>
      </c>
      <c r="I185" s="575">
        <v>-77</v>
      </c>
      <c r="J185" s="575">
        <v>0</v>
      </c>
      <c r="K185" s="575">
        <v>-171.96642</v>
      </c>
      <c r="L185" s="576"/>
      <c r="M185" s="575">
        <v>-72</v>
      </c>
      <c r="N185" s="577" t="e">
        <f ca="1">IF(OR(M185=0,M185="")," ",[43]!Arp(K185,M185,ARP_Threshold))</f>
        <v>#NAME?</v>
      </c>
      <c r="O185" s="578" t="e">
        <f ca="1">IF(AND(K185="",M185="")," ",[43]!Ara(K185,M185,ARA_Threshold))</f>
        <v>#NAME?</v>
      </c>
    </row>
    <row r="186" spans="1:15" s="580" customFormat="1" ht="15" customHeight="1" outlineLevel="2">
      <c r="A186" s="580" t="s">
        <v>357</v>
      </c>
      <c r="B186" s="585" t="s">
        <v>764</v>
      </c>
      <c r="C186" s="585" t="s">
        <v>346</v>
      </c>
      <c r="D186" s="587" t="s">
        <v>838</v>
      </c>
      <c r="E186" s="580" t="s">
        <v>358</v>
      </c>
      <c r="F186" s="575">
        <v>2</v>
      </c>
      <c r="G186" s="576"/>
      <c r="H186" s="575">
        <v>0</v>
      </c>
      <c r="I186" s="575">
        <v>2</v>
      </c>
      <c r="J186" s="575">
        <v>0</v>
      </c>
      <c r="K186" s="575">
        <v>2.0339999999999998</v>
      </c>
      <c r="L186" s="576"/>
      <c r="M186" s="575">
        <v>2</v>
      </c>
      <c r="N186" s="577" t="e">
        <f ca="1">IF(OR(M186=0,M186="")," ",[43]!Arp(K186,M186,ARP_Threshold))</f>
        <v>#NAME?</v>
      </c>
      <c r="O186" s="578" t="e">
        <f ca="1">IF(AND(K186="",M186="")," ",[43]!Ara(K186,M186,ARA_Threshold))</f>
        <v>#NAME?</v>
      </c>
    </row>
    <row r="187" spans="1:15" s="580" customFormat="1" ht="15" customHeight="1" outlineLevel="2">
      <c r="A187" s="580" t="s">
        <v>359</v>
      </c>
      <c r="B187" s="585" t="s">
        <v>764</v>
      </c>
      <c r="C187" s="585" t="s">
        <v>346</v>
      </c>
      <c r="D187" s="587" t="s">
        <v>839</v>
      </c>
      <c r="E187" s="580" t="s">
        <v>360</v>
      </c>
      <c r="F187" s="575">
        <v>-10961</v>
      </c>
      <c r="G187" s="576"/>
      <c r="H187" s="575">
        <v>0</v>
      </c>
      <c r="I187" s="575">
        <v>-10961</v>
      </c>
      <c r="J187" s="575">
        <v>0</v>
      </c>
      <c r="K187" s="575">
        <v>-11766.76442</v>
      </c>
      <c r="L187" s="576"/>
      <c r="M187" s="575">
        <v>-6634</v>
      </c>
      <c r="N187" s="577" t="e">
        <f ca="1">IF(OR(M187=0,M187="")," ",[43]!Arp(K187,M187,ARP_Threshold))</f>
        <v>#NAME?</v>
      </c>
      <c r="O187" s="578" t="e">
        <f ca="1">IF(AND(K187="",M187="")," ",[43]!Ara(K187,M187,ARA_Threshold))</f>
        <v>#NAME?</v>
      </c>
    </row>
    <row r="188" spans="1:15" s="580" customFormat="1" ht="15" customHeight="1" outlineLevel="2">
      <c r="A188" s="580" t="s">
        <v>361</v>
      </c>
      <c r="B188" s="585" t="s">
        <v>764</v>
      </c>
      <c r="C188" s="585" t="s">
        <v>346</v>
      </c>
      <c r="D188" s="587" t="s">
        <v>840</v>
      </c>
      <c r="E188" s="580" t="s">
        <v>362</v>
      </c>
      <c r="F188" s="575">
        <v>-410</v>
      </c>
      <c r="G188" s="576"/>
      <c r="H188" s="575">
        <v>0</v>
      </c>
      <c r="I188" s="575">
        <v>-410</v>
      </c>
      <c r="J188" s="575">
        <v>0</v>
      </c>
      <c r="K188" s="575">
        <v>-562.24737000000005</v>
      </c>
      <c r="L188" s="576"/>
      <c r="M188" s="575">
        <v>-372</v>
      </c>
      <c r="N188" s="577" t="e">
        <f ca="1">IF(OR(M188=0,M188="")," ",[43]!Arp(K188,M188,ARP_Threshold))</f>
        <v>#NAME?</v>
      </c>
      <c r="O188" s="578" t="e">
        <f ca="1">IF(AND(K188="",M188="")," ",[43]!Ara(K188,M188,ARA_Threshold))</f>
        <v>#NAME?</v>
      </c>
    </row>
    <row r="189" spans="1:15" s="580" customFormat="1" ht="15" customHeight="1" outlineLevel="2">
      <c r="A189" s="580" t="s">
        <v>363</v>
      </c>
      <c r="B189" s="585" t="s">
        <v>764</v>
      </c>
      <c r="C189" s="585" t="s">
        <v>346</v>
      </c>
      <c r="D189" s="587" t="s">
        <v>841</v>
      </c>
      <c r="E189" s="580" t="s">
        <v>364</v>
      </c>
      <c r="F189" s="575">
        <v>-1391</v>
      </c>
      <c r="G189" s="576"/>
      <c r="H189" s="575">
        <v>0</v>
      </c>
      <c r="I189" s="575">
        <v>-1391</v>
      </c>
      <c r="J189" s="575">
        <v>0</v>
      </c>
      <c r="K189" s="575">
        <v>-157.23400000000001</v>
      </c>
      <c r="L189" s="576"/>
      <c r="M189" s="575">
        <v>-146</v>
      </c>
      <c r="N189" s="577" t="e">
        <f ca="1">IF(OR(M189=0,M189="")," ",[43]!Arp(K189,M189,ARP_Threshold))</f>
        <v>#NAME?</v>
      </c>
      <c r="O189" s="578" t="e">
        <f ca="1">IF(AND(K189="",M189="")," ",[43]!Ara(K189,M189,ARA_Threshold))</f>
        <v>#NAME?</v>
      </c>
    </row>
    <row r="190" spans="1:15" s="580" customFormat="1" ht="15" customHeight="1" outlineLevel="2">
      <c r="A190" s="580" t="s">
        <v>365</v>
      </c>
      <c r="B190" s="585" t="s">
        <v>764</v>
      </c>
      <c r="C190" s="585" t="s">
        <v>346</v>
      </c>
      <c r="D190" s="587" t="s">
        <v>842</v>
      </c>
      <c r="E190" s="580" t="s">
        <v>366</v>
      </c>
      <c r="F190" s="575">
        <v>0</v>
      </c>
      <c r="G190" s="576"/>
      <c r="H190" s="575">
        <v>0</v>
      </c>
      <c r="I190" s="575">
        <v>0</v>
      </c>
      <c r="J190" s="575">
        <v>0</v>
      </c>
      <c r="K190" s="575">
        <v>0</v>
      </c>
      <c r="L190" s="576"/>
      <c r="M190" s="575">
        <v>0</v>
      </c>
      <c r="N190" s="577" t="str">
        <f>IF(OR(M190=0,M190="")," ",[43]!Arp(K190,M190,ARP_Threshold))</f>
        <v xml:space="preserve"> </v>
      </c>
      <c r="O190" s="578" t="e">
        <f ca="1">IF(AND(K190="",M190="")," ",[43]!Ara(K190,M190,ARA_Threshold))</f>
        <v>#NAME?</v>
      </c>
    </row>
    <row r="191" spans="1:15" s="580" customFormat="1" ht="15" customHeight="1" outlineLevel="2">
      <c r="A191" s="580" t="s">
        <v>367</v>
      </c>
      <c r="B191" s="585" t="s">
        <v>764</v>
      </c>
      <c r="C191" s="585" t="s">
        <v>346</v>
      </c>
      <c r="D191" s="587" t="s">
        <v>843</v>
      </c>
      <c r="E191" s="580" t="s">
        <v>368</v>
      </c>
      <c r="F191" s="575">
        <v>-21</v>
      </c>
      <c r="G191" s="576"/>
      <c r="H191" s="575">
        <v>0</v>
      </c>
      <c r="I191" s="575">
        <v>-21</v>
      </c>
      <c r="J191" s="575">
        <v>0</v>
      </c>
      <c r="K191" s="575">
        <v>-23.028870000000001</v>
      </c>
      <c r="L191" s="576"/>
      <c r="M191" s="575">
        <v>-75</v>
      </c>
      <c r="N191" s="577" t="e">
        <f ca="1">IF(OR(M191=0,M191="")," ",[43]!Arp(K191,M191,ARP_Threshold))</f>
        <v>#NAME?</v>
      </c>
      <c r="O191" s="578" t="e">
        <f ca="1">IF(AND(K191="",M191="")," ",[43]!Ara(K191,M191,ARA_Threshold))</f>
        <v>#NAME?</v>
      </c>
    </row>
    <row r="192" spans="1:15" s="580" customFormat="1" ht="15" customHeight="1" outlineLevel="2">
      <c r="A192" s="580" t="s">
        <v>369</v>
      </c>
      <c r="B192" s="585" t="s">
        <v>764</v>
      </c>
      <c r="C192" s="585" t="s">
        <v>346</v>
      </c>
      <c r="D192" s="587" t="s">
        <v>1588</v>
      </c>
      <c r="E192" s="580" t="s">
        <v>370</v>
      </c>
      <c r="F192" s="575">
        <v>0</v>
      </c>
      <c r="G192" s="576"/>
      <c r="H192" s="575">
        <v>0</v>
      </c>
      <c r="I192" s="575">
        <v>0</v>
      </c>
      <c r="J192" s="575">
        <v>0</v>
      </c>
      <c r="K192" s="575">
        <v>0</v>
      </c>
      <c r="L192" s="576"/>
      <c r="M192" s="575">
        <v>0</v>
      </c>
      <c r="N192" s="577" t="str">
        <f>IF(OR(M192=0,M192="")," ",[43]!Arp(K192,M192,ARP_Threshold))</f>
        <v xml:space="preserve"> </v>
      </c>
      <c r="O192" s="578" t="e">
        <f ca="1">IF(AND(K192="",M192="")," ",[43]!Ara(K192,M192,ARA_Threshold))</f>
        <v>#NAME?</v>
      </c>
    </row>
    <row r="193" spans="1:15" s="580" customFormat="1" ht="15" customHeight="1" outlineLevel="2">
      <c r="A193" s="580" t="s">
        <v>371</v>
      </c>
      <c r="B193" s="585" t="s">
        <v>764</v>
      </c>
      <c r="C193" s="585" t="s">
        <v>346</v>
      </c>
      <c r="D193" s="587" t="s">
        <v>844</v>
      </c>
      <c r="E193" s="580" t="s">
        <v>372</v>
      </c>
      <c r="F193" s="575">
        <v>0</v>
      </c>
      <c r="G193" s="576"/>
      <c r="H193" s="575">
        <v>0</v>
      </c>
      <c r="I193" s="575">
        <v>0</v>
      </c>
      <c r="J193" s="575">
        <v>0</v>
      </c>
      <c r="K193" s="575">
        <v>0</v>
      </c>
      <c r="L193" s="576"/>
      <c r="M193" s="575">
        <v>0</v>
      </c>
      <c r="N193" s="577" t="str">
        <f>IF(OR(M193=0,M193="")," ",[43]!Arp(K193,M193,ARP_Threshold))</f>
        <v xml:space="preserve"> </v>
      </c>
      <c r="O193" s="578" t="e">
        <f ca="1">IF(AND(K193="",M193="")," ",[43]!Ara(K193,M193,ARA_Threshold))</f>
        <v>#NAME?</v>
      </c>
    </row>
    <row r="194" spans="1:15" s="580" customFormat="1" ht="15" customHeight="1" outlineLevel="2">
      <c r="A194" s="580" t="s">
        <v>373</v>
      </c>
      <c r="B194" s="585" t="s">
        <v>764</v>
      </c>
      <c r="C194" s="585" t="s">
        <v>346</v>
      </c>
      <c r="D194" s="587" t="s">
        <v>845</v>
      </c>
      <c r="E194" s="580" t="s">
        <v>374</v>
      </c>
      <c r="F194" s="575">
        <v>-40</v>
      </c>
      <c r="G194" s="576"/>
      <c r="H194" s="575">
        <v>0</v>
      </c>
      <c r="I194" s="575">
        <v>-40</v>
      </c>
      <c r="J194" s="575">
        <v>0</v>
      </c>
      <c r="K194" s="575">
        <v>-70.137810000000002</v>
      </c>
      <c r="L194" s="576"/>
      <c r="M194" s="575">
        <v>-40</v>
      </c>
      <c r="N194" s="577" t="e">
        <f ca="1">IF(OR(M194=0,M194="")," ",[43]!Arp(K194,M194,ARP_Threshold))</f>
        <v>#NAME?</v>
      </c>
      <c r="O194" s="578" t="e">
        <f ca="1">IF(AND(K194="",M194="")," ",[43]!Ara(K194,M194,ARA_Threshold))</f>
        <v>#NAME?</v>
      </c>
    </row>
    <row r="195" spans="1:15" s="580" customFormat="1" ht="15" customHeight="1" outlineLevel="2">
      <c r="A195" s="580" t="s">
        <v>375</v>
      </c>
      <c r="B195" s="585" t="s">
        <v>764</v>
      </c>
      <c r="C195" s="585" t="s">
        <v>346</v>
      </c>
      <c r="D195" s="587" t="s">
        <v>846</v>
      </c>
      <c r="E195" s="580" t="s">
        <v>376</v>
      </c>
      <c r="F195" s="575">
        <v>-624</v>
      </c>
      <c r="G195" s="576"/>
      <c r="H195" s="575">
        <v>0</v>
      </c>
      <c r="I195" s="575">
        <v>-624</v>
      </c>
      <c r="J195" s="575">
        <v>0</v>
      </c>
      <c r="K195">
        <v>-624.39499999999998</v>
      </c>
      <c r="L195" s="576"/>
      <c r="M195" s="575">
        <v>-474</v>
      </c>
      <c r="N195" s="577" t="e">
        <f ca="1">IF(OR(M195=0,M195="")," ",[43]!Arp(K195,M195,ARP_Threshold))</f>
        <v>#NAME?</v>
      </c>
      <c r="O195" s="578" t="e">
        <f ca="1">IF(AND(K195="",M195="")," ",[43]!Ara(K195,M195,ARA_Threshold))</f>
        <v>#NAME?</v>
      </c>
    </row>
    <row r="196" spans="1:15" s="580" customFormat="1" ht="15.75" customHeight="1" outlineLevel="2" thickBot="1">
      <c r="A196" s="580" t="s">
        <v>377</v>
      </c>
      <c r="B196" s="585" t="s">
        <v>764</v>
      </c>
      <c r="C196" s="585" t="s">
        <v>346</v>
      </c>
      <c r="D196" s="587" t="s">
        <v>1589</v>
      </c>
      <c r="E196" s="580" t="s">
        <v>378</v>
      </c>
      <c r="F196" s="590">
        <v>0</v>
      </c>
      <c r="G196" s="584"/>
      <c r="H196" s="590">
        <v>0</v>
      </c>
      <c r="I196" s="590">
        <v>0</v>
      </c>
      <c r="J196" s="590">
        <v>0</v>
      </c>
      <c r="K196" s="590">
        <v>0</v>
      </c>
      <c r="L196" s="584"/>
      <c r="M196" s="590">
        <v>0</v>
      </c>
      <c r="N196" s="577" t="str">
        <f>IF(OR(M196=0,M196="")," ",[43]!Arp(K196,M196,ARP_Threshold))</f>
        <v xml:space="preserve"> </v>
      </c>
      <c r="O196" s="578" t="e">
        <f ca="1">IF(AND(K196="",M196="")," ",[43]!Ara(K196,M196,ARA_Threshold))</f>
        <v>#NAME?</v>
      </c>
    </row>
    <row r="197" spans="1:15" s="580" customFormat="1" ht="16.5" outlineLevel="1" thickTop="1" thickBot="1">
      <c r="A197" s="580" t="s">
        <v>379</v>
      </c>
      <c r="B197" s="585" t="s">
        <v>764</v>
      </c>
      <c r="C197" s="585" t="s">
        <v>346</v>
      </c>
      <c r="D197" s="587" t="s">
        <v>764</v>
      </c>
      <c r="E197" s="589" t="s">
        <v>380</v>
      </c>
      <c r="F197" s="595">
        <v>-22971</v>
      </c>
      <c r="G197" s="576"/>
      <c r="H197" s="595">
        <v>0</v>
      </c>
      <c r="I197" s="595">
        <v>-22971</v>
      </c>
      <c r="J197" s="595">
        <v>0</v>
      </c>
      <c r="K197" s="1326">
        <f>SUM(K180:K196)</f>
        <v>-25083.618540000003</v>
      </c>
      <c r="L197" s="576"/>
      <c r="M197" s="595">
        <v>-17260</v>
      </c>
      <c r="N197" s="577" t="e">
        <f ca="1">IF(OR(M197=0,M197="")," ",[43]!Arp(K197,M197,ARP_Threshold))</f>
        <v>#NAME?</v>
      </c>
      <c r="O197" s="578" t="e">
        <f ca="1">IF(AND(K197="",M197="")," ",[43]!Ara(K197,M197,ARA_Threshold))</f>
        <v>#NAME?</v>
      </c>
    </row>
    <row r="198" spans="1:15" s="580" customFormat="1" ht="15.75" outlineLevel="1" thickTop="1">
      <c r="A198" s="580" t="s">
        <v>381</v>
      </c>
      <c r="B198" s="585" t="s">
        <v>764</v>
      </c>
      <c r="C198" s="585" t="s">
        <v>764</v>
      </c>
      <c r="D198" s="587" t="s">
        <v>764</v>
      </c>
      <c r="F198" s="575"/>
      <c r="G198" s="576"/>
      <c r="H198" s="575"/>
      <c r="I198" s="575"/>
      <c r="J198" s="575"/>
      <c r="K198" s="575"/>
      <c r="L198" s="576"/>
      <c r="M198" s="575"/>
      <c r="N198" s="577" t="str">
        <f>IF(OR(M198=0,M198="")," ",[43]!Arp(K198,M198,ARP_Threshold))</f>
        <v xml:space="preserve"> </v>
      </c>
      <c r="O198" s="578" t="str">
        <f>IF(AND(K198="",M198="")," ",[43]!Ara(K198,M198,ARA_Threshold))</f>
        <v xml:space="preserve"> </v>
      </c>
    </row>
    <row r="199" spans="1:15" s="580" customFormat="1" ht="15.75" customHeight="1" outlineLevel="2" thickBot="1">
      <c r="A199" s="580" t="s">
        <v>382</v>
      </c>
      <c r="B199" s="585" t="s">
        <v>764</v>
      </c>
      <c r="C199" s="585" t="s">
        <v>383</v>
      </c>
      <c r="D199" s="587" t="s">
        <v>1590</v>
      </c>
      <c r="E199" s="580" t="s">
        <v>384</v>
      </c>
      <c r="F199" s="590">
        <v>0</v>
      </c>
      <c r="G199" s="584"/>
      <c r="H199" s="590">
        <v>0</v>
      </c>
      <c r="I199" s="590">
        <v>0</v>
      </c>
      <c r="J199" s="590">
        <v>0</v>
      </c>
      <c r="K199" s="590">
        <v>0</v>
      </c>
      <c r="L199" s="584"/>
      <c r="M199" s="590">
        <v>0</v>
      </c>
      <c r="N199" s="577" t="str">
        <f>IF(OR(M199=0,M199="")," ",[43]!Arp(K199,M199,ARP_Threshold))</f>
        <v xml:space="preserve"> </v>
      </c>
      <c r="O199" s="578" t="e">
        <f ca="1">IF(AND(K199="",M199="")," ",[43]!Ara(K199,M199,ARA_Threshold))</f>
        <v>#NAME?</v>
      </c>
    </row>
    <row r="200" spans="1:15" s="580" customFormat="1" ht="16.5" outlineLevel="1" thickTop="1" thickBot="1">
      <c r="A200" s="580" t="s">
        <v>385</v>
      </c>
      <c r="B200" s="585" t="s">
        <v>764</v>
      </c>
      <c r="C200" s="585" t="s">
        <v>383</v>
      </c>
      <c r="D200" s="587" t="s">
        <v>764</v>
      </c>
      <c r="E200" s="589" t="s">
        <v>386</v>
      </c>
      <c r="F200" s="595">
        <v>0</v>
      </c>
      <c r="G200" s="576"/>
      <c r="H200" s="595">
        <v>0</v>
      </c>
      <c r="I200" s="595">
        <v>0</v>
      </c>
      <c r="J200" s="595">
        <v>0</v>
      </c>
      <c r="K200" s="595">
        <v>0</v>
      </c>
      <c r="L200" s="576"/>
      <c r="M200" s="595">
        <v>0</v>
      </c>
      <c r="N200" s="577" t="str">
        <f>IF(OR(M200=0,M200="")," ",[43]!Arp(K200,M200,ARP_Threshold))</f>
        <v xml:space="preserve"> </v>
      </c>
      <c r="O200" s="578" t="e">
        <f ca="1">IF(AND(K200="",M200="")," ",[43]!Ara(K200,M200,ARA_Threshold))</f>
        <v>#NAME?</v>
      </c>
    </row>
    <row r="201" spans="1:15" s="580" customFormat="1" ht="15.75" outlineLevel="1" thickTop="1">
      <c r="A201" s="580" t="s">
        <v>387</v>
      </c>
      <c r="B201" s="585" t="s">
        <v>764</v>
      </c>
      <c r="C201" s="585" t="s">
        <v>764</v>
      </c>
      <c r="D201" s="587" t="s">
        <v>764</v>
      </c>
      <c r="F201" s="575"/>
      <c r="G201" s="576"/>
      <c r="H201" s="575"/>
      <c r="I201" s="575"/>
      <c r="J201" s="575"/>
      <c r="K201" s="575"/>
      <c r="L201" s="576"/>
      <c r="M201" s="575"/>
      <c r="N201" s="577" t="str">
        <f>IF(OR(M201=0,M201="")," ",[43]!Arp(K201,M201,ARP_Threshold))</f>
        <v xml:space="preserve"> </v>
      </c>
      <c r="O201" s="578" t="str">
        <f>IF(AND(K201="",M201="")," ",[43]!Ara(K201,M201,ARA_Threshold))</f>
        <v xml:space="preserve"> </v>
      </c>
    </row>
    <row r="202" spans="1:15" s="580" customFormat="1" ht="15.75" outlineLevel="1" thickBot="1">
      <c r="A202" s="580" t="s">
        <v>1620</v>
      </c>
      <c r="B202" s="585" t="s">
        <v>764</v>
      </c>
      <c r="C202" s="585" t="s">
        <v>1622</v>
      </c>
      <c r="D202" s="587" t="s">
        <v>764</v>
      </c>
      <c r="E202" s="589" t="s">
        <v>1621</v>
      </c>
      <c r="F202" s="1059">
        <v>0</v>
      </c>
      <c r="G202" s="576"/>
      <c r="H202" s="1059">
        <v>0</v>
      </c>
      <c r="I202" s="1059">
        <v>0</v>
      </c>
      <c r="J202" s="1059">
        <v>0</v>
      </c>
      <c r="K202" s="1059">
        <v>0</v>
      </c>
      <c r="L202" s="576"/>
      <c r="M202" s="1059">
        <v>0</v>
      </c>
      <c r="N202" s="577" t="str">
        <f>IF(OR(M202=0,M202="")," ",[43]!Arp(K202,M202,ARP_Threshold))</f>
        <v xml:space="preserve"> </v>
      </c>
      <c r="O202" s="578" t="e">
        <f ca="1">IF(AND(K202="",M202="")," ",[43]!Ara(K202,M202,ARA_Threshold))</f>
        <v>#NAME?</v>
      </c>
    </row>
    <row r="203" spans="1:15" s="580" customFormat="1" ht="15.75" outlineLevel="1" thickTop="1">
      <c r="A203" s="580" t="s">
        <v>1623</v>
      </c>
      <c r="B203" s="585" t="s">
        <v>764</v>
      </c>
      <c r="C203" s="585" t="s">
        <v>764</v>
      </c>
      <c r="D203" s="587" t="s">
        <v>764</v>
      </c>
      <c r="F203" s="575"/>
      <c r="H203" s="575"/>
      <c r="I203" s="575"/>
      <c r="J203" s="575"/>
      <c r="K203" s="575"/>
      <c r="M203" s="575"/>
      <c r="N203" s="1055" t="str">
        <f>IF(OR(M203=0,M203="")," ",[43]!Arp(K203,M203,ARP_Threshold))</f>
        <v xml:space="preserve"> </v>
      </c>
      <c r="O203" s="1053" t="str">
        <f>IF(AND(K203="",M203="")," ",[43]!Ara(K203,M203,ARA_Threshold))</f>
        <v xml:space="preserve"> </v>
      </c>
    </row>
    <row r="204" spans="1:15" s="580" customFormat="1" ht="15.75" outlineLevel="2" thickBot="1">
      <c r="A204" s="580" t="s">
        <v>1359</v>
      </c>
      <c r="B204" s="585" t="s">
        <v>764</v>
      </c>
      <c r="C204" s="585" t="s">
        <v>389</v>
      </c>
      <c r="D204" s="587" t="s">
        <v>835</v>
      </c>
      <c r="E204" s="587" t="s">
        <v>352</v>
      </c>
      <c r="F204" s="590">
        <v>0</v>
      </c>
      <c r="G204" s="584"/>
      <c r="H204" s="590">
        <v>0</v>
      </c>
      <c r="I204" s="590">
        <v>0</v>
      </c>
      <c r="J204" s="590">
        <v>0</v>
      </c>
      <c r="K204" s="590">
        <v>0</v>
      </c>
      <c r="L204" s="584"/>
      <c r="M204" s="590">
        <v>-14367</v>
      </c>
      <c r="N204" s="577" t="e">
        <f ca="1">IF(OR(M204=0,M204="")," ",[43]!Arp(K204,M204,ARP_Threshold))</f>
        <v>#NAME?</v>
      </c>
      <c r="O204" s="578" t="e">
        <f ca="1">IF(AND(K204="",M204="")," ",[43]!Ara(K204,M204,ARA_Threshold))</f>
        <v>#NAME?</v>
      </c>
    </row>
    <row r="205" spans="1:15" s="580" customFormat="1" ht="16.5" outlineLevel="1" thickTop="1" thickBot="1">
      <c r="A205" s="580" t="s">
        <v>388</v>
      </c>
      <c r="B205" s="585" t="s">
        <v>764</v>
      </c>
      <c r="C205" s="585" t="s">
        <v>389</v>
      </c>
      <c r="D205" s="587" t="s">
        <v>764</v>
      </c>
      <c r="E205" s="589" t="s">
        <v>1360</v>
      </c>
      <c r="F205" s="595">
        <v>0</v>
      </c>
      <c r="G205" s="576"/>
      <c r="H205" s="595">
        <v>0</v>
      </c>
      <c r="I205" s="595">
        <v>0</v>
      </c>
      <c r="J205" s="595">
        <v>0</v>
      </c>
      <c r="K205" s="595">
        <v>0</v>
      </c>
      <c r="L205" s="576"/>
      <c r="M205" s="595">
        <v>-14367</v>
      </c>
      <c r="N205" s="577" t="e">
        <f ca="1">IF(OR(M205=0,M205="")," ",[43]!Arp(K205,M205,ARP_Threshold))</f>
        <v>#NAME?</v>
      </c>
      <c r="O205" s="578" t="e">
        <f ca="1">IF(AND(K205="",M205="")," ",[43]!Ara(K205,M205,ARA_Threshold))</f>
        <v>#NAME?</v>
      </c>
    </row>
    <row r="206" spans="1:15" s="580" customFormat="1" ht="16.5" outlineLevel="1" thickTop="1" thickBot="1">
      <c r="A206" s="580" t="s">
        <v>390</v>
      </c>
      <c r="B206" s="585" t="s">
        <v>764</v>
      </c>
      <c r="C206" s="585" t="s">
        <v>764</v>
      </c>
      <c r="D206" s="587" t="s">
        <v>764</v>
      </c>
      <c r="F206" s="575"/>
      <c r="G206" s="576"/>
      <c r="H206" s="575"/>
      <c r="I206" s="575"/>
      <c r="J206" s="575"/>
      <c r="K206" s="575"/>
      <c r="L206" s="576"/>
      <c r="M206" s="575"/>
      <c r="N206" s="577" t="str">
        <f>IF(OR(M206=0,M206="")," ",[43]!Arp(K206,M206,ARP_Threshold))</f>
        <v xml:space="preserve"> </v>
      </c>
      <c r="O206" s="578" t="str">
        <f>IF(AND(K206="",M206="")," ",[43]!Ara(K206,M206,ARA_Threshold))</f>
        <v xml:space="preserve"> </v>
      </c>
    </row>
    <row r="207" spans="1:15" s="580" customFormat="1" ht="16.5" outlineLevel="1" thickTop="1" thickBot="1">
      <c r="A207" s="580" t="s">
        <v>391</v>
      </c>
      <c r="B207" s="585" t="s">
        <v>764</v>
      </c>
      <c r="C207" s="585" t="s">
        <v>392</v>
      </c>
      <c r="D207" s="587" t="s">
        <v>764</v>
      </c>
      <c r="E207" s="589" t="s">
        <v>393</v>
      </c>
      <c r="F207" s="579">
        <v>0</v>
      </c>
      <c r="G207" s="576"/>
      <c r="H207" s="579">
        <v>0</v>
      </c>
      <c r="I207" s="579">
        <v>0</v>
      </c>
      <c r="J207" s="579">
        <v>0</v>
      </c>
      <c r="K207" s="579">
        <v>0</v>
      </c>
      <c r="L207" s="576"/>
      <c r="M207" s="579">
        <v>0</v>
      </c>
      <c r="N207" s="577" t="str">
        <f>IF(OR(M207=0,M207="")," ",[43]!Arp(K207,M207,ARP_Threshold))</f>
        <v xml:space="preserve"> </v>
      </c>
      <c r="O207" s="578" t="e">
        <f ca="1">IF(AND(K207="",M207="")," ",[43]!Ara(K207,M207,ARA_Threshold))</f>
        <v>#NAME?</v>
      </c>
    </row>
    <row r="208" spans="1:15" s="580" customFormat="1" ht="16.5" outlineLevel="1" thickTop="1" thickBot="1">
      <c r="A208" s="580" t="s">
        <v>394</v>
      </c>
      <c r="B208" s="585" t="s">
        <v>764</v>
      </c>
      <c r="C208" s="585" t="s">
        <v>764</v>
      </c>
      <c r="D208" s="587" t="s">
        <v>764</v>
      </c>
      <c r="F208" s="575"/>
      <c r="G208" s="576"/>
      <c r="H208" s="575"/>
      <c r="I208" s="575"/>
      <c r="J208" s="575"/>
      <c r="K208" s="575"/>
      <c r="L208" s="576"/>
      <c r="M208" s="575"/>
      <c r="N208" s="577" t="str">
        <f>IF(OR(M208=0,M208="")," ",[43]!Arp(K208,M208,ARP_Threshold))</f>
        <v xml:space="preserve"> </v>
      </c>
      <c r="O208" s="578" t="str">
        <f>IF(AND(K208="",M208="")," ",[43]!Ara(K208,M208,ARA_Threshold))</f>
        <v xml:space="preserve"> </v>
      </c>
    </row>
    <row r="209" spans="1:15" s="580" customFormat="1" ht="16.5" outlineLevel="1" thickTop="1" thickBot="1">
      <c r="A209" s="580" t="s">
        <v>395</v>
      </c>
      <c r="B209" s="585" t="s">
        <v>764</v>
      </c>
      <c r="C209" s="585" t="s">
        <v>396</v>
      </c>
      <c r="D209" s="587" t="s">
        <v>764</v>
      </c>
      <c r="E209" s="589" t="s">
        <v>397</v>
      </c>
      <c r="F209" s="579">
        <v>0</v>
      </c>
      <c r="G209" s="576"/>
      <c r="H209" s="579">
        <v>0</v>
      </c>
      <c r="I209" s="579">
        <v>0</v>
      </c>
      <c r="J209" s="579">
        <v>0</v>
      </c>
      <c r="K209" s="579">
        <v>0</v>
      </c>
      <c r="L209" s="576"/>
      <c r="M209" s="579">
        <v>0</v>
      </c>
      <c r="N209" s="577" t="str">
        <f>IF(OR(M209=0,M209="")," ",[43]!Arp(K209,M209,ARP_Threshold))</f>
        <v xml:space="preserve"> </v>
      </c>
      <c r="O209" s="578" t="e">
        <f ca="1">IF(AND(K209="",M209="")," ",[43]!Ara(K209,M209,ARA_Threshold))</f>
        <v>#NAME?</v>
      </c>
    </row>
    <row r="210" spans="1:15" s="580" customFormat="1" ht="15.75" outlineLevel="1" thickTop="1">
      <c r="A210" s="580" t="s">
        <v>398</v>
      </c>
      <c r="B210" s="585" t="s">
        <v>764</v>
      </c>
      <c r="C210" s="585" t="s">
        <v>764</v>
      </c>
      <c r="D210" s="587" t="s">
        <v>764</v>
      </c>
      <c r="F210" s="575"/>
      <c r="G210" s="576"/>
      <c r="H210" s="575"/>
      <c r="I210" s="575"/>
      <c r="J210" s="575"/>
      <c r="K210" s="575"/>
      <c r="L210" s="576"/>
      <c r="M210" s="575"/>
      <c r="N210" s="577" t="str">
        <f>IF(OR(M210=0,M210="")," ",[43]!Arp(K210,M210,ARP_Threshold))</f>
        <v xml:space="preserve"> </v>
      </c>
      <c r="O210" s="578" t="str">
        <f>IF(AND(K210="",M210="")," ",[43]!Ara(K210,M210,ARA_Threshold))</f>
        <v xml:space="preserve"> </v>
      </c>
    </row>
    <row r="211" spans="1:15" s="580" customFormat="1" ht="15.75" customHeight="1" outlineLevel="2" thickBot="1">
      <c r="A211" s="580" t="s">
        <v>399</v>
      </c>
      <c r="B211" s="585" t="s">
        <v>764</v>
      </c>
      <c r="C211" s="585" t="s">
        <v>400</v>
      </c>
      <c r="D211" s="587" t="s">
        <v>906</v>
      </c>
      <c r="E211" s="580" t="s">
        <v>401</v>
      </c>
      <c r="F211" s="590">
        <v>0</v>
      </c>
      <c r="G211" s="584"/>
      <c r="H211" s="590">
        <v>0</v>
      </c>
      <c r="I211" s="590">
        <v>0</v>
      </c>
      <c r="J211" s="590">
        <v>0</v>
      </c>
      <c r="K211" s="590">
        <v>0</v>
      </c>
      <c r="L211" s="584"/>
      <c r="M211" s="590">
        <v>0</v>
      </c>
      <c r="N211" s="577" t="str">
        <f>IF(OR(M211=0,M211="")," ",[43]!Arp(K211,M211,ARP_Threshold))</f>
        <v xml:space="preserve"> </v>
      </c>
      <c r="O211" s="578" t="e">
        <f ca="1">IF(AND(K211="",M211="")," ",[43]!Ara(K211,M211,ARA_Threshold))</f>
        <v>#NAME?</v>
      </c>
    </row>
    <row r="212" spans="1:15" s="580" customFormat="1" ht="16.5" outlineLevel="1" thickTop="1" thickBot="1">
      <c r="A212" s="580" t="s">
        <v>402</v>
      </c>
      <c r="B212" s="585" t="s">
        <v>764</v>
      </c>
      <c r="C212" s="585" t="s">
        <v>400</v>
      </c>
      <c r="D212" s="587" t="s">
        <v>764</v>
      </c>
      <c r="E212" s="589" t="s">
        <v>403</v>
      </c>
      <c r="F212" s="595">
        <v>0</v>
      </c>
      <c r="G212" s="576"/>
      <c r="H212" s="595">
        <v>0</v>
      </c>
      <c r="I212" s="595">
        <v>0</v>
      </c>
      <c r="J212" s="595">
        <v>0</v>
      </c>
      <c r="K212" s="595">
        <v>0</v>
      </c>
      <c r="L212" s="576"/>
      <c r="M212" s="595">
        <v>0</v>
      </c>
      <c r="N212" s="577" t="str">
        <f>IF(OR(M212=0,M212="")," ",[43]!Arp(K212,M212,ARP_Threshold))</f>
        <v xml:space="preserve"> </v>
      </c>
      <c r="O212" s="578" t="e">
        <f ca="1">IF(AND(K212="",M212="")," ",[43]!Ara(K212,M212,ARA_Threshold))</f>
        <v>#NAME?</v>
      </c>
    </row>
    <row r="213" spans="1:15" s="580" customFormat="1" ht="15.75" outlineLevel="1" thickTop="1">
      <c r="A213" s="580" t="s">
        <v>404</v>
      </c>
      <c r="B213" s="585" t="s">
        <v>764</v>
      </c>
      <c r="C213" s="585" t="s">
        <v>764</v>
      </c>
      <c r="D213" s="587" t="s">
        <v>764</v>
      </c>
      <c r="F213" s="575"/>
      <c r="G213" s="576"/>
      <c r="H213" s="575"/>
      <c r="I213" s="575"/>
      <c r="J213" s="575"/>
      <c r="K213" s="575"/>
      <c r="L213" s="576"/>
      <c r="M213" s="575"/>
      <c r="N213" s="577" t="str">
        <f>IF(OR(M213=0,M213="")," ",[43]!Arp(K213,M213,ARP_Threshold))</f>
        <v xml:space="preserve"> </v>
      </c>
      <c r="O213" s="578" t="str">
        <f>IF(AND(K213="",M213="")," ",[43]!Ara(K213,M213,ARA_Threshold))</f>
        <v xml:space="preserve"> </v>
      </c>
    </row>
    <row r="214" spans="1:15" s="580" customFormat="1" ht="15.75" customHeight="1" outlineLevel="2" thickBot="1">
      <c r="A214" s="580" t="s">
        <v>405</v>
      </c>
      <c r="B214" s="585" t="s">
        <v>764</v>
      </c>
      <c r="C214" s="585" t="s">
        <v>406</v>
      </c>
      <c r="D214" s="587" t="s">
        <v>1591</v>
      </c>
      <c r="E214" s="580" t="s">
        <v>407</v>
      </c>
      <c r="F214" s="590">
        <v>246093</v>
      </c>
      <c r="G214" s="584"/>
      <c r="H214" s="590">
        <v>0</v>
      </c>
      <c r="I214" s="590">
        <v>246093</v>
      </c>
      <c r="J214" s="590">
        <v>0</v>
      </c>
      <c r="K214" s="590">
        <v>0</v>
      </c>
      <c r="L214" s="584"/>
      <c r="M214" s="590">
        <v>173124</v>
      </c>
      <c r="N214" s="577" t="e">
        <f ca="1">IF(OR(M214=0,M214="")," ",[43]!Arp(K214,M214,ARP_Threshold))</f>
        <v>#NAME?</v>
      </c>
      <c r="O214" s="578" t="e">
        <f ca="1">IF(AND(K214="",M214="")," ",[43]!Ara(K214,M214,ARA_Threshold))</f>
        <v>#NAME?</v>
      </c>
    </row>
    <row r="215" spans="1:15" s="580" customFormat="1" ht="16.5" outlineLevel="1" thickTop="1" thickBot="1">
      <c r="A215" s="580" t="s">
        <v>408</v>
      </c>
      <c r="B215" s="585" t="s">
        <v>764</v>
      </c>
      <c r="C215" s="585" t="s">
        <v>406</v>
      </c>
      <c r="D215" s="587" t="s">
        <v>764</v>
      </c>
      <c r="E215" s="589" t="s">
        <v>409</v>
      </c>
      <c r="F215" s="595">
        <v>246093</v>
      </c>
      <c r="G215" s="576"/>
      <c r="H215" s="595">
        <v>0</v>
      </c>
      <c r="I215" s="595">
        <v>246093</v>
      </c>
      <c r="J215" s="595">
        <v>0</v>
      </c>
      <c r="K215" s="595">
        <v>0</v>
      </c>
      <c r="L215" s="576"/>
      <c r="M215" s="595">
        <v>173124</v>
      </c>
      <c r="N215" s="577" t="e">
        <f ca="1">IF(OR(M215=0,M215="")," ",[43]!Arp(K215,M215,ARP_Threshold))</f>
        <v>#NAME?</v>
      </c>
      <c r="O215" s="578" t="e">
        <f ca="1">IF(AND(K215="",M215="")," ",[43]!Ara(K215,M215,ARA_Threshold))</f>
        <v>#NAME?</v>
      </c>
    </row>
    <row r="216" spans="1:15" s="580" customFormat="1" ht="15.75" outlineLevel="1" thickTop="1">
      <c r="A216" s="580" t="s">
        <v>410</v>
      </c>
      <c r="B216" s="585" t="s">
        <v>764</v>
      </c>
      <c r="C216" s="585" t="s">
        <v>764</v>
      </c>
      <c r="D216" s="587" t="s">
        <v>764</v>
      </c>
      <c r="F216" s="575"/>
      <c r="G216" s="576"/>
      <c r="H216" s="575"/>
      <c r="I216" s="575"/>
      <c r="J216" s="575"/>
      <c r="K216" s="575"/>
      <c r="L216" s="576"/>
      <c r="M216" s="575"/>
      <c r="N216" s="577" t="str">
        <f>IF(OR(M216=0,M216="")," ",[43]!Arp(K216,M216,ARP_Threshold))</f>
        <v xml:space="preserve"> </v>
      </c>
      <c r="O216" s="578" t="str">
        <f>IF(AND(K216="",M216="")," ",[43]!Ara(K216,M216,ARA_Threshold))</f>
        <v xml:space="preserve"> </v>
      </c>
    </row>
    <row r="217" spans="1:15" s="580" customFormat="1" ht="15" customHeight="1" outlineLevel="2">
      <c r="A217" s="580" t="s">
        <v>411</v>
      </c>
      <c r="B217" s="585" t="s">
        <v>764</v>
      </c>
      <c r="C217" s="585" t="s">
        <v>412</v>
      </c>
      <c r="D217" s="587" t="s">
        <v>900</v>
      </c>
      <c r="E217" s="580" t="s">
        <v>413</v>
      </c>
      <c r="F217" s="575">
        <v>-1218913</v>
      </c>
      <c r="G217" s="576"/>
      <c r="H217" s="575">
        <v>0</v>
      </c>
      <c r="I217" s="575">
        <v>-1218913</v>
      </c>
      <c r="J217" s="575">
        <v>0</v>
      </c>
      <c r="K217" s="575">
        <v>-334283.72454000002</v>
      </c>
      <c r="L217" s="576"/>
      <c r="M217" s="575">
        <v>-1512185</v>
      </c>
      <c r="N217" s="577" t="e">
        <f ca="1">IF(OR(M217=0,M217="")," ",[43]!Arp(K217,M217,ARP_Threshold))</f>
        <v>#NAME?</v>
      </c>
      <c r="O217" s="578" t="e">
        <f ca="1">IF(AND(K217="",M217="")," ",[43]!Ara(K217,M217,ARA_Threshold))</f>
        <v>#NAME?</v>
      </c>
    </row>
    <row r="218" spans="1:15" s="580" customFormat="1" ht="15" customHeight="1" outlineLevel="2">
      <c r="A218" s="580" t="s">
        <v>414</v>
      </c>
      <c r="B218" s="585" t="s">
        <v>764</v>
      </c>
      <c r="C218" s="585" t="s">
        <v>412</v>
      </c>
      <c r="D218" s="587" t="s">
        <v>1592</v>
      </c>
      <c r="E218" s="580" t="s">
        <v>415</v>
      </c>
      <c r="F218" s="575">
        <v>-89957</v>
      </c>
      <c r="G218" s="576"/>
      <c r="H218" s="575">
        <v>0</v>
      </c>
      <c r="I218" s="575">
        <v>-89957</v>
      </c>
      <c r="J218" s="575">
        <v>0</v>
      </c>
      <c r="K218" s="575">
        <v>0</v>
      </c>
      <c r="L218" s="576"/>
      <c r="M218" s="575">
        <v>-52857</v>
      </c>
      <c r="N218" s="577" t="e">
        <f ca="1">IF(OR(M218=0,M218="")," ",[43]!Arp(K218,M218,ARP_Threshold))</f>
        <v>#NAME?</v>
      </c>
      <c r="O218" s="578" t="e">
        <f ca="1">IF(AND(K218="",M218="")," ",[43]!Ara(K218,M218,ARA_Threshold))</f>
        <v>#NAME?</v>
      </c>
    </row>
    <row r="219" spans="1:15" s="580" customFormat="1" ht="15" customHeight="1" outlineLevel="2">
      <c r="A219" s="580" t="s">
        <v>416</v>
      </c>
      <c r="B219" s="585" t="s">
        <v>764</v>
      </c>
      <c r="C219" s="585" t="s">
        <v>412</v>
      </c>
      <c r="D219" s="587" t="s">
        <v>901</v>
      </c>
      <c r="E219" s="580" t="s">
        <v>417</v>
      </c>
      <c r="F219" s="575">
        <v>643203</v>
      </c>
      <c r="G219" s="576"/>
      <c r="H219" s="575">
        <v>0</v>
      </c>
      <c r="I219" s="575">
        <v>643203</v>
      </c>
      <c r="J219" s="575">
        <v>0</v>
      </c>
      <c r="K219" s="575">
        <v>487659.23599000002</v>
      </c>
      <c r="L219" s="576"/>
      <c r="M219" s="575">
        <v>1151926</v>
      </c>
      <c r="N219" s="577" t="e">
        <f ca="1">IF(OR(M219=0,M219="")," ",[43]!Arp(K219,M219,ARP_Threshold))</f>
        <v>#NAME?</v>
      </c>
      <c r="O219" s="578" t="e">
        <f ca="1">IF(AND(K219="",M219="")," ",[43]!Ara(K219,M219,ARA_Threshold))</f>
        <v>#NAME?</v>
      </c>
    </row>
    <row r="220" spans="1:15" s="580" customFormat="1" ht="15" customHeight="1" outlineLevel="2">
      <c r="A220" s="580" t="s">
        <v>418</v>
      </c>
      <c r="B220" s="585" t="s">
        <v>764</v>
      </c>
      <c r="C220" s="585" t="s">
        <v>412</v>
      </c>
      <c r="D220" s="587" t="s">
        <v>902</v>
      </c>
      <c r="E220" s="580" t="s">
        <v>419</v>
      </c>
      <c r="F220" s="575">
        <v>-1358295</v>
      </c>
      <c r="G220" s="576"/>
      <c r="H220" s="575">
        <v>0</v>
      </c>
      <c r="I220" s="575">
        <v>-1358295</v>
      </c>
      <c r="J220" s="575">
        <v>0</v>
      </c>
      <c r="K220" s="575">
        <v>-538859.42258000001</v>
      </c>
      <c r="L220" s="576"/>
      <c r="M220" s="575">
        <v>-1317417</v>
      </c>
      <c r="N220" s="577" t="e">
        <f ca="1">IF(OR(M220=0,M220="")," ",[43]!Arp(K220,M220,ARP_Threshold))</f>
        <v>#NAME?</v>
      </c>
      <c r="O220" s="578" t="e">
        <f ca="1">IF(AND(K220="",M220="")," ",[43]!Ara(K220,M220,ARA_Threshold))</f>
        <v>#NAME?</v>
      </c>
    </row>
    <row r="221" spans="1:15" s="580" customFormat="1" ht="15" customHeight="1" outlineLevel="2">
      <c r="A221" s="580" t="s">
        <v>420</v>
      </c>
      <c r="B221" s="585" t="s">
        <v>764</v>
      </c>
      <c r="C221" s="585" t="s">
        <v>412</v>
      </c>
      <c r="D221" s="587" t="s">
        <v>903</v>
      </c>
      <c r="E221" s="580" t="s">
        <v>421</v>
      </c>
      <c r="F221" s="575">
        <v>1305223</v>
      </c>
      <c r="G221" s="576"/>
      <c r="H221" s="575">
        <v>0</v>
      </c>
      <c r="I221" s="575">
        <v>1305223</v>
      </c>
      <c r="J221" s="575">
        <v>0</v>
      </c>
      <c r="K221" s="575">
        <v>305039.91476000001</v>
      </c>
      <c r="L221" s="576"/>
      <c r="M221" s="575">
        <v>1801132</v>
      </c>
      <c r="N221" s="577" t="e">
        <f ca="1">IF(OR(M221=0,M221="")," ",[43]!Arp(K221,M221,ARP_Threshold))</f>
        <v>#NAME?</v>
      </c>
      <c r="O221" s="578" t="e">
        <f ca="1">IF(AND(K221="",M221="")," ",[43]!Ara(K221,M221,ARA_Threshold))</f>
        <v>#NAME?</v>
      </c>
    </row>
    <row r="222" spans="1:15" s="580" customFormat="1" ht="15" customHeight="1" outlineLevel="2">
      <c r="A222" s="580" t="s">
        <v>422</v>
      </c>
      <c r="B222" s="585" t="s">
        <v>764</v>
      </c>
      <c r="C222" s="585" t="s">
        <v>412</v>
      </c>
      <c r="D222" s="587" t="s">
        <v>905</v>
      </c>
      <c r="E222" s="580" t="s">
        <v>423</v>
      </c>
      <c r="F222" s="575">
        <v>33040</v>
      </c>
      <c r="G222" s="576"/>
      <c r="H222" s="575">
        <v>0</v>
      </c>
      <c r="I222" s="575">
        <v>33040</v>
      </c>
      <c r="J222" s="575">
        <v>0</v>
      </c>
      <c r="K222" s="575">
        <v>6362.1527599999999</v>
      </c>
      <c r="L222" s="576"/>
      <c r="M222" s="575">
        <v>-14939</v>
      </c>
      <c r="N222" s="577" t="e">
        <f ca="1">IF(OR(M222=0,M222="")," ",[43]!Arp(K222,M222,ARP_Threshold))</f>
        <v>#NAME?</v>
      </c>
      <c r="O222" s="578" t="e">
        <f ca="1">IF(AND(K222="",M222="")," ",[43]!Ara(K222,M222,ARA_Threshold))</f>
        <v>#NAME?</v>
      </c>
    </row>
    <row r="223" spans="1:15" s="580" customFormat="1" ht="15.75" customHeight="1" outlineLevel="2" thickBot="1">
      <c r="A223" s="580" t="s">
        <v>424</v>
      </c>
      <c r="B223" s="585" t="s">
        <v>764</v>
      </c>
      <c r="C223" s="585" t="s">
        <v>412</v>
      </c>
      <c r="D223" s="587" t="s">
        <v>907</v>
      </c>
      <c r="E223" s="580" t="s">
        <v>425</v>
      </c>
      <c r="F223" s="590">
        <v>-1391531</v>
      </c>
      <c r="G223" s="584"/>
      <c r="H223" s="590">
        <v>0</v>
      </c>
      <c r="I223" s="590">
        <v>-1391531</v>
      </c>
      <c r="J223" s="590">
        <v>0</v>
      </c>
      <c r="K223" s="590">
        <v>-2076194.4002400001</v>
      </c>
      <c r="L223" s="584"/>
      <c r="M223" s="590">
        <v>-1518878</v>
      </c>
      <c r="N223" s="577" t="e">
        <f ca="1">IF(OR(M223=0,M223="")," ",[43]!Arp(K223,M223,ARP_Threshold))</f>
        <v>#NAME?</v>
      </c>
      <c r="O223" s="578" t="e">
        <f ca="1">IF(AND(K223="",M223="")," ",[43]!Ara(K223,M223,ARA_Threshold))</f>
        <v>#NAME?</v>
      </c>
    </row>
    <row r="224" spans="1:15" s="580" customFormat="1" ht="16.5" outlineLevel="1" thickTop="1" thickBot="1">
      <c r="A224" s="580" t="s">
        <v>426</v>
      </c>
      <c r="B224" s="585" t="s">
        <v>764</v>
      </c>
      <c r="C224" s="585" t="s">
        <v>412</v>
      </c>
      <c r="D224" s="587" t="s">
        <v>764</v>
      </c>
      <c r="E224" s="589" t="s">
        <v>427</v>
      </c>
      <c r="F224" s="595">
        <v>-2077230</v>
      </c>
      <c r="G224" s="576"/>
      <c r="H224" s="595">
        <v>0</v>
      </c>
      <c r="I224" s="595">
        <v>-2077230</v>
      </c>
      <c r="J224" s="595">
        <v>0</v>
      </c>
      <c r="K224" s="1313">
        <f>SUM(K217:K223)</f>
        <v>-2150276.2438500002</v>
      </c>
      <c r="L224" s="576"/>
      <c r="M224" s="595">
        <v>-1463218</v>
      </c>
      <c r="N224" s="577" t="e">
        <f ca="1">IF(OR(M224=0,M224="")," ",[43]!Arp(K224,M224,ARP_Threshold))</f>
        <v>#NAME?</v>
      </c>
      <c r="O224" s="578" t="e">
        <f ca="1">IF(AND(K224="",M224="")," ",[43]!Ara(K224,M224,ARA_Threshold))</f>
        <v>#NAME?</v>
      </c>
    </row>
    <row r="225" spans="1:15" s="580" customFormat="1" ht="15.75" outlineLevel="1" thickTop="1">
      <c r="A225" s="580" t="s">
        <v>428</v>
      </c>
      <c r="B225" s="585" t="s">
        <v>764</v>
      </c>
      <c r="C225" s="585" t="s">
        <v>764</v>
      </c>
      <c r="D225" s="587" t="s">
        <v>764</v>
      </c>
      <c r="F225" s="575"/>
      <c r="G225" s="576"/>
      <c r="H225" s="575"/>
      <c r="I225" s="575"/>
      <c r="J225" s="575"/>
      <c r="K225" s="575"/>
      <c r="L225" s="576"/>
      <c r="M225" s="575"/>
      <c r="N225" s="577" t="str">
        <f>IF(OR(M225=0,M225="")," ",[43]!Arp(K225,M225,ARP_Threshold))</f>
        <v xml:space="preserve"> </v>
      </c>
      <c r="O225" s="578" t="str">
        <f>IF(AND(K225="",M225="")," ",[43]!Ara(K225,M225,ARA_Threshold))</f>
        <v xml:space="preserve"> </v>
      </c>
    </row>
    <row r="226" spans="1:15" s="580" customFormat="1" ht="15.75" customHeight="1" outlineLevel="2" thickBot="1">
      <c r="A226" s="580" t="s">
        <v>429</v>
      </c>
      <c r="B226" s="585" t="s">
        <v>764</v>
      </c>
      <c r="C226" s="585" t="s">
        <v>430</v>
      </c>
      <c r="D226" s="587" t="s">
        <v>904</v>
      </c>
      <c r="E226" s="580" t="s">
        <v>431</v>
      </c>
      <c r="F226" s="590">
        <v>46854</v>
      </c>
      <c r="G226" s="584"/>
      <c r="H226" s="590">
        <v>0</v>
      </c>
      <c r="I226" s="590">
        <v>46854</v>
      </c>
      <c r="J226" s="590">
        <v>0</v>
      </c>
      <c r="K226" s="590">
        <v>3812.6899800000001</v>
      </c>
      <c r="L226" s="584"/>
      <c r="M226" s="590">
        <v>-10784</v>
      </c>
      <c r="N226" s="577" t="e">
        <f ca="1">IF(OR(M226=0,M226="")," ",[43]!Arp(K226,M226,ARP_Threshold))</f>
        <v>#NAME?</v>
      </c>
      <c r="O226" s="578" t="e">
        <f ca="1">IF(AND(K226="",M226="")," ",[43]!Ara(K226,M226,ARA_Threshold))</f>
        <v>#NAME?</v>
      </c>
    </row>
    <row r="227" spans="1:15" s="580" customFormat="1" ht="16.5" outlineLevel="1" thickTop="1" thickBot="1">
      <c r="A227" s="580" t="s">
        <v>432</v>
      </c>
      <c r="B227" s="585" t="s">
        <v>764</v>
      </c>
      <c r="C227" s="585" t="s">
        <v>430</v>
      </c>
      <c r="D227" s="587" t="s">
        <v>764</v>
      </c>
      <c r="E227" s="589" t="s">
        <v>433</v>
      </c>
      <c r="F227" s="595">
        <v>46854</v>
      </c>
      <c r="G227" s="576"/>
      <c r="H227" s="595">
        <v>0</v>
      </c>
      <c r="I227" s="595">
        <v>46854</v>
      </c>
      <c r="J227" s="595">
        <v>0</v>
      </c>
      <c r="K227" s="1313">
        <v>3812.6899800000001</v>
      </c>
      <c r="L227" s="576"/>
      <c r="M227" s="595">
        <v>-10784</v>
      </c>
      <c r="N227" s="577" t="e">
        <f ca="1">IF(OR(M227=0,M227="")," ",[43]!Arp(K227,M227,ARP_Threshold))</f>
        <v>#NAME?</v>
      </c>
      <c r="O227" s="578" t="e">
        <f ca="1">IF(AND(K227="",M227="")," ",[43]!Ara(K227,M227,ARA_Threshold))</f>
        <v>#NAME?</v>
      </c>
    </row>
    <row r="228" spans="1:15" s="580" customFormat="1" ht="16.5" outlineLevel="1" thickTop="1" thickBot="1">
      <c r="A228" s="580" t="s">
        <v>434</v>
      </c>
      <c r="B228" s="585" t="s">
        <v>764</v>
      </c>
      <c r="C228" s="585" t="s">
        <v>764</v>
      </c>
      <c r="D228" s="587" t="s">
        <v>764</v>
      </c>
      <c r="F228" s="575"/>
      <c r="G228" s="576"/>
      <c r="H228" s="575"/>
      <c r="I228" s="575"/>
      <c r="J228" s="575"/>
      <c r="K228" s="575"/>
      <c r="L228" s="576"/>
      <c r="M228" s="575"/>
      <c r="N228" s="577" t="str">
        <f>IF(OR(M228=0,M228="")," ",[43]!Arp(K228,M228,ARP_Threshold))</f>
        <v xml:space="preserve"> </v>
      </c>
      <c r="O228" s="578" t="str">
        <f>IF(AND(K228="",M228="")," ",[43]!Ara(K228,M228,ARA_Threshold))</f>
        <v xml:space="preserve"> </v>
      </c>
    </row>
    <row r="229" spans="1:15" s="580" customFormat="1" ht="16.5" outlineLevel="1" thickTop="1" thickBot="1">
      <c r="A229" s="580" t="s">
        <v>435</v>
      </c>
      <c r="B229" s="585" t="s">
        <v>764</v>
      </c>
      <c r="C229" s="585" t="s">
        <v>436</v>
      </c>
      <c r="D229" s="587" t="s">
        <v>764</v>
      </c>
      <c r="E229" s="589" t="s">
        <v>437</v>
      </c>
      <c r="F229" s="579">
        <v>0</v>
      </c>
      <c r="G229" s="576"/>
      <c r="H229" s="579">
        <v>0</v>
      </c>
      <c r="I229" s="579">
        <v>0</v>
      </c>
      <c r="J229" s="579">
        <v>0</v>
      </c>
      <c r="K229" s="579">
        <v>0</v>
      </c>
      <c r="L229" s="576"/>
      <c r="M229" s="579">
        <v>0</v>
      </c>
      <c r="N229" s="577" t="str">
        <f>IF(OR(M229=0,M229="")," ",[43]!Arp(K229,M229,ARP_Threshold))</f>
        <v xml:space="preserve"> </v>
      </c>
      <c r="O229" s="578" t="e">
        <f ca="1">IF(AND(K229="",M229="")," ",[43]!Ara(K229,M229,ARA_Threshold))</f>
        <v>#NAME?</v>
      </c>
    </row>
    <row r="230" spans="1:15" s="580" customFormat="1" ht="15.75" outlineLevel="1" thickTop="1">
      <c r="A230" s="580" t="s">
        <v>438</v>
      </c>
      <c r="B230" s="585" t="s">
        <v>764</v>
      </c>
      <c r="C230" s="585" t="s">
        <v>764</v>
      </c>
      <c r="D230" s="587" t="s">
        <v>764</v>
      </c>
      <c r="F230" s="575"/>
      <c r="G230" s="576"/>
      <c r="H230" s="575"/>
      <c r="I230" s="575"/>
      <c r="J230" s="575"/>
      <c r="K230" s="575"/>
      <c r="L230" s="576"/>
      <c r="M230" s="575"/>
      <c r="N230" s="577" t="str">
        <f>IF(OR(M230=0,M230="")," ",[43]!Arp(K230,M230,ARP_Threshold))</f>
        <v xml:space="preserve"> </v>
      </c>
      <c r="O230" s="578" t="str">
        <f>IF(AND(K230="",M230="")," ",[43]!Ara(K230,M230,ARA_Threshold))</f>
        <v xml:space="preserve"> </v>
      </c>
    </row>
    <row r="231" spans="1:15" s="580" customFormat="1" ht="15" customHeight="1" outlineLevel="2">
      <c r="A231" s="580" t="s">
        <v>439</v>
      </c>
      <c r="B231" s="585" t="s">
        <v>764</v>
      </c>
      <c r="C231" s="585" t="s">
        <v>440</v>
      </c>
      <c r="D231" s="587" t="s">
        <v>847</v>
      </c>
      <c r="E231" s="580" t="s">
        <v>441</v>
      </c>
      <c r="F231" s="575">
        <v>0</v>
      </c>
      <c r="G231" s="576"/>
      <c r="H231" s="575">
        <v>0</v>
      </c>
      <c r="I231" s="575">
        <v>0</v>
      </c>
      <c r="J231" s="575">
        <v>0</v>
      </c>
      <c r="K231" s="575">
        <v>0</v>
      </c>
      <c r="L231" s="576"/>
      <c r="M231" s="575">
        <v>0</v>
      </c>
      <c r="N231" s="577" t="str">
        <f>IF(OR(M231=0,M231="")," ",[43]!Arp(K231,M231,ARP_Threshold))</f>
        <v xml:space="preserve"> </v>
      </c>
      <c r="O231" s="578" t="e">
        <f ca="1">IF(AND(K231="",M231="")," ",[43]!Ara(K231,M231,ARA_Threshold))</f>
        <v>#NAME?</v>
      </c>
    </row>
    <row r="232" spans="1:15" s="580" customFormat="1" ht="15" customHeight="1" outlineLevel="2">
      <c r="A232" s="580" t="s">
        <v>442</v>
      </c>
      <c r="B232" s="585" t="s">
        <v>764</v>
      </c>
      <c r="C232" s="585" t="s">
        <v>440</v>
      </c>
      <c r="D232" s="587" t="s">
        <v>848</v>
      </c>
      <c r="E232" s="580" t="s">
        <v>443</v>
      </c>
      <c r="F232" s="575">
        <v>-1789</v>
      </c>
      <c r="G232" s="576"/>
      <c r="H232" s="575">
        <v>0</v>
      </c>
      <c r="I232" s="575">
        <v>-1789</v>
      </c>
      <c r="J232" s="575">
        <v>0</v>
      </c>
      <c r="K232" s="575">
        <v>-1521.33</v>
      </c>
      <c r="L232" s="576"/>
      <c r="M232" s="575">
        <v>757</v>
      </c>
      <c r="N232" s="577" t="e">
        <f ca="1">IF(OR(M232=0,M232="")," ",[43]!Arp(K232,M232,ARP_Threshold))</f>
        <v>#NAME?</v>
      </c>
      <c r="O232" s="578" t="e">
        <f ca="1">IF(AND(K232="",M232="")," ",[43]!Ara(K232,M232,ARA_Threshold))</f>
        <v>#NAME?</v>
      </c>
    </row>
    <row r="233" spans="1:15" s="580" customFormat="1" ht="15" customHeight="1" outlineLevel="2">
      <c r="A233" s="580" t="s">
        <v>444</v>
      </c>
      <c r="B233" s="585" t="s">
        <v>764</v>
      </c>
      <c r="C233" s="585" t="s">
        <v>440</v>
      </c>
      <c r="D233" s="587" t="s">
        <v>849</v>
      </c>
      <c r="E233" s="580" t="s">
        <v>445</v>
      </c>
      <c r="F233" s="575">
        <v>-26324</v>
      </c>
      <c r="G233" s="576"/>
      <c r="H233" s="575">
        <v>0</v>
      </c>
      <c r="I233" s="575">
        <v>-26324</v>
      </c>
      <c r="J233" s="575">
        <v>0</v>
      </c>
      <c r="K233" s="575">
        <v>0</v>
      </c>
      <c r="L233" s="576"/>
      <c r="M233" s="575">
        <v>-396</v>
      </c>
      <c r="N233" s="577" t="e">
        <f ca="1">IF(OR(M233=0,M233="")," ",[43]!Arp(K233,M233,ARP_Threshold))</f>
        <v>#NAME?</v>
      </c>
      <c r="O233" s="578" t="e">
        <f ca="1">IF(AND(K233="",M233="")," ",[43]!Ara(K233,M233,ARA_Threshold))</f>
        <v>#NAME?</v>
      </c>
    </row>
    <row r="234" spans="1:15" s="580" customFormat="1" ht="15" customHeight="1" outlineLevel="2">
      <c r="A234" s="580" t="s">
        <v>446</v>
      </c>
      <c r="B234" s="585" t="s">
        <v>764</v>
      </c>
      <c r="C234" s="585" t="s">
        <v>440</v>
      </c>
      <c r="D234" s="587" t="s">
        <v>850</v>
      </c>
      <c r="E234" s="580" t="s">
        <v>447</v>
      </c>
      <c r="F234" s="575">
        <v>-28440</v>
      </c>
      <c r="G234" s="584"/>
      <c r="H234" s="575">
        <v>0</v>
      </c>
      <c r="I234" s="575">
        <v>-28440</v>
      </c>
      <c r="J234" s="575">
        <v>0</v>
      </c>
      <c r="K234" s="575">
        <v>-1326.8389999999999</v>
      </c>
      <c r="L234" s="576"/>
      <c r="M234" s="575">
        <v>971</v>
      </c>
      <c r="N234" s="577" t="e">
        <f ca="1">IF(OR(M234=0,M234="")," ",[43]!Arp(K234,M234,ARP_Threshold))</f>
        <v>#NAME?</v>
      </c>
      <c r="O234" s="578" t="e">
        <f ca="1">IF(AND(K234="",M234="")," ",[43]!Ara(K234,M234,ARA_Threshold))</f>
        <v>#NAME?</v>
      </c>
    </row>
    <row r="235" spans="1:15" s="580" customFormat="1" ht="15" customHeight="1" outlineLevel="2">
      <c r="A235" s="580" t="s">
        <v>1554</v>
      </c>
      <c r="B235" s="585" t="s">
        <v>764</v>
      </c>
      <c r="C235" s="585" t="s">
        <v>440</v>
      </c>
      <c r="D235" s="587" t="s">
        <v>1556</v>
      </c>
      <c r="E235" s="587" t="s">
        <v>1555</v>
      </c>
      <c r="F235" s="575">
        <v>200</v>
      </c>
      <c r="G235" s="584"/>
      <c r="H235" s="575">
        <v>0</v>
      </c>
      <c r="I235" s="575">
        <v>200</v>
      </c>
      <c r="J235" s="575">
        <v>0</v>
      </c>
      <c r="K235" s="575">
        <v>312.5</v>
      </c>
      <c r="L235" s="584"/>
      <c r="M235" s="575">
        <v>0</v>
      </c>
      <c r="N235" s="577" t="str">
        <f>IF(OR(M235=0,M235="")," ",[43]!Arp(K235,M235,ARP_Threshold))</f>
        <v xml:space="preserve"> </v>
      </c>
      <c r="O235" s="578" t="e">
        <f ca="1">IF(AND(K235="",M235="")," ",[43]!Ara(K235,M235,ARA_Threshold))</f>
        <v>#NAME?</v>
      </c>
    </row>
    <row r="236" spans="1:15" s="580" customFormat="1" ht="15.75" customHeight="1" outlineLevel="2" thickBot="1">
      <c r="A236" s="580" t="s">
        <v>448</v>
      </c>
      <c r="B236" s="585" t="s">
        <v>764</v>
      </c>
      <c r="C236" s="585" t="s">
        <v>440</v>
      </c>
      <c r="D236" s="587" t="s">
        <v>1593</v>
      </c>
      <c r="E236" s="580" t="s">
        <v>449</v>
      </c>
      <c r="F236" s="590">
        <v>0</v>
      </c>
      <c r="G236" s="576"/>
      <c r="H236" s="590">
        <v>0</v>
      </c>
      <c r="I236" s="590">
        <v>0</v>
      </c>
      <c r="J236" s="590">
        <v>0</v>
      </c>
      <c r="K236" s="590">
        <v>-193.67007000000001</v>
      </c>
      <c r="L236" s="584"/>
      <c r="M236" s="590">
        <v>-1</v>
      </c>
      <c r="N236" s="577" t="e">
        <f ca="1">IF(OR(M236=0,M236="")," ",[43]!Arp(K236,M236,ARP_Threshold))</f>
        <v>#NAME?</v>
      </c>
      <c r="O236" s="578" t="e">
        <f ca="1">IF(AND(K236="",M236="")," ",[43]!Ara(K236,M236,ARA_Threshold))</f>
        <v>#NAME?</v>
      </c>
    </row>
    <row r="237" spans="1:15" s="580" customFormat="1" ht="16.5" outlineLevel="1" thickTop="1" thickBot="1">
      <c r="A237" s="580" t="s">
        <v>450</v>
      </c>
      <c r="B237" s="585" t="s">
        <v>764</v>
      </c>
      <c r="C237" s="585" t="s">
        <v>440</v>
      </c>
      <c r="D237" s="587" t="s">
        <v>764</v>
      </c>
      <c r="E237" s="589" t="s">
        <v>451</v>
      </c>
      <c r="F237" s="595">
        <v>-56353</v>
      </c>
      <c r="G237" s="576"/>
      <c r="H237" s="595">
        <v>0</v>
      </c>
      <c r="I237" s="595">
        <v>-56353</v>
      </c>
      <c r="J237" s="595">
        <v>0</v>
      </c>
      <c r="K237" s="1320">
        <f>SUM(K231:K236)</f>
        <v>-2729.33907</v>
      </c>
      <c r="L237" s="576"/>
      <c r="M237" s="595">
        <v>1331</v>
      </c>
      <c r="N237" s="577" t="e">
        <f ca="1">IF(OR(M237=0,M237="")," ",[43]!Arp(K237,M237,ARP_Threshold))</f>
        <v>#NAME?</v>
      </c>
      <c r="O237" s="578" t="e">
        <f ca="1">IF(AND(K237="",M237="")," ",[43]!Ara(K237,M237,ARA_Threshold))</f>
        <v>#NAME?</v>
      </c>
    </row>
    <row r="238" spans="1:15" s="580" customFormat="1" ht="16.5" outlineLevel="1" thickTop="1" thickBot="1">
      <c r="A238" s="580" t="s">
        <v>452</v>
      </c>
      <c r="B238" s="585" t="s">
        <v>764</v>
      </c>
      <c r="C238" s="585" t="s">
        <v>764</v>
      </c>
      <c r="D238" s="587" t="s">
        <v>764</v>
      </c>
      <c r="F238" s="575"/>
      <c r="G238" s="576"/>
      <c r="H238" s="575"/>
      <c r="I238" s="575"/>
      <c r="J238" s="575"/>
      <c r="K238" s="575"/>
      <c r="L238" s="576"/>
      <c r="M238" s="575"/>
      <c r="N238" s="577" t="str">
        <f>IF(OR(M238=0,M238="")," ",[43]!Arp(K238,M238,ARP_Threshold))</f>
        <v xml:space="preserve"> </v>
      </c>
      <c r="O238" s="578" t="str">
        <f>IF(AND(K238="",M238="")," ",[43]!Ara(K238,M238,ARA_Threshold))</f>
        <v xml:space="preserve"> </v>
      </c>
    </row>
    <row r="239" spans="1:15" s="580" customFormat="1" ht="16.5" outlineLevel="1" thickTop="1" thickBot="1">
      <c r="A239" s="580" t="s">
        <v>453</v>
      </c>
      <c r="B239" s="585" t="s">
        <v>764</v>
      </c>
      <c r="C239" s="585" t="s">
        <v>454</v>
      </c>
      <c r="D239" s="587" t="s">
        <v>764</v>
      </c>
      <c r="E239" s="589" t="s">
        <v>455</v>
      </c>
      <c r="F239" s="579">
        <v>0</v>
      </c>
      <c r="G239" s="576"/>
      <c r="H239" s="579">
        <v>0</v>
      </c>
      <c r="I239" s="579">
        <v>0</v>
      </c>
      <c r="J239" s="579">
        <v>0</v>
      </c>
      <c r="K239" s="579">
        <v>0</v>
      </c>
      <c r="L239" s="576"/>
      <c r="M239" s="579">
        <v>0</v>
      </c>
      <c r="N239" s="577" t="str">
        <f>IF(OR(M239=0,M239="")," ",[43]!Arp(K239,M239,ARP_Threshold))</f>
        <v xml:space="preserve"> </v>
      </c>
      <c r="O239" s="578" t="e">
        <f ca="1">IF(AND(K239="",M239="")," ",[43]!Ara(K239,M239,ARA_Threshold))</f>
        <v>#NAME?</v>
      </c>
    </row>
    <row r="240" spans="1:15" s="580" customFormat="1" ht="15.75" outlineLevel="1" thickTop="1">
      <c r="A240" s="580" t="s">
        <v>456</v>
      </c>
      <c r="B240" s="585" t="s">
        <v>764</v>
      </c>
      <c r="C240" s="585" t="s">
        <v>764</v>
      </c>
      <c r="D240" s="587" t="s">
        <v>764</v>
      </c>
      <c r="F240" s="575"/>
      <c r="G240" s="576"/>
      <c r="H240" s="575"/>
      <c r="I240" s="575"/>
      <c r="J240" s="575"/>
      <c r="K240" s="575"/>
      <c r="L240" s="576"/>
      <c r="M240" s="575"/>
      <c r="N240" s="577" t="str">
        <f>IF(OR(M240=0,M240="")," ",[43]!Arp(K240,M240,ARP_Threshold))</f>
        <v xml:space="preserve"> </v>
      </c>
      <c r="O240" s="578" t="str">
        <f>IF(AND(K240="",M240="")," ",[43]!Ara(K240,M240,ARA_Threshold))</f>
        <v xml:space="preserve"> </v>
      </c>
    </row>
    <row r="241" spans="1:15" s="580" customFormat="1" ht="15" customHeight="1" outlineLevel="2">
      <c r="A241" s="580" t="s">
        <v>457</v>
      </c>
      <c r="B241" s="585" t="s">
        <v>764</v>
      </c>
      <c r="C241" s="585" t="s">
        <v>458</v>
      </c>
      <c r="D241" s="587" t="s">
        <v>1594</v>
      </c>
      <c r="E241" s="580" t="s">
        <v>459</v>
      </c>
      <c r="F241" s="575">
        <v>0</v>
      </c>
      <c r="G241" s="584"/>
      <c r="H241" s="575">
        <v>0</v>
      </c>
      <c r="I241" s="575">
        <v>0</v>
      </c>
      <c r="J241" s="575">
        <v>0</v>
      </c>
      <c r="K241" s="575">
        <v>-30737.00505</v>
      </c>
      <c r="L241" s="576"/>
      <c r="M241" s="575">
        <v>0</v>
      </c>
      <c r="N241" s="577" t="str">
        <f>IF(OR(M241=0,M241="")," ",[43]!Arp(K241,M241,ARP_Threshold))</f>
        <v xml:space="preserve"> </v>
      </c>
      <c r="O241" s="578" t="e">
        <f ca="1">IF(AND(K241="",M241="")," ",[43]!Ara(K241,M241,ARA_Threshold))</f>
        <v>#NAME?</v>
      </c>
    </row>
    <row r="242" spans="1:15" s="580" customFormat="1" ht="15.75" customHeight="1" outlineLevel="2" thickBot="1">
      <c r="A242" s="580" t="s">
        <v>460</v>
      </c>
      <c r="B242" s="585" t="s">
        <v>764</v>
      </c>
      <c r="C242" s="585" t="s">
        <v>458</v>
      </c>
      <c r="D242" s="587" t="s">
        <v>872</v>
      </c>
      <c r="E242" s="580" t="s">
        <v>461</v>
      </c>
      <c r="F242" s="590">
        <v>0</v>
      </c>
      <c r="G242" s="576"/>
      <c r="H242" s="590">
        <v>0</v>
      </c>
      <c r="I242" s="590">
        <v>0</v>
      </c>
      <c r="J242" s="590">
        <v>0</v>
      </c>
      <c r="K242" s="590">
        <v>7329.0059499999998</v>
      </c>
      <c r="L242" s="584"/>
      <c r="M242" s="590">
        <v>0</v>
      </c>
      <c r="N242" s="577" t="str">
        <f>IF(OR(M242=0,M242="")," ",[43]!Arp(K242,M242,ARP_Threshold))</f>
        <v xml:space="preserve"> </v>
      </c>
      <c r="O242" s="578" t="e">
        <f ca="1">IF(AND(K242="",M242="")," ",[43]!Ara(K242,M242,ARA_Threshold))</f>
        <v>#NAME?</v>
      </c>
    </row>
    <row r="243" spans="1:15" s="580" customFormat="1" ht="16.5" outlineLevel="1" thickTop="1" thickBot="1">
      <c r="A243" s="580" t="s">
        <v>462</v>
      </c>
      <c r="B243" s="585" t="s">
        <v>764</v>
      </c>
      <c r="C243" s="585" t="s">
        <v>458</v>
      </c>
      <c r="D243" s="587" t="s">
        <v>764</v>
      </c>
      <c r="E243" s="589" t="s">
        <v>463</v>
      </c>
      <c r="F243" s="595">
        <v>0</v>
      </c>
      <c r="G243" s="576"/>
      <c r="H243" s="595">
        <v>0</v>
      </c>
      <c r="I243" s="595">
        <v>0</v>
      </c>
      <c r="J243" s="595">
        <v>0</v>
      </c>
      <c r="K243" s="1313">
        <f>SUM(K241:K242)</f>
        <v>-23407.999100000001</v>
      </c>
      <c r="L243" s="576"/>
      <c r="M243" s="595">
        <v>0</v>
      </c>
      <c r="N243" s="577" t="str">
        <f>IF(OR(M243=0,M243="")," ",[43]!Arp(K243,M243,ARP_Threshold))</f>
        <v xml:space="preserve"> </v>
      </c>
      <c r="O243" s="578" t="e">
        <f ca="1">IF(AND(K243="",M243="")," ",[43]!Ara(K243,M243,ARA_Threshold))</f>
        <v>#NAME?</v>
      </c>
    </row>
    <row r="244" spans="1:15" s="580" customFormat="1" ht="15.75" outlineLevel="1" thickTop="1">
      <c r="A244" s="580" t="s">
        <v>464</v>
      </c>
      <c r="B244" s="585" t="s">
        <v>764</v>
      </c>
      <c r="C244" s="585" t="s">
        <v>764</v>
      </c>
      <c r="D244" s="587" t="s">
        <v>764</v>
      </c>
      <c r="F244" s="575"/>
      <c r="G244" s="576"/>
      <c r="H244" s="575"/>
      <c r="I244" s="575"/>
      <c r="J244" s="575"/>
      <c r="K244" s="575"/>
      <c r="L244" s="576"/>
      <c r="M244" s="575"/>
      <c r="N244" s="577" t="str">
        <f>IF(OR(M244=0,M244="")," ",[43]!Arp(K244,M244,ARP_Threshold))</f>
        <v xml:space="preserve"> </v>
      </c>
      <c r="O244" s="578" t="str">
        <f>IF(AND(K244="",M244="")," ",[43]!Ara(K244,M244,ARA_Threshold))</f>
        <v xml:space="preserve"> </v>
      </c>
    </row>
    <row r="245" spans="1:15" s="580" customFormat="1" ht="15" customHeight="1" outlineLevel="2">
      <c r="A245" s="580" t="s">
        <v>465</v>
      </c>
      <c r="B245" s="585" t="s">
        <v>764</v>
      </c>
      <c r="C245" s="585" t="s">
        <v>466</v>
      </c>
      <c r="D245" s="587" t="s">
        <v>866</v>
      </c>
      <c r="E245" s="580" t="s">
        <v>467</v>
      </c>
      <c r="F245" s="575">
        <v>-77702</v>
      </c>
      <c r="G245" s="576"/>
      <c r="H245" s="575">
        <v>0</v>
      </c>
      <c r="I245" s="575">
        <v>-77702</v>
      </c>
      <c r="J245" s="575">
        <v>0</v>
      </c>
      <c r="K245" s="575">
        <v>-17549.09232</v>
      </c>
      <c r="L245" s="576"/>
      <c r="M245" s="575">
        <v>-58985</v>
      </c>
      <c r="N245" s="577" t="e">
        <f ca="1">IF(OR(M245=0,M245="")," ",[43]!Arp(K245,M245,ARP_Threshold))</f>
        <v>#NAME?</v>
      </c>
      <c r="O245" s="578" t="e">
        <f ca="1">IF(AND(K245="",M245="")," ",[43]!Ara(K245,M245,ARA_Threshold))</f>
        <v>#NAME?</v>
      </c>
    </row>
    <row r="246" spans="1:15" s="580" customFormat="1" ht="15" customHeight="1" outlineLevel="2">
      <c r="A246" s="580" t="s">
        <v>468</v>
      </c>
      <c r="B246" s="585" t="s">
        <v>764</v>
      </c>
      <c r="C246" s="585" t="s">
        <v>466</v>
      </c>
      <c r="D246" s="587" t="s">
        <v>867</v>
      </c>
      <c r="E246" s="580" t="s">
        <v>467</v>
      </c>
      <c r="F246" s="575">
        <v>0</v>
      </c>
      <c r="G246" s="576"/>
      <c r="H246" s="575">
        <v>0</v>
      </c>
      <c r="I246" s="575">
        <v>0</v>
      </c>
      <c r="J246" s="575">
        <v>0</v>
      </c>
      <c r="K246" s="575">
        <v>200</v>
      </c>
      <c r="L246" s="576"/>
      <c r="M246" s="575">
        <v>0</v>
      </c>
      <c r="N246" s="577" t="str">
        <f>IF(OR(M246=0,M246="")," ",[43]!Arp(K246,M246,ARP_Threshold))</f>
        <v xml:space="preserve"> </v>
      </c>
      <c r="O246" s="578" t="e">
        <f ca="1">IF(AND(K246="",M246="")," ",[43]!Ara(K246,M246,ARA_Threshold))</f>
        <v>#NAME?</v>
      </c>
    </row>
    <row r="247" spans="1:15" s="580" customFormat="1" ht="15" customHeight="1" outlineLevel="2">
      <c r="A247" s="580" t="s">
        <v>469</v>
      </c>
      <c r="B247" s="585" t="s">
        <v>764</v>
      </c>
      <c r="C247" s="585" t="s">
        <v>466</v>
      </c>
      <c r="D247" s="587" t="s">
        <v>869</v>
      </c>
      <c r="E247" s="580" t="s">
        <v>470</v>
      </c>
      <c r="F247" s="575">
        <v>-355</v>
      </c>
      <c r="G247" s="584"/>
      <c r="H247" s="575">
        <v>0</v>
      </c>
      <c r="I247" s="575">
        <v>-355</v>
      </c>
      <c r="J247" s="575">
        <v>0</v>
      </c>
      <c r="K247" s="1324">
        <v>4340.1206199999997</v>
      </c>
      <c r="L247" s="576"/>
      <c r="M247" s="575">
        <v>13</v>
      </c>
      <c r="N247" s="577" t="e">
        <f ca="1">IF(OR(M247=0,M247="")," ",[43]!Arp(K247,M247,ARP_Threshold))</f>
        <v>#NAME?</v>
      </c>
      <c r="O247" s="578" t="e">
        <f ca="1">IF(AND(K247="",M247="")," ",[43]!Ara(K247,M247,ARA_Threshold))</f>
        <v>#NAME?</v>
      </c>
    </row>
    <row r="248" spans="1:15" s="580" customFormat="1" ht="15" customHeight="1" outlineLevel="2" thickBot="1">
      <c r="A248" s="580" t="s">
        <v>471</v>
      </c>
      <c r="B248" s="585" t="s">
        <v>764</v>
      </c>
      <c r="C248" s="585" t="s">
        <v>466</v>
      </c>
      <c r="D248" s="587" t="s">
        <v>1595</v>
      </c>
      <c r="E248" s="580" t="s">
        <v>472</v>
      </c>
      <c r="F248" s="590">
        <v>0</v>
      </c>
      <c r="G248" s="576"/>
      <c r="H248" s="590">
        <v>0</v>
      </c>
      <c r="I248" s="590">
        <v>0</v>
      </c>
      <c r="J248" s="590">
        <v>0</v>
      </c>
      <c r="K248" s="590">
        <v>0</v>
      </c>
      <c r="L248" s="584"/>
      <c r="M248" s="590">
        <v>0</v>
      </c>
      <c r="N248" s="577" t="str">
        <f>IF(OR(M248=0,M248="")," ",[43]!Arp(K248,M248,ARP_Threshold))</f>
        <v xml:space="preserve"> </v>
      </c>
      <c r="O248" s="578" t="e">
        <f ca="1">IF(AND(K248="",M248="")," ",[43]!Ara(K248,M248,ARA_Threshold))</f>
        <v>#NAME?</v>
      </c>
    </row>
    <row r="249" spans="1:15" s="580" customFormat="1" ht="16.5" outlineLevel="1" thickTop="1" thickBot="1">
      <c r="A249" s="580" t="s">
        <v>474</v>
      </c>
      <c r="B249" s="585" t="s">
        <v>764</v>
      </c>
      <c r="C249" s="585" t="s">
        <v>466</v>
      </c>
      <c r="D249" s="587" t="s">
        <v>764</v>
      </c>
      <c r="E249" s="589" t="s">
        <v>475</v>
      </c>
      <c r="F249" s="595">
        <v>-78057</v>
      </c>
      <c r="G249" s="576"/>
      <c r="H249" s="595">
        <v>0</v>
      </c>
      <c r="I249" s="595">
        <v>-78057</v>
      </c>
      <c r="J249" s="595">
        <v>0</v>
      </c>
      <c r="K249" s="1323">
        <f>SUM(K245:K248)</f>
        <v>-13008.9717</v>
      </c>
      <c r="L249" s="576"/>
      <c r="M249" s="595">
        <v>-58972</v>
      </c>
      <c r="N249" s="577" t="e">
        <f ca="1">IF(OR(M249=0,M249="")," ",[43]!Arp(K249,M249,ARP_Threshold))</f>
        <v>#NAME?</v>
      </c>
      <c r="O249" s="578" t="e">
        <f ca="1">IF(AND(K249="",M249="")," ",[43]!Ara(K249,M249,ARA_Threshold))</f>
        <v>#NAME?</v>
      </c>
    </row>
    <row r="250" spans="1:15" s="580" customFormat="1" ht="15.75" outlineLevel="1" thickTop="1">
      <c r="A250" s="580" t="s">
        <v>476</v>
      </c>
      <c r="B250" s="585" t="s">
        <v>764</v>
      </c>
      <c r="C250" s="585" t="s">
        <v>764</v>
      </c>
      <c r="D250" s="587" t="s">
        <v>764</v>
      </c>
      <c r="F250" s="575"/>
      <c r="G250" s="576"/>
      <c r="H250" s="575"/>
      <c r="I250" s="575"/>
      <c r="J250" s="575"/>
      <c r="K250" s="575"/>
      <c r="L250" s="576"/>
      <c r="M250" s="575"/>
      <c r="N250" s="577" t="str">
        <f>IF(OR(M250=0,M250="")," ",[43]!Arp(K250,M250,ARP_Threshold))</f>
        <v xml:space="preserve"> </v>
      </c>
      <c r="O250" s="578" t="str">
        <f>IF(AND(K250="",M250="")," ",[43]!Ara(K250,M250,ARA_Threshold))</f>
        <v xml:space="preserve"> </v>
      </c>
    </row>
    <row r="251" spans="1:15" s="580" customFormat="1" ht="15" customHeight="1" outlineLevel="2">
      <c r="A251" s="580" t="s">
        <v>477</v>
      </c>
      <c r="B251" s="585" t="s">
        <v>764</v>
      </c>
      <c r="C251" s="585" t="s">
        <v>478</v>
      </c>
      <c r="D251" s="587" t="s">
        <v>868</v>
      </c>
      <c r="E251" s="580" t="s">
        <v>479</v>
      </c>
      <c r="F251" s="575">
        <v>-8076</v>
      </c>
      <c r="G251" s="584"/>
      <c r="H251" s="575">
        <v>0</v>
      </c>
      <c r="I251" s="575">
        <v>-8076</v>
      </c>
      <c r="J251" s="575">
        <v>0</v>
      </c>
      <c r="K251" s="575">
        <v>0</v>
      </c>
      <c r="L251" s="576"/>
      <c r="M251" s="575">
        <v>-146</v>
      </c>
      <c r="N251" s="577" t="e">
        <f ca="1">IF(OR(M251=0,M251="")," ",[43]!Arp(K251,M251,ARP_Threshold))</f>
        <v>#NAME?</v>
      </c>
      <c r="O251" s="578" t="e">
        <f ca="1">IF(AND(K251="",M251="")," ",[43]!Ara(K251,M251,ARA_Threshold))</f>
        <v>#NAME?</v>
      </c>
    </row>
    <row r="252" spans="1:15" s="580" customFormat="1" ht="15" customHeight="1" outlineLevel="2">
      <c r="A252" s="580" t="s">
        <v>1557</v>
      </c>
      <c r="B252" s="585" t="s">
        <v>764</v>
      </c>
      <c r="C252" s="585" t="s">
        <v>478</v>
      </c>
      <c r="D252" s="587" t="s">
        <v>1559</v>
      </c>
      <c r="E252" s="587" t="s">
        <v>1558</v>
      </c>
      <c r="F252" s="575">
        <v>-118</v>
      </c>
      <c r="G252" s="576"/>
      <c r="H252" s="575">
        <v>0</v>
      </c>
      <c r="I252" s="575">
        <v>-118</v>
      </c>
      <c r="J252" s="575">
        <v>0</v>
      </c>
      <c r="K252" s="575">
        <v>-128.76576</v>
      </c>
      <c r="L252" s="584"/>
      <c r="M252" s="575">
        <v>0</v>
      </c>
      <c r="N252" s="577" t="str">
        <f>IF(OR(M252=0,M252="")," ",[43]!Arp(K252,M252,ARP_Threshold))</f>
        <v xml:space="preserve"> </v>
      </c>
      <c r="O252" s="578" t="e">
        <f ca="1">IF(AND(K252="",M252="")," ",[43]!Ara(K252,M252,ARA_Threshold))</f>
        <v>#NAME?</v>
      </c>
    </row>
    <row r="253" spans="1:15" s="580" customFormat="1" ht="15" customHeight="1" outlineLevel="2">
      <c r="A253" s="580" t="s">
        <v>480</v>
      </c>
      <c r="B253" s="585" t="s">
        <v>764</v>
      </c>
      <c r="C253" s="585" t="s">
        <v>478</v>
      </c>
      <c r="D253" s="587" t="s">
        <v>1596</v>
      </c>
      <c r="E253" s="580" t="s">
        <v>481</v>
      </c>
      <c r="F253" s="575">
        <v>0</v>
      </c>
      <c r="G253" s="576"/>
      <c r="H253" s="575">
        <v>0</v>
      </c>
      <c r="I253" s="575">
        <v>0</v>
      </c>
      <c r="J253" s="575">
        <v>0</v>
      </c>
      <c r="K253" s="575">
        <v>0</v>
      </c>
      <c r="L253" s="576"/>
      <c r="M253" s="575">
        <v>0</v>
      </c>
      <c r="N253" s="577" t="str">
        <f>IF(OR(M253=0,M253="")," ",[43]!Arp(K253,M253,ARP_Threshold))</f>
        <v xml:space="preserve"> </v>
      </c>
      <c r="O253" s="578" t="e">
        <f ca="1">IF(AND(K253="",M253="")," ",[43]!Ara(K253,M253,ARA_Threshold))</f>
        <v>#NAME?</v>
      </c>
    </row>
    <row r="254" spans="1:15" s="580" customFormat="1" ht="15" customHeight="1" outlineLevel="2">
      <c r="A254" s="580" t="s">
        <v>482</v>
      </c>
      <c r="B254" s="585" t="s">
        <v>764</v>
      </c>
      <c r="C254" s="585" t="s">
        <v>478</v>
      </c>
      <c r="D254" s="587" t="s">
        <v>1597</v>
      </c>
      <c r="E254" s="580" t="s">
        <v>483</v>
      </c>
      <c r="F254" s="575">
        <v>0</v>
      </c>
      <c r="G254" s="576"/>
      <c r="H254" s="575">
        <v>0</v>
      </c>
      <c r="I254" s="575">
        <v>0</v>
      </c>
      <c r="J254" s="575">
        <v>0</v>
      </c>
      <c r="K254" s="575">
        <v>0</v>
      </c>
      <c r="L254" s="576"/>
      <c r="M254" s="575">
        <v>424</v>
      </c>
      <c r="N254" s="577" t="e">
        <f ca="1">IF(OR(M254=0,M254="")," ",[43]!Arp(K254,M254,ARP_Threshold))</f>
        <v>#NAME?</v>
      </c>
      <c r="O254" s="578" t="e">
        <f ca="1">IF(AND(K254="",M254="")," ",[43]!Ara(K254,M254,ARA_Threshold))</f>
        <v>#NAME?</v>
      </c>
    </row>
    <row r="255" spans="1:15" s="580" customFormat="1" ht="15" customHeight="1" outlineLevel="2">
      <c r="A255" s="580" t="s">
        <v>484</v>
      </c>
      <c r="B255" s="585" t="s">
        <v>764</v>
      </c>
      <c r="C255" s="585" t="s">
        <v>478</v>
      </c>
      <c r="D255" s="587" t="s">
        <v>870</v>
      </c>
      <c r="E255" s="580" t="s">
        <v>485</v>
      </c>
      <c r="F255" s="575">
        <v>-1913</v>
      </c>
      <c r="G255" s="576"/>
      <c r="H255" s="575">
        <v>0</v>
      </c>
      <c r="I255" s="575">
        <v>-1913</v>
      </c>
      <c r="J255" s="575">
        <v>0</v>
      </c>
      <c r="K255" s="575">
        <v>0</v>
      </c>
      <c r="L255" s="576"/>
      <c r="M255" s="575">
        <v>34</v>
      </c>
      <c r="N255" s="577" t="e">
        <f ca="1">IF(OR(M255=0,M255="")," ",[43]!Arp(K255,M255,ARP_Threshold))</f>
        <v>#NAME?</v>
      </c>
      <c r="O255" s="578" t="e">
        <f ca="1">IF(AND(K255="",M255="")," ",[43]!Ara(K255,M255,ARA_Threshold))</f>
        <v>#NAME?</v>
      </c>
    </row>
    <row r="256" spans="1:15" s="580" customFormat="1" ht="15" customHeight="1" outlineLevel="2">
      <c r="A256" s="580" t="s">
        <v>486</v>
      </c>
      <c r="B256" s="585" t="s">
        <v>764</v>
      </c>
      <c r="C256" s="585" t="s">
        <v>478</v>
      </c>
      <c r="D256" s="587" t="s">
        <v>871</v>
      </c>
      <c r="E256" s="580" t="s">
        <v>487</v>
      </c>
      <c r="F256" s="575">
        <v>-69225</v>
      </c>
      <c r="G256" s="576"/>
      <c r="H256" s="575">
        <v>0</v>
      </c>
      <c r="I256" s="575">
        <v>-69225</v>
      </c>
      <c r="J256" s="575">
        <v>0</v>
      </c>
      <c r="K256" s="575">
        <v>-3027.9650700000002</v>
      </c>
      <c r="L256" s="576"/>
      <c r="M256" s="575">
        <v>-9793</v>
      </c>
      <c r="N256" s="577" t="e">
        <f ca="1">IF(OR(M256=0,M256="")," ",[43]!Arp(K256,M256,ARP_Threshold))</f>
        <v>#NAME?</v>
      </c>
      <c r="O256" s="578" t="e">
        <f ca="1">IF(AND(K256="",M256="")," ",[43]!Ara(K256,M256,ARA_Threshold))</f>
        <v>#NAME?</v>
      </c>
    </row>
    <row r="257" spans="1:15" s="580" customFormat="1" ht="15" customHeight="1" outlineLevel="2">
      <c r="A257" s="580" t="s">
        <v>488</v>
      </c>
      <c r="B257" s="585" t="s">
        <v>764</v>
      </c>
      <c r="C257" s="585" t="s">
        <v>478</v>
      </c>
      <c r="D257" s="587" t="s">
        <v>1598</v>
      </c>
      <c r="E257" s="580" t="s">
        <v>489</v>
      </c>
      <c r="F257" s="575">
        <v>0</v>
      </c>
      <c r="G257" s="576"/>
      <c r="H257" s="575">
        <v>0</v>
      </c>
      <c r="I257" s="575">
        <v>0</v>
      </c>
      <c r="J257" s="575">
        <v>0</v>
      </c>
      <c r="K257" s="575">
        <v>0</v>
      </c>
      <c r="L257" s="576"/>
      <c r="M257" s="575">
        <v>2</v>
      </c>
      <c r="N257" s="577" t="e">
        <f ca="1">IF(OR(M257=0,M257="")," ",[43]!Arp(K257,M257,ARP_Threshold))</f>
        <v>#NAME?</v>
      </c>
      <c r="O257" s="578" t="e">
        <f ca="1">IF(AND(K257="",M257="")," ",[43]!Ara(K257,M257,ARA_Threshold))</f>
        <v>#NAME?</v>
      </c>
    </row>
    <row r="258" spans="1:15" s="580" customFormat="1" ht="15" customHeight="1" outlineLevel="2">
      <c r="A258" s="580" t="s">
        <v>490</v>
      </c>
      <c r="B258" s="585" t="s">
        <v>764</v>
      </c>
      <c r="C258" s="585" t="s">
        <v>478</v>
      </c>
      <c r="D258" s="587" t="s">
        <v>1599</v>
      </c>
      <c r="E258" s="580" t="s">
        <v>491</v>
      </c>
      <c r="F258" s="575">
        <v>0</v>
      </c>
      <c r="G258" s="576"/>
      <c r="H258" s="575">
        <v>0</v>
      </c>
      <c r="I258" s="575">
        <v>0</v>
      </c>
      <c r="J258" s="575">
        <v>0</v>
      </c>
      <c r="K258" s="575">
        <v>-4048.7971600000001</v>
      </c>
      <c r="L258" s="576"/>
      <c r="M258" s="575">
        <v>-2093</v>
      </c>
      <c r="N258" s="577" t="e">
        <f ca="1">IF(OR(M258=0,M258="")," ",[43]!Arp(K258,M258,ARP_Threshold))</f>
        <v>#NAME?</v>
      </c>
      <c r="O258" s="578" t="e">
        <f ca="1">IF(AND(K258="",M258="")," ",[43]!Ara(K258,M258,ARA_Threshold))</f>
        <v>#NAME?</v>
      </c>
    </row>
    <row r="259" spans="1:15" s="580" customFormat="1" ht="15" customHeight="1" outlineLevel="2">
      <c r="A259" s="580" t="s">
        <v>492</v>
      </c>
      <c r="B259" s="585" t="s">
        <v>764</v>
      </c>
      <c r="C259" s="585" t="s">
        <v>478</v>
      </c>
      <c r="D259" s="587" t="s">
        <v>1600</v>
      </c>
      <c r="E259" s="580" t="s">
        <v>493</v>
      </c>
      <c r="F259" s="575">
        <v>0</v>
      </c>
      <c r="G259" s="584"/>
      <c r="H259" s="575">
        <v>0</v>
      </c>
      <c r="I259" s="575">
        <v>0</v>
      </c>
      <c r="J259" s="575">
        <v>0</v>
      </c>
      <c r="K259" s="575">
        <v>59.519280000000002</v>
      </c>
      <c r="L259" s="576"/>
      <c r="M259" s="575">
        <v>-11</v>
      </c>
      <c r="N259" s="577" t="e">
        <f ca="1">IF(OR(M259=0,M259="")," ",[43]!Arp(K259,M259,ARP_Threshold))</f>
        <v>#NAME?</v>
      </c>
      <c r="O259" s="578" t="e">
        <f ca="1">IF(AND(K259="",M259="")," ",[43]!Ara(K259,M259,ARA_Threshold))</f>
        <v>#NAME?</v>
      </c>
    </row>
    <row r="260" spans="1:15" s="580" customFormat="1" ht="15.75" customHeight="1" outlineLevel="2" thickBot="1">
      <c r="A260" s="580" t="s">
        <v>494</v>
      </c>
      <c r="B260" s="585" t="s">
        <v>764</v>
      </c>
      <c r="C260" s="585" t="s">
        <v>478</v>
      </c>
      <c r="D260" s="587" t="s">
        <v>1601</v>
      </c>
      <c r="E260" s="580" t="s">
        <v>495</v>
      </c>
      <c r="F260" s="590">
        <v>0</v>
      </c>
      <c r="G260" s="576"/>
      <c r="H260" s="590">
        <v>0</v>
      </c>
      <c r="I260" s="590">
        <v>0</v>
      </c>
      <c r="J260" s="590">
        <v>0</v>
      </c>
      <c r="K260" s="590">
        <v>0</v>
      </c>
      <c r="L260" s="584"/>
      <c r="M260" s="590">
        <v>0</v>
      </c>
      <c r="N260" s="577" t="str">
        <f>IF(OR(M260=0,M260="")," ",[43]!Arp(K260,M260,ARP_Threshold))</f>
        <v xml:space="preserve"> </v>
      </c>
      <c r="O260" s="578" t="e">
        <f ca="1">IF(AND(K260="",M260="")," ",[43]!Ara(K260,M260,ARA_Threshold))</f>
        <v>#NAME?</v>
      </c>
    </row>
    <row r="261" spans="1:15" s="580" customFormat="1" ht="16.5" outlineLevel="1" thickTop="1" thickBot="1">
      <c r="A261" s="580" t="s">
        <v>496</v>
      </c>
      <c r="B261" s="585" t="s">
        <v>764</v>
      </c>
      <c r="C261" s="585" t="s">
        <v>478</v>
      </c>
      <c r="D261" s="587" t="s">
        <v>764</v>
      </c>
      <c r="E261" s="589" t="s">
        <v>497</v>
      </c>
      <c r="F261" s="595">
        <v>-79332</v>
      </c>
      <c r="G261" s="576"/>
      <c r="H261" s="595">
        <v>0</v>
      </c>
      <c r="I261" s="595">
        <v>-79332</v>
      </c>
      <c r="J261" s="595">
        <v>0</v>
      </c>
      <c r="K261" s="1320">
        <f>SUM(K251:K260)</f>
        <v>-7146.0087100000001</v>
      </c>
      <c r="L261" s="576"/>
      <c r="M261" s="595">
        <v>-11583</v>
      </c>
      <c r="N261" s="577" t="e">
        <f ca="1">IF(OR(M261=0,M261="")," ",[43]!Arp(K261,M261,ARP_Threshold))</f>
        <v>#NAME?</v>
      </c>
      <c r="O261" s="578" t="e">
        <f ca="1">IF(AND(K261="",M261="")," ",[43]!Ara(K261,M261,ARA_Threshold))</f>
        <v>#NAME?</v>
      </c>
    </row>
    <row r="262" spans="1:15" s="580" customFormat="1" ht="16.5" outlineLevel="1" thickTop="1" thickBot="1">
      <c r="A262" s="580" t="s">
        <v>498</v>
      </c>
      <c r="B262" s="585" t="s">
        <v>764</v>
      </c>
      <c r="C262" s="585" t="s">
        <v>764</v>
      </c>
      <c r="D262" s="587" t="s">
        <v>764</v>
      </c>
      <c r="F262" s="575"/>
      <c r="G262" s="576"/>
      <c r="H262" s="575"/>
      <c r="I262" s="575"/>
      <c r="J262" s="575"/>
      <c r="K262" s="575"/>
      <c r="L262" s="576"/>
      <c r="M262" s="575"/>
      <c r="N262" s="577" t="str">
        <f>IF(OR(M262=0,M262="")," ",[43]!Arp(K262,M262,ARP_Threshold))</f>
        <v xml:space="preserve"> </v>
      </c>
      <c r="O262" s="578" t="str">
        <f>IF(AND(K262="",M262="")," ",[43]!Ara(K262,M262,ARA_Threshold))</f>
        <v xml:space="preserve"> </v>
      </c>
    </row>
    <row r="263" spans="1:15" s="580" customFormat="1" ht="16.5" outlineLevel="1" thickTop="1" thickBot="1">
      <c r="A263" s="580" t="s">
        <v>499</v>
      </c>
      <c r="B263" s="585" t="s">
        <v>764</v>
      </c>
      <c r="C263" s="585" t="s">
        <v>500</v>
      </c>
      <c r="D263" s="587" t="s">
        <v>764</v>
      </c>
      <c r="E263" s="589" t="s">
        <v>501</v>
      </c>
      <c r="F263" s="579">
        <v>0</v>
      </c>
      <c r="G263" s="576"/>
      <c r="H263" s="579">
        <v>0</v>
      </c>
      <c r="I263" s="579">
        <v>0</v>
      </c>
      <c r="J263" s="579">
        <v>0</v>
      </c>
      <c r="K263" s="579">
        <v>0</v>
      </c>
      <c r="L263" s="576"/>
      <c r="M263" s="579">
        <v>0</v>
      </c>
      <c r="N263" s="577" t="str">
        <f>IF(OR(M263=0,M263="")," ",[43]!Arp(K263,M263,ARP_Threshold))</f>
        <v xml:space="preserve"> </v>
      </c>
      <c r="O263" s="578" t="e">
        <f ca="1">IF(AND(K263="",M263="")," ",[43]!Ara(K263,M263,ARA_Threshold))</f>
        <v>#NAME?</v>
      </c>
    </row>
    <row r="264" spans="1:15" s="580" customFormat="1" ht="15.75" outlineLevel="1" thickTop="1">
      <c r="A264" s="580" t="s">
        <v>502</v>
      </c>
      <c r="B264" s="585" t="s">
        <v>764</v>
      </c>
      <c r="C264" s="585" t="s">
        <v>764</v>
      </c>
      <c r="D264" s="587" t="s">
        <v>764</v>
      </c>
      <c r="F264" s="575"/>
      <c r="G264" s="584"/>
      <c r="H264" s="575"/>
      <c r="I264" s="575"/>
      <c r="J264" s="575"/>
      <c r="K264" s="575"/>
      <c r="L264" s="576"/>
      <c r="M264" s="575"/>
      <c r="N264" s="577" t="str">
        <f>IF(OR(M264=0,M264="")," ",[43]!Arp(K264,M264,ARP_Threshold))</f>
        <v xml:space="preserve"> </v>
      </c>
      <c r="O264" s="578" t="str">
        <f>IF(AND(K264="",M264="")," ",[43]!Ara(K264,M264,ARA_Threshold))</f>
        <v xml:space="preserve"> </v>
      </c>
    </row>
    <row r="265" spans="1:15" s="580" customFormat="1" ht="15.75" customHeight="1" outlineLevel="2" thickBot="1">
      <c r="A265" s="580" t="s">
        <v>503</v>
      </c>
      <c r="B265" s="585" t="s">
        <v>764</v>
      </c>
      <c r="C265" s="585" t="s">
        <v>504</v>
      </c>
      <c r="D265" s="587" t="s">
        <v>1602</v>
      </c>
      <c r="E265" s="580" t="s">
        <v>505</v>
      </c>
      <c r="F265" s="590">
        <v>-2963</v>
      </c>
      <c r="G265" s="576"/>
      <c r="H265" s="590">
        <v>0</v>
      </c>
      <c r="I265" s="590">
        <v>-2963</v>
      </c>
      <c r="J265" s="590">
        <v>0</v>
      </c>
      <c r="K265" s="590">
        <v>-1861.904</v>
      </c>
      <c r="L265" s="584"/>
      <c r="M265" s="590">
        <v>0</v>
      </c>
      <c r="N265" s="577" t="str">
        <f>IF(OR(M265=0,M265="")," ",[43]!Arp(K265,M265,ARP_Threshold))</f>
        <v xml:space="preserve"> </v>
      </c>
      <c r="O265" s="578" t="e">
        <f ca="1">IF(AND(K265="",M265="")," ",[43]!Ara(K265,M265,ARA_Threshold))</f>
        <v>#NAME?</v>
      </c>
    </row>
    <row r="266" spans="1:15" s="580" customFormat="1" ht="16.5" outlineLevel="1" thickTop="1" thickBot="1">
      <c r="A266" s="580" t="s">
        <v>506</v>
      </c>
      <c r="B266" s="585" t="s">
        <v>764</v>
      </c>
      <c r="C266" s="585" t="s">
        <v>504</v>
      </c>
      <c r="D266" s="587" t="s">
        <v>764</v>
      </c>
      <c r="E266" s="589" t="s">
        <v>507</v>
      </c>
      <c r="F266" s="595">
        <v>-2963</v>
      </c>
      <c r="G266" s="576"/>
      <c r="H266" s="595">
        <v>0</v>
      </c>
      <c r="I266" s="595">
        <v>-2963</v>
      </c>
      <c r="J266" s="595">
        <v>0</v>
      </c>
      <c r="K266" s="1321">
        <f>SUM(K265)</f>
        <v>-1861.904</v>
      </c>
      <c r="L266" s="576"/>
      <c r="M266" s="595">
        <v>0</v>
      </c>
      <c r="N266" s="577" t="str">
        <f>IF(OR(M266=0,M266="")," ",[43]!Arp(K266,M266,ARP_Threshold))</f>
        <v xml:space="preserve"> </v>
      </c>
      <c r="O266" s="578" t="e">
        <f ca="1">IF(AND(K266="",M266="")," ",[43]!Ara(K266,M266,ARA_Threshold))</f>
        <v>#NAME?</v>
      </c>
    </row>
    <row r="267" spans="1:15" s="580" customFormat="1" ht="15.75" outlineLevel="1" thickTop="1">
      <c r="A267" s="580" t="s">
        <v>508</v>
      </c>
      <c r="B267" s="585" t="s">
        <v>764</v>
      </c>
      <c r="C267" s="585" t="s">
        <v>764</v>
      </c>
      <c r="D267" s="587" t="s">
        <v>764</v>
      </c>
      <c r="F267" s="575"/>
      <c r="G267" s="584"/>
      <c r="H267" s="575"/>
      <c r="I267" s="575"/>
      <c r="J267" s="575"/>
      <c r="K267" s="575"/>
      <c r="L267" s="576"/>
      <c r="M267" s="575"/>
      <c r="N267" s="577" t="str">
        <f>IF(OR(M267=0,M267="")," ",[43]!Arp(K267,M267,ARP_Threshold))</f>
        <v xml:space="preserve"> </v>
      </c>
      <c r="O267" s="578" t="str">
        <f>IF(AND(K267="",M267="")," ",[43]!Ara(K267,M267,ARA_Threshold))</f>
        <v xml:space="preserve"> </v>
      </c>
    </row>
    <row r="268" spans="1:15" s="580" customFormat="1" ht="15.75" customHeight="1" outlineLevel="2" thickBot="1">
      <c r="A268" s="580" t="s">
        <v>509</v>
      </c>
      <c r="B268" s="585" t="s">
        <v>764</v>
      </c>
      <c r="C268" s="585" t="s">
        <v>510</v>
      </c>
      <c r="D268" s="587" t="s">
        <v>865</v>
      </c>
      <c r="E268" s="580" t="s">
        <v>511</v>
      </c>
      <c r="F268" s="590">
        <v>0</v>
      </c>
      <c r="G268" s="576"/>
      <c r="H268" s="590">
        <v>0</v>
      </c>
      <c r="I268" s="590">
        <v>0</v>
      </c>
      <c r="J268" s="590">
        <v>0</v>
      </c>
      <c r="K268" s="590">
        <v>0</v>
      </c>
      <c r="L268" s="584"/>
      <c r="M268" s="590">
        <v>0</v>
      </c>
      <c r="N268" s="577" t="str">
        <f>IF(OR(M268=0,M268="")," ",[43]!Arp(K268,M268,ARP_Threshold))</f>
        <v xml:space="preserve"> </v>
      </c>
      <c r="O268" s="578" t="e">
        <f ca="1">IF(AND(K268="",M268="")," ",[43]!Ara(K268,M268,ARA_Threshold))</f>
        <v>#NAME?</v>
      </c>
    </row>
    <row r="269" spans="1:15" s="580" customFormat="1" ht="16.5" outlineLevel="1" thickTop="1" thickBot="1">
      <c r="A269" s="580" t="s">
        <v>512</v>
      </c>
      <c r="B269" s="585" t="s">
        <v>764</v>
      </c>
      <c r="C269" s="585" t="s">
        <v>510</v>
      </c>
      <c r="D269" s="587" t="s">
        <v>764</v>
      </c>
      <c r="E269" s="589" t="s">
        <v>513</v>
      </c>
      <c r="F269" s="595">
        <v>0</v>
      </c>
      <c r="G269" s="576"/>
      <c r="H269" s="595">
        <v>0</v>
      </c>
      <c r="I269" s="595">
        <v>0</v>
      </c>
      <c r="J269" s="595">
        <v>0</v>
      </c>
      <c r="K269" s="595">
        <v>0</v>
      </c>
      <c r="L269" s="576"/>
      <c r="M269" s="595">
        <v>0</v>
      </c>
      <c r="N269" s="577" t="str">
        <f>IF(OR(M269=0,M269="")," ",[43]!Arp(K269,M269,ARP_Threshold))</f>
        <v xml:space="preserve"> </v>
      </c>
      <c r="O269" s="578" t="e">
        <f ca="1">IF(AND(K269="",M269="")," ",[43]!Ara(K269,M269,ARA_Threshold))</f>
        <v>#NAME?</v>
      </c>
    </row>
    <row r="270" spans="1:15" s="580" customFormat="1" ht="15.75" outlineLevel="1" thickTop="1">
      <c r="A270" s="580" t="s">
        <v>514</v>
      </c>
      <c r="B270" s="585" t="s">
        <v>764</v>
      </c>
      <c r="C270" s="585" t="s">
        <v>764</v>
      </c>
      <c r="D270" s="587" t="s">
        <v>764</v>
      </c>
      <c r="F270" s="575"/>
      <c r="G270" s="584"/>
      <c r="H270" s="575"/>
      <c r="I270" s="575"/>
      <c r="J270" s="575"/>
      <c r="K270" s="575"/>
      <c r="L270" s="576"/>
      <c r="M270" s="575"/>
      <c r="N270" s="577" t="str">
        <f>IF(OR(M270=0,M270="")," ",[43]!Arp(K270,M270,ARP_Threshold))</f>
        <v xml:space="preserve"> </v>
      </c>
      <c r="O270" s="578" t="str">
        <f>IF(AND(K270="",M270="")," ",[43]!Ara(K270,M270,ARA_Threshold))</f>
        <v xml:space="preserve"> </v>
      </c>
    </row>
    <row r="271" spans="1:15" s="580" customFormat="1" ht="15.75" customHeight="1" outlineLevel="2" thickBot="1">
      <c r="A271" s="580" t="s">
        <v>515</v>
      </c>
      <c r="B271" s="585" t="s">
        <v>764</v>
      </c>
      <c r="C271" s="585" t="s">
        <v>516</v>
      </c>
      <c r="D271" s="587" t="s">
        <v>873</v>
      </c>
      <c r="E271" s="580" t="s">
        <v>517</v>
      </c>
      <c r="F271" s="590">
        <v>-823</v>
      </c>
      <c r="G271" s="576"/>
      <c r="H271" s="590">
        <v>0</v>
      </c>
      <c r="I271" s="590">
        <v>-823</v>
      </c>
      <c r="J271" s="590">
        <v>0</v>
      </c>
      <c r="K271" s="590">
        <v>-54.162999999999997</v>
      </c>
      <c r="L271" s="584"/>
      <c r="M271" s="590">
        <v>-232</v>
      </c>
      <c r="N271" s="577" t="e">
        <f ca="1">IF(OR(M271=0,M271="")," ",[43]!Arp(K271,M271,ARP_Threshold))</f>
        <v>#NAME?</v>
      </c>
      <c r="O271" s="578" t="e">
        <f ca="1">IF(AND(K271="",M271="")," ",[43]!Ara(K271,M271,ARA_Threshold))</f>
        <v>#NAME?</v>
      </c>
    </row>
    <row r="272" spans="1:15" s="580" customFormat="1" ht="16.5" outlineLevel="1" thickTop="1" thickBot="1">
      <c r="A272" s="580" t="s">
        <v>518</v>
      </c>
      <c r="B272" s="585" t="s">
        <v>764</v>
      </c>
      <c r="C272" s="585" t="s">
        <v>516</v>
      </c>
      <c r="D272" s="587" t="s">
        <v>764</v>
      </c>
      <c r="E272" s="589" t="s">
        <v>519</v>
      </c>
      <c r="F272" s="595">
        <v>-823</v>
      </c>
      <c r="G272" s="576"/>
      <c r="H272" s="595">
        <v>0</v>
      </c>
      <c r="I272" s="595">
        <v>-823</v>
      </c>
      <c r="J272" s="595">
        <v>0</v>
      </c>
      <c r="K272" s="590">
        <v>-54.162999999999997</v>
      </c>
      <c r="L272" s="576"/>
      <c r="M272" s="595">
        <v>-232</v>
      </c>
      <c r="N272" s="577" t="e">
        <f ca="1">IF(OR(M272=0,M272="")," ",[43]!Arp(K272,M272,ARP_Threshold))</f>
        <v>#NAME?</v>
      </c>
      <c r="O272" s="578" t="e">
        <f ca="1">IF(AND(K272="",M272="")," ",[43]!Ara(K272,M272,ARA_Threshold))</f>
        <v>#NAME?</v>
      </c>
    </row>
    <row r="273" spans="1:15" s="580" customFormat="1" ht="15.75" outlineLevel="1" thickTop="1">
      <c r="A273" s="580" t="s">
        <v>520</v>
      </c>
      <c r="B273" s="585" t="s">
        <v>764</v>
      </c>
      <c r="C273" s="585" t="s">
        <v>764</v>
      </c>
      <c r="D273" s="587" t="s">
        <v>764</v>
      </c>
      <c r="F273" s="575"/>
      <c r="G273" s="584"/>
      <c r="H273" s="575"/>
      <c r="I273" s="575"/>
      <c r="J273" s="575"/>
      <c r="K273" s="575"/>
      <c r="L273" s="576"/>
      <c r="M273" s="575"/>
      <c r="N273" s="577" t="str">
        <f>IF(OR(M273=0,M273="")," ",[43]!Arp(K273,M273,ARP_Threshold))</f>
        <v xml:space="preserve"> </v>
      </c>
      <c r="O273" s="578" t="str">
        <f>IF(AND(K273="",M273="")," ",[43]!Ara(K273,M273,ARA_Threshold))</f>
        <v xml:space="preserve"> </v>
      </c>
    </row>
    <row r="274" spans="1:15" s="580" customFormat="1" ht="15.75" customHeight="1" outlineLevel="2" thickBot="1">
      <c r="A274" s="580" t="s">
        <v>523</v>
      </c>
      <c r="B274" s="585" t="s">
        <v>764</v>
      </c>
      <c r="C274" s="585" t="s">
        <v>521</v>
      </c>
      <c r="D274" s="587" t="s">
        <v>874</v>
      </c>
      <c r="E274" s="580" t="s">
        <v>524</v>
      </c>
      <c r="F274" s="590">
        <v>0</v>
      </c>
      <c r="G274" s="576"/>
      <c r="H274" s="590">
        <v>0</v>
      </c>
      <c r="I274" s="590">
        <v>0</v>
      </c>
      <c r="J274" s="590">
        <v>0</v>
      </c>
      <c r="K274" s="590">
        <v>-1653.1659500000001</v>
      </c>
      <c r="L274" s="584"/>
      <c r="M274" s="590">
        <v>-7461</v>
      </c>
      <c r="N274" s="577" t="e">
        <f ca="1">IF(OR(M274=0,M274="")," ",[43]!Arp(K274,M274,ARP_Threshold))</f>
        <v>#NAME?</v>
      </c>
      <c r="O274" s="578" t="e">
        <f ca="1">IF(AND(K274="",M274="")," ",[43]!Ara(K274,M274,ARA_Threshold))</f>
        <v>#NAME?</v>
      </c>
    </row>
    <row r="275" spans="1:15" s="580" customFormat="1" ht="16.5" outlineLevel="1" thickTop="1" thickBot="1">
      <c r="A275" s="580" t="s">
        <v>525</v>
      </c>
      <c r="B275" s="585" t="s">
        <v>764</v>
      </c>
      <c r="C275" s="585" t="s">
        <v>521</v>
      </c>
      <c r="D275" s="587" t="s">
        <v>764</v>
      </c>
      <c r="E275" s="589" t="s">
        <v>526</v>
      </c>
      <c r="F275" s="595">
        <v>0</v>
      </c>
      <c r="G275" s="576"/>
      <c r="H275" s="595">
        <v>0</v>
      </c>
      <c r="I275" s="595">
        <v>0</v>
      </c>
      <c r="J275" s="595">
        <v>0</v>
      </c>
      <c r="K275" s="1323">
        <v>-1653</v>
      </c>
      <c r="L275" s="576"/>
      <c r="M275" s="595">
        <v>-7461</v>
      </c>
      <c r="N275" s="577" t="e">
        <f ca="1">IF(OR(M275=0,M275="")," ",[43]!Arp(K275,M275,ARP_Threshold))</f>
        <v>#NAME?</v>
      </c>
      <c r="O275" s="578" t="e">
        <f ca="1">IF(AND(K275="",M275="")," ",[43]!Ara(K275,M275,ARA_Threshold))</f>
        <v>#NAME?</v>
      </c>
    </row>
    <row r="276" spans="1:15" s="580" customFormat="1" ht="15.75" outlineLevel="1" thickTop="1">
      <c r="A276" s="580" t="s">
        <v>527</v>
      </c>
      <c r="B276" s="585" t="s">
        <v>764</v>
      </c>
      <c r="C276" s="585" t="s">
        <v>764</v>
      </c>
      <c r="D276" s="587" t="s">
        <v>764</v>
      </c>
      <c r="F276" s="575"/>
      <c r="G276" s="576"/>
      <c r="H276" s="575"/>
      <c r="I276" s="575"/>
      <c r="J276" s="575"/>
      <c r="K276" s="575"/>
      <c r="L276" s="576"/>
      <c r="M276" s="575"/>
      <c r="N276" s="577" t="str">
        <f>IF(OR(M276=0,M276="")," ",[43]!Arp(K276,M276,ARP_Threshold))</f>
        <v xml:space="preserve"> </v>
      </c>
      <c r="O276" s="578" t="str">
        <f>IF(AND(K276="",M276="")," ",[43]!Ara(K276,M276,ARA_Threshold))</f>
        <v xml:space="preserve"> </v>
      </c>
    </row>
    <row r="277" spans="1:15" s="580" customFormat="1" ht="15" customHeight="1" outlineLevel="2">
      <c r="A277" s="580" t="s">
        <v>528</v>
      </c>
      <c r="B277" s="585" t="s">
        <v>764</v>
      </c>
      <c r="C277" s="585" t="s">
        <v>529</v>
      </c>
      <c r="D277" s="587" t="s">
        <v>854</v>
      </c>
      <c r="E277" s="580" t="s">
        <v>530</v>
      </c>
      <c r="F277" s="575">
        <v>-18209</v>
      </c>
      <c r="G277" s="576"/>
      <c r="H277" s="575">
        <v>0</v>
      </c>
      <c r="I277" s="575">
        <v>-18209</v>
      </c>
      <c r="J277" s="575">
        <v>0</v>
      </c>
      <c r="K277" s="575">
        <v>-1829.4559999999999</v>
      </c>
      <c r="L277" s="576"/>
      <c r="M277" s="575">
        <v>-3929</v>
      </c>
      <c r="N277" s="577" t="e">
        <f ca="1">IF(OR(M277=0,M277="")," ",[43]!Arp(K277,M277,ARP_Threshold))</f>
        <v>#NAME?</v>
      </c>
      <c r="O277" s="578" t="e">
        <f ca="1">IF(AND(K277="",M277="")," ",[43]!Ara(K277,M277,ARA_Threshold))</f>
        <v>#NAME?</v>
      </c>
    </row>
    <row r="278" spans="1:15" s="580" customFormat="1" ht="15" customHeight="1" outlineLevel="2">
      <c r="A278" s="580" t="s">
        <v>531</v>
      </c>
      <c r="B278" s="585" t="s">
        <v>764</v>
      </c>
      <c r="C278" s="585" t="s">
        <v>529</v>
      </c>
      <c r="D278" s="587" t="s">
        <v>855</v>
      </c>
      <c r="E278" s="580" t="s">
        <v>532</v>
      </c>
      <c r="F278" s="575">
        <v>-1309</v>
      </c>
      <c r="G278" s="576"/>
      <c r="H278" s="575">
        <v>0</v>
      </c>
      <c r="I278" s="575">
        <v>-1309</v>
      </c>
      <c r="J278" s="575">
        <v>0</v>
      </c>
      <c r="K278" s="575">
        <v>-2.4741</v>
      </c>
      <c r="L278" s="576"/>
      <c r="M278" s="575">
        <v>-217</v>
      </c>
      <c r="N278" s="577" t="e">
        <f ca="1">IF(OR(M278=0,M278="")," ",[43]!Arp(K278,M278,ARP_Threshold))</f>
        <v>#NAME?</v>
      </c>
      <c r="O278" s="578" t="e">
        <f ca="1">IF(AND(K278="",M278="")," ",[43]!Ara(K278,M278,ARA_Threshold))</f>
        <v>#NAME?</v>
      </c>
    </row>
    <row r="279" spans="1:15" s="580" customFormat="1" ht="15" customHeight="1" outlineLevel="2">
      <c r="A279" s="580" t="s">
        <v>533</v>
      </c>
      <c r="B279" s="585" t="s">
        <v>764</v>
      </c>
      <c r="C279" s="585" t="s">
        <v>529</v>
      </c>
      <c r="D279" s="587" t="s">
        <v>856</v>
      </c>
      <c r="E279" s="580" t="s">
        <v>535</v>
      </c>
      <c r="F279" s="575">
        <v>-1</v>
      </c>
      <c r="G279" s="576"/>
      <c r="H279" s="575">
        <v>0</v>
      </c>
      <c r="I279" s="575">
        <v>-1</v>
      </c>
      <c r="J279" s="575">
        <v>0</v>
      </c>
      <c r="K279" s="575">
        <v>-793.53899999999999</v>
      </c>
      <c r="L279" s="576"/>
      <c r="M279" s="575">
        <v>-5</v>
      </c>
      <c r="N279" s="577" t="e">
        <f ca="1">IF(OR(M279=0,M279="")," ",[43]!Arp(K279,M279,ARP_Threshold))</f>
        <v>#NAME?</v>
      </c>
      <c r="O279" s="578" t="e">
        <f ca="1">IF(AND(K279="",M279="")," ",[43]!Ara(K279,M279,ARA_Threshold))</f>
        <v>#NAME?</v>
      </c>
    </row>
    <row r="280" spans="1:15" s="580" customFormat="1" ht="15" customHeight="1" outlineLevel="2">
      <c r="A280" s="580" t="s">
        <v>534</v>
      </c>
      <c r="B280" s="585" t="s">
        <v>764</v>
      </c>
      <c r="C280" s="585" t="s">
        <v>529</v>
      </c>
      <c r="D280" s="587" t="s">
        <v>857</v>
      </c>
      <c r="E280" s="580" t="s">
        <v>537</v>
      </c>
      <c r="F280" s="575">
        <v>-595</v>
      </c>
      <c r="G280" s="576"/>
      <c r="H280" s="575">
        <v>0</v>
      </c>
      <c r="I280" s="575">
        <v>-595</v>
      </c>
      <c r="J280" s="575">
        <v>0</v>
      </c>
      <c r="K280" s="575">
        <v>-284.43420000000003</v>
      </c>
      <c r="L280" s="576"/>
      <c r="M280" s="575">
        <v>-535</v>
      </c>
      <c r="N280" s="577" t="e">
        <f ca="1">IF(OR(M280=0,M280="")," ",[43]!Arp(K280,M280,ARP_Threshold))</f>
        <v>#NAME?</v>
      </c>
      <c r="O280" s="578" t="e">
        <f ca="1">IF(AND(K280="",M280="")," ",[43]!Ara(K280,M280,ARA_Threshold))</f>
        <v>#NAME?</v>
      </c>
    </row>
    <row r="281" spans="1:15" s="580" customFormat="1" ht="15" customHeight="1" outlineLevel="2">
      <c r="A281" s="580" t="s">
        <v>536</v>
      </c>
      <c r="B281" s="585" t="s">
        <v>764</v>
      </c>
      <c r="C281" s="585" t="s">
        <v>529</v>
      </c>
      <c r="D281" s="587" t="s">
        <v>858</v>
      </c>
      <c r="E281" s="580" t="s">
        <v>539</v>
      </c>
      <c r="F281" s="575">
        <v>-2112</v>
      </c>
      <c r="G281" s="576"/>
      <c r="H281" s="575">
        <v>0</v>
      </c>
      <c r="I281" s="575">
        <v>-2112</v>
      </c>
      <c r="J281" s="575">
        <v>0</v>
      </c>
      <c r="K281" s="575">
        <v>-103.67280000000001</v>
      </c>
      <c r="L281" s="576"/>
      <c r="M281" s="575">
        <v>-304</v>
      </c>
      <c r="N281" s="577" t="e">
        <f ca="1">IF(OR(M281=0,M281="")," ",[43]!Arp(K281,M281,ARP_Threshold))</f>
        <v>#NAME?</v>
      </c>
      <c r="O281" s="578" t="e">
        <f ca="1">IF(AND(K281="",M281="")," ",[43]!Ara(K281,M281,ARA_Threshold))</f>
        <v>#NAME?</v>
      </c>
    </row>
    <row r="282" spans="1:15" s="580" customFormat="1" ht="15" customHeight="1" outlineLevel="2">
      <c r="A282" s="580" t="s">
        <v>538</v>
      </c>
      <c r="B282" s="585" t="s">
        <v>764</v>
      </c>
      <c r="C282" s="585" t="s">
        <v>529</v>
      </c>
      <c r="D282" s="587" t="s">
        <v>1603</v>
      </c>
      <c r="E282" s="580" t="s">
        <v>541</v>
      </c>
      <c r="F282" s="575">
        <v>-324</v>
      </c>
      <c r="G282" s="576"/>
      <c r="H282" s="575">
        <v>0</v>
      </c>
      <c r="I282" s="575">
        <v>-324</v>
      </c>
      <c r="J282" s="575">
        <v>0</v>
      </c>
      <c r="K282" s="575">
        <v>-0.15</v>
      </c>
      <c r="L282" s="576"/>
      <c r="M282" s="575">
        <v>-444</v>
      </c>
      <c r="N282" s="577" t="e">
        <f ca="1">IF(OR(M282=0,M282="")," ",[43]!Arp(K282,M282,ARP_Threshold))</f>
        <v>#NAME?</v>
      </c>
      <c r="O282" s="578" t="e">
        <f ca="1">IF(AND(K282="",M282="")," ",[43]!Ara(K282,M282,ARA_Threshold))</f>
        <v>#NAME?</v>
      </c>
    </row>
    <row r="283" spans="1:15" s="580" customFormat="1" ht="15" customHeight="1" outlineLevel="2">
      <c r="A283" s="580" t="s">
        <v>540</v>
      </c>
      <c r="B283" s="585" t="s">
        <v>764</v>
      </c>
      <c r="C283" s="585" t="s">
        <v>529</v>
      </c>
      <c r="D283" s="587" t="s">
        <v>859</v>
      </c>
      <c r="E283" s="580" t="s">
        <v>548</v>
      </c>
      <c r="F283" s="575">
        <v>0</v>
      </c>
      <c r="G283" s="576"/>
      <c r="H283" s="575">
        <v>0</v>
      </c>
      <c r="I283" s="575">
        <v>0</v>
      </c>
      <c r="J283" s="575">
        <v>0</v>
      </c>
      <c r="K283" s="575">
        <v>-23.641999999999999</v>
      </c>
      <c r="L283" s="576"/>
      <c r="M283" s="575">
        <v>-1</v>
      </c>
      <c r="N283" s="577" t="e">
        <f ca="1">IF(OR(M283=0,M283="")," ",[43]!Arp(K283,M283,ARP_Threshold))</f>
        <v>#NAME?</v>
      </c>
      <c r="O283" s="578" t="e">
        <f ca="1">IF(AND(K283="",M283="")," ",[43]!Ara(K283,M283,ARA_Threshold))</f>
        <v>#NAME?</v>
      </c>
    </row>
    <row r="284" spans="1:15" s="580" customFormat="1" ht="15" customHeight="1" outlineLevel="2">
      <c r="A284" s="580" t="s">
        <v>542</v>
      </c>
      <c r="B284" s="585" t="s">
        <v>764</v>
      </c>
      <c r="C284" s="585" t="s">
        <v>529</v>
      </c>
      <c r="D284" s="587" t="s">
        <v>860</v>
      </c>
      <c r="E284" s="580" t="s">
        <v>550</v>
      </c>
      <c r="F284" s="575">
        <v>0</v>
      </c>
      <c r="G284" s="576"/>
      <c r="H284" s="575">
        <v>0</v>
      </c>
      <c r="I284" s="575">
        <v>0</v>
      </c>
      <c r="J284" s="575">
        <v>0</v>
      </c>
      <c r="K284" s="575">
        <v>-0.29099999999999998</v>
      </c>
      <c r="L284" s="576"/>
      <c r="M284" s="575">
        <v>0</v>
      </c>
      <c r="N284" s="577" t="str">
        <f>IF(OR(M284=0,M284="")," ",[43]!Arp(K284,M284,ARP_Threshold))</f>
        <v xml:space="preserve"> </v>
      </c>
      <c r="O284" s="578" t="e">
        <f ca="1">IF(AND(K284="",M284="")," ",[43]!Ara(K284,M284,ARA_Threshold))</f>
        <v>#NAME?</v>
      </c>
    </row>
    <row r="285" spans="1:15" s="580" customFormat="1" ht="15" customHeight="1" outlineLevel="2">
      <c r="A285" s="580" t="s">
        <v>543</v>
      </c>
      <c r="B285" s="585" t="s">
        <v>764</v>
      </c>
      <c r="C285" s="585" t="s">
        <v>529</v>
      </c>
      <c r="D285" s="587" t="s">
        <v>861</v>
      </c>
      <c r="E285" s="580" t="s">
        <v>552</v>
      </c>
      <c r="F285" s="575">
        <v>0</v>
      </c>
      <c r="G285" s="576"/>
      <c r="H285" s="575">
        <v>0</v>
      </c>
      <c r="I285" s="575">
        <v>0</v>
      </c>
      <c r="J285" s="575">
        <v>0</v>
      </c>
      <c r="K285" s="575">
        <v>-0.12892000000000001</v>
      </c>
      <c r="L285" s="576"/>
      <c r="M285" s="575">
        <v>0</v>
      </c>
      <c r="N285" s="577" t="str">
        <f>IF(OR(M285=0,M285="")," ",[43]!Arp(K285,M285,ARP_Threshold))</f>
        <v xml:space="preserve"> </v>
      </c>
      <c r="O285" s="578" t="e">
        <f ca="1">IF(AND(K285="",M285="")," ",[43]!Ara(K285,M285,ARA_Threshold))</f>
        <v>#NAME?</v>
      </c>
    </row>
    <row r="286" spans="1:15" s="580" customFormat="1" ht="15" customHeight="1" outlineLevel="2">
      <c r="A286" s="580" t="s">
        <v>544</v>
      </c>
      <c r="B286" s="585" t="s">
        <v>764</v>
      </c>
      <c r="C286" s="585" t="s">
        <v>529</v>
      </c>
      <c r="D286" s="587" t="s">
        <v>862</v>
      </c>
      <c r="E286" s="580" t="s">
        <v>554</v>
      </c>
      <c r="F286" s="575">
        <v>0</v>
      </c>
      <c r="G286" s="576"/>
      <c r="H286" s="575">
        <v>0</v>
      </c>
      <c r="I286" s="575">
        <v>0</v>
      </c>
      <c r="J286" s="575">
        <v>0</v>
      </c>
      <c r="K286" s="575">
        <v>-0.16700000000000001</v>
      </c>
      <c r="L286" s="576"/>
      <c r="M286" s="575">
        <v>0</v>
      </c>
      <c r="N286" s="577" t="str">
        <f>IF(OR(M286=0,M286="")," ",[43]!Arp(K286,M286,ARP_Threshold))</f>
        <v xml:space="preserve"> </v>
      </c>
      <c r="O286" s="578" t="e">
        <f ca="1">IF(AND(K286="",M286="")," ",[43]!Ara(K286,M286,ARA_Threshold))</f>
        <v>#NAME?</v>
      </c>
    </row>
    <row r="287" spans="1:15" s="580" customFormat="1" ht="15" customHeight="1" outlineLevel="2">
      <c r="A287" s="580" t="s">
        <v>545</v>
      </c>
      <c r="B287" s="585" t="s">
        <v>764</v>
      </c>
      <c r="C287" s="585" t="s">
        <v>529</v>
      </c>
      <c r="D287" s="587" t="s">
        <v>863</v>
      </c>
      <c r="E287" s="580" t="s">
        <v>556</v>
      </c>
      <c r="F287" s="575">
        <v>-2</v>
      </c>
      <c r="G287" s="576"/>
      <c r="H287" s="575">
        <v>0</v>
      </c>
      <c r="I287" s="575">
        <v>-2</v>
      </c>
      <c r="J287" s="575">
        <v>0</v>
      </c>
      <c r="K287" s="575">
        <v>-3.5999999999999997E-2</v>
      </c>
      <c r="L287" s="576"/>
      <c r="M287" s="575">
        <v>-1</v>
      </c>
      <c r="N287" s="577" t="e">
        <f ca="1">IF(OR(M287=0,M287="")," ",[43]!Arp(K287,M287,ARP_Threshold))</f>
        <v>#NAME?</v>
      </c>
      <c r="O287" s="578" t="e">
        <f ca="1">IF(AND(K287="",M287="")," ",[43]!Ara(K287,M287,ARA_Threshold))</f>
        <v>#NAME?</v>
      </c>
    </row>
    <row r="288" spans="1:15" s="580" customFormat="1" ht="15" customHeight="1" outlineLevel="2">
      <c r="A288" s="580" t="s">
        <v>546</v>
      </c>
      <c r="B288" s="585" t="s">
        <v>764</v>
      </c>
      <c r="C288" s="585" t="s">
        <v>529</v>
      </c>
      <c r="D288" s="587" t="s">
        <v>864</v>
      </c>
      <c r="E288" s="580" t="s">
        <v>558</v>
      </c>
      <c r="F288" s="575">
        <v>0</v>
      </c>
      <c r="G288" s="576"/>
      <c r="H288" s="575">
        <v>0</v>
      </c>
      <c r="I288" s="575">
        <v>0</v>
      </c>
      <c r="J288" s="575">
        <v>0</v>
      </c>
      <c r="K288" s="575">
        <v>-1633.0416499999999</v>
      </c>
      <c r="L288" s="576"/>
      <c r="M288" s="575">
        <v>0</v>
      </c>
      <c r="N288" s="577" t="str">
        <f>IF(OR(M288=0,M288="")," ",[43]!Arp(K288,M288,ARP_Threshold))</f>
        <v xml:space="preserve"> </v>
      </c>
      <c r="O288" s="578" t="e">
        <f ca="1">IF(AND(K288="",M288="")," ",[43]!Ara(K288,M288,ARA_Threshold))</f>
        <v>#NAME?</v>
      </c>
    </row>
    <row r="289" spans="1:15" s="580" customFormat="1" ht="15" customHeight="1" outlineLevel="2">
      <c r="A289" s="580" t="s">
        <v>547</v>
      </c>
      <c r="B289" s="585" t="s">
        <v>764</v>
      </c>
      <c r="C289" s="585" t="s">
        <v>529</v>
      </c>
      <c r="D289" s="587" t="s">
        <v>1792</v>
      </c>
      <c r="E289" s="580" t="s">
        <v>559</v>
      </c>
      <c r="F289" s="575">
        <v>-101</v>
      </c>
      <c r="G289" s="576"/>
      <c r="H289" s="575">
        <v>0</v>
      </c>
      <c r="I289" s="575">
        <v>-101</v>
      </c>
      <c r="J289" s="575">
        <v>0</v>
      </c>
      <c r="K289" s="575">
        <v>-0.17399999999999999</v>
      </c>
      <c r="L289" s="576"/>
      <c r="M289" s="575">
        <v>-18</v>
      </c>
      <c r="N289" s="577" t="e">
        <f ca="1">IF(OR(M289=0,M289="")," ",[43]!Arp(K289,M289,ARP_Threshold))</f>
        <v>#NAME?</v>
      </c>
      <c r="O289" s="578" t="e">
        <f ca="1">IF(AND(K289="",M289="")," ",[43]!Ara(K289,M289,ARA_Threshold))</f>
        <v>#NAME?</v>
      </c>
    </row>
    <row r="290" spans="1:15" s="580" customFormat="1" ht="15" customHeight="1" outlineLevel="2">
      <c r="A290" s="580" t="s">
        <v>549</v>
      </c>
      <c r="B290" s="585" t="s">
        <v>764</v>
      </c>
      <c r="C290" s="585" t="s">
        <v>529</v>
      </c>
      <c r="D290" s="587" t="s">
        <v>1793</v>
      </c>
      <c r="E290" s="580" t="s">
        <v>560</v>
      </c>
      <c r="F290" s="575">
        <v>-2</v>
      </c>
      <c r="G290" s="576"/>
      <c r="H290" s="575">
        <v>0</v>
      </c>
      <c r="I290" s="575">
        <v>-2</v>
      </c>
      <c r="J290" s="575">
        <v>0</v>
      </c>
      <c r="K290" s="575">
        <v>-9.0920000000000001E-2</v>
      </c>
      <c r="L290" s="576"/>
      <c r="M290" s="575">
        <v>-1</v>
      </c>
      <c r="N290" s="577" t="e">
        <f ca="1">IF(OR(M290=0,M290="")," ",[43]!Arp(K290,M290,ARP_Threshold))</f>
        <v>#NAME?</v>
      </c>
      <c r="O290" s="578" t="e">
        <f ca="1">IF(AND(K290="",M290="")," ",[43]!Ara(K290,M290,ARA_Threshold))</f>
        <v>#NAME?</v>
      </c>
    </row>
    <row r="291" spans="1:15" s="580" customFormat="1" ht="15" customHeight="1" outlineLevel="2">
      <c r="A291" s="580" t="s">
        <v>551</v>
      </c>
      <c r="B291" s="585" t="s">
        <v>764</v>
      </c>
      <c r="C291" s="585" t="s">
        <v>529</v>
      </c>
      <c r="D291" s="587" t="s">
        <v>1794</v>
      </c>
      <c r="E291" s="580" t="s">
        <v>1550</v>
      </c>
      <c r="F291" s="575">
        <v>-6151</v>
      </c>
      <c r="G291" s="576"/>
      <c r="H291" s="575">
        <v>0</v>
      </c>
      <c r="I291" s="575">
        <v>-6151</v>
      </c>
      <c r="J291" s="575">
        <v>0</v>
      </c>
      <c r="K291" s="575">
        <v>-4.5999999999999999E-2</v>
      </c>
      <c r="L291" s="576"/>
      <c r="M291" s="575">
        <v>-1613</v>
      </c>
      <c r="N291" s="577" t="e">
        <f ca="1">IF(OR(M291=0,M291="")," ",[43]!Arp(K291,M291,ARP_Threshold))</f>
        <v>#NAME?</v>
      </c>
      <c r="O291" s="578" t="e">
        <f ca="1">IF(AND(K291="",M291="")," ",[43]!Ara(K291,M291,ARA_Threshold))</f>
        <v>#NAME?</v>
      </c>
    </row>
    <row r="292" spans="1:15" s="580" customFormat="1" ht="15" customHeight="1" outlineLevel="2">
      <c r="A292" s="580" t="s">
        <v>553</v>
      </c>
      <c r="B292" s="585" t="s">
        <v>764</v>
      </c>
      <c r="C292" s="585" t="s">
        <v>529</v>
      </c>
      <c r="D292" s="587" t="s">
        <v>1795</v>
      </c>
      <c r="E292" s="580" t="s">
        <v>561</v>
      </c>
      <c r="F292" s="575">
        <v>-2</v>
      </c>
      <c r="G292" s="576"/>
      <c r="H292" s="575">
        <v>0</v>
      </c>
      <c r="I292" s="575">
        <v>-2</v>
      </c>
      <c r="J292" s="575">
        <v>0</v>
      </c>
      <c r="K292" s="575">
        <v>-620.84699999999998</v>
      </c>
      <c r="L292" s="576"/>
      <c r="M292" s="575">
        <v>-1</v>
      </c>
      <c r="N292" s="577" t="e">
        <f ca="1">IF(OR(M292=0,M292="")," ",[43]!Arp(K292,M292,ARP_Threshold))</f>
        <v>#NAME?</v>
      </c>
      <c r="O292" s="578" t="e">
        <f ca="1">IF(AND(K292="",M292="")," ",[43]!Ara(K292,M292,ARA_Threshold))</f>
        <v>#NAME?</v>
      </c>
    </row>
    <row r="293" spans="1:15" s="580" customFormat="1" ht="15" customHeight="1" outlineLevel="2">
      <c r="B293" s="585"/>
      <c r="C293" s="585"/>
      <c r="D293" s="587" t="s">
        <v>1796</v>
      </c>
      <c r="E293" s="580" t="s">
        <v>562</v>
      </c>
      <c r="F293" s="575"/>
      <c r="G293" s="576"/>
      <c r="H293" s="575"/>
      <c r="I293" s="575"/>
      <c r="J293" s="575"/>
      <c r="K293" s="575">
        <v>-4587.2819200000004</v>
      </c>
      <c r="L293" s="576"/>
      <c r="M293" s="575"/>
      <c r="N293" s="577"/>
      <c r="O293" s="578"/>
    </row>
    <row r="294" spans="1:15" s="580" customFormat="1" ht="15" customHeight="1" outlineLevel="2">
      <c r="A294" s="580" t="s">
        <v>555</v>
      </c>
      <c r="B294" s="585" t="s">
        <v>764</v>
      </c>
      <c r="C294" s="585" t="s">
        <v>529</v>
      </c>
      <c r="D294" s="587" t="s">
        <v>1797</v>
      </c>
      <c r="E294" s="580" t="s">
        <v>1798</v>
      </c>
      <c r="F294" s="575">
        <v>-1</v>
      </c>
      <c r="G294" s="576"/>
      <c r="H294" s="575">
        <v>0</v>
      </c>
      <c r="I294" s="575">
        <v>-1</v>
      </c>
      <c r="J294" s="575">
        <v>0</v>
      </c>
      <c r="K294" s="575">
        <v>-27.856999999999999</v>
      </c>
      <c r="L294" s="576"/>
      <c r="M294" s="575">
        <v>0</v>
      </c>
      <c r="N294" s="577" t="str">
        <f>IF(OR(M294=0,M294="")," ",[43]!Arp(K294,M294,ARP_Threshold))</f>
        <v xml:space="preserve"> </v>
      </c>
      <c r="O294" s="578" t="e">
        <f ca="1">IF(AND(K294="",M294="")," ",[43]!Ara(K294,M294,ARA_Threshold))</f>
        <v>#NAME?</v>
      </c>
    </row>
    <row r="295" spans="1:15" s="580" customFormat="1" ht="15" customHeight="1" outlineLevel="2">
      <c r="A295" s="580" t="s">
        <v>557</v>
      </c>
      <c r="B295" s="585" t="s">
        <v>764</v>
      </c>
      <c r="C295" s="585" t="s">
        <v>529</v>
      </c>
      <c r="D295" s="587" t="s">
        <v>1799</v>
      </c>
      <c r="E295" s="580" t="s">
        <v>563</v>
      </c>
      <c r="F295" s="575">
        <v>104</v>
      </c>
      <c r="G295" s="576"/>
      <c r="H295" s="575">
        <v>0</v>
      </c>
      <c r="I295" s="575">
        <v>104</v>
      </c>
      <c r="J295" s="575">
        <v>0</v>
      </c>
      <c r="K295" s="575">
        <v>-1.17401</v>
      </c>
      <c r="L295" s="576"/>
      <c r="M295" s="575">
        <v>-5639</v>
      </c>
      <c r="N295" s="577" t="e">
        <f ca="1">IF(OR(M295=0,M295="")," ",[43]!Arp(K295,M295,ARP_Threshold))</f>
        <v>#NAME?</v>
      </c>
      <c r="O295" s="578" t="e">
        <f ca="1">IF(AND(K295="",M295="")," ",[43]!Ara(K295,M295,ARA_Threshold))</f>
        <v>#NAME?</v>
      </c>
    </row>
    <row r="296" spans="1:15" s="580" customFormat="1" ht="15.75" outlineLevel="1" thickBot="1">
      <c r="A296" s="580" t="s">
        <v>564</v>
      </c>
      <c r="B296" s="585" t="s">
        <v>764</v>
      </c>
      <c r="C296" s="585" t="s">
        <v>529</v>
      </c>
      <c r="D296" s="587" t="s">
        <v>764</v>
      </c>
      <c r="E296" s="589" t="s">
        <v>565</v>
      </c>
      <c r="F296" s="712">
        <v>-44432</v>
      </c>
      <c r="G296" s="576"/>
      <c r="H296" s="712">
        <v>0</v>
      </c>
      <c r="I296" s="712">
        <v>-44432</v>
      </c>
      <c r="J296" s="712">
        <v>0</v>
      </c>
      <c r="K296" s="1328">
        <f>SUM(K277:K295)</f>
        <v>-9908.5035200000002</v>
      </c>
      <c r="L296" s="576"/>
      <c r="M296" s="712">
        <v>-73946</v>
      </c>
      <c r="N296" s="577" t="e">
        <f ca="1">IF(OR(M296=0,M296="")," ",[43]!Arp(K296,M296,ARP_Threshold))</f>
        <v>#NAME?</v>
      </c>
      <c r="O296" s="578" t="e">
        <f ca="1">IF(AND(K296="",M296="")," ",[43]!Ara(K296,M296,ARA_Threshold))</f>
        <v>#NAME?</v>
      </c>
    </row>
    <row r="297" spans="1:15" s="580" customFormat="1" ht="15.75" outlineLevel="1" thickTop="1">
      <c r="A297" s="580" t="s">
        <v>566</v>
      </c>
      <c r="B297" s="585" t="s">
        <v>764</v>
      </c>
      <c r="C297" s="585" t="s">
        <v>764</v>
      </c>
      <c r="D297" s="587" t="s">
        <v>764</v>
      </c>
      <c r="F297" s="575"/>
      <c r="G297" s="576"/>
      <c r="H297" s="575"/>
      <c r="I297" s="575"/>
      <c r="J297" s="575"/>
      <c r="K297" s="575"/>
      <c r="L297" s="576"/>
      <c r="M297" s="575"/>
      <c r="N297" s="577" t="str">
        <f>IF(OR(M297=0,M297="")," ",[43]!Arp(K297,M297,ARP_Threshold))</f>
        <v xml:space="preserve"> </v>
      </c>
      <c r="O297" s="578" t="str">
        <f>IF(AND(K297="",M297="")," ",[43]!Ara(K297,M297,ARA_Threshold))</f>
        <v xml:space="preserve"> </v>
      </c>
    </row>
    <row r="298" spans="1:15" s="580" customFormat="1" ht="15" customHeight="1" outlineLevel="2">
      <c r="A298" s="580" t="s">
        <v>567</v>
      </c>
      <c r="B298" s="585" t="s">
        <v>764</v>
      </c>
      <c r="C298" s="585" t="s">
        <v>568</v>
      </c>
      <c r="D298" s="587" t="s">
        <v>1604</v>
      </c>
      <c r="E298" s="580" t="s">
        <v>569</v>
      </c>
      <c r="F298" s="575">
        <v>0</v>
      </c>
      <c r="G298" s="576"/>
      <c r="H298" s="575">
        <v>0</v>
      </c>
      <c r="I298" s="575">
        <v>0</v>
      </c>
      <c r="J298" s="575">
        <v>0</v>
      </c>
      <c r="K298" s="575">
        <v>-29695.80385</v>
      </c>
      <c r="L298" s="576"/>
      <c r="M298" s="575">
        <v>0</v>
      </c>
      <c r="N298" s="577" t="str">
        <f>IF(OR(M298=0,M298="")," ",[43]!Arp(K298,M298,ARP_Threshold))</f>
        <v xml:space="preserve"> </v>
      </c>
      <c r="O298" s="578" t="e">
        <f ca="1">IF(AND(K298="",M298="")," ",[43]!Ara(K298,M298,ARA_Threshold))</f>
        <v>#NAME?</v>
      </c>
    </row>
    <row r="299" spans="1:15" s="580" customFormat="1" ht="15" customHeight="1" outlineLevel="2">
      <c r="A299" s="580" t="s">
        <v>570</v>
      </c>
      <c r="B299" s="585" t="s">
        <v>764</v>
      </c>
      <c r="C299" s="585" t="s">
        <v>568</v>
      </c>
      <c r="D299" s="587" t="s">
        <v>852</v>
      </c>
      <c r="E299" s="580" t="s">
        <v>571</v>
      </c>
      <c r="F299" s="575">
        <v>7073</v>
      </c>
      <c r="G299" s="576"/>
      <c r="H299" s="575">
        <v>0</v>
      </c>
      <c r="I299" s="575">
        <v>7073</v>
      </c>
      <c r="J299" s="575">
        <v>0</v>
      </c>
      <c r="K299" s="575">
        <v>-2593.2820000000002</v>
      </c>
      <c r="L299" s="576"/>
      <c r="M299" s="575">
        <v>8383</v>
      </c>
      <c r="N299" s="577" t="e">
        <f ca="1">IF(OR(M299=0,M299="")," ",[43]!Arp(K299,M299,ARP_Threshold))</f>
        <v>#NAME?</v>
      </c>
      <c r="O299" s="578" t="e">
        <f ca="1">IF(AND(K299="",M299="")," ",[43]!Ara(K299,M299,ARA_Threshold))</f>
        <v>#NAME?</v>
      </c>
    </row>
    <row r="300" spans="1:15" s="580" customFormat="1" ht="15" customHeight="1" outlineLevel="2">
      <c r="B300" s="585"/>
      <c r="C300" s="585"/>
      <c r="D300" s="587"/>
      <c r="E300" s="580" t="s">
        <v>1880</v>
      </c>
      <c r="F300" s="575"/>
      <c r="G300" s="576"/>
      <c r="H300" s="575"/>
      <c r="I300" s="575"/>
      <c r="J300" s="575"/>
      <c r="K300" s="575">
        <v>30737</v>
      </c>
      <c r="L300" s="576"/>
      <c r="M300" s="575"/>
      <c r="N300" s="577"/>
      <c r="O300" s="578"/>
    </row>
    <row r="301" spans="1:15" s="580" customFormat="1" ht="15" customHeight="1" outlineLevel="2">
      <c r="A301" s="580" t="s">
        <v>572</v>
      </c>
      <c r="B301" s="585" t="s">
        <v>764</v>
      </c>
      <c r="C301" s="585" t="s">
        <v>568</v>
      </c>
      <c r="D301" s="587" t="s">
        <v>1605</v>
      </c>
      <c r="E301" s="580" t="s">
        <v>573</v>
      </c>
      <c r="F301" s="575">
        <v>0</v>
      </c>
      <c r="G301" s="576"/>
      <c r="H301" s="575">
        <v>0</v>
      </c>
      <c r="I301" s="575">
        <v>0</v>
      </c>
      <c r="J301" s="575">
        <v>0</v>
      </c>
      <c r="K301" s="575">
        <v>0</v>
      </c>
      <c r="L301" s="576"/>
      <c r="M301" s="575">
        <v>0</v>
      </c>
      <c r="N301" s="577" t="str">
        <f>IF(OR(M301=0,M301="")," ",[43]!Arp(K301,M301,ARP_Threshold))</f>
        <v xml:space="preserve"> </v>
      </c>
      <c r="O301" s="578" t="e">
        <f ca="1">IF(AND(K301="",M301="")," ",[43]!Ara(K301,M301,ARA_Threshold))</f>
        <v>#NAME?</v>
      </c>
    </row>
    <row r="302" spans="1:15" s="580" customFormat="1" ht="15" customHeight="1" outlineLevel="2">
      <c r="A302" s="580" t="s">
        <v>574</v>
      </c>
      <c r="B302" s="585" t="s">
        <v>764</v>
      </c>
      <c r="C302" s="585" t="s">
        <v>568</v>
      </c>
      <c r="D302" s="587" t="s">
        <v>853</v>
      </c>
      <c r="E302" s="580" t="s">
        <v>575</v>
      </c>
      <c r="F302" s="575">
        <v>-506</v>
      </c>
      <c r="G302" s="584"/>
      <c r="H302" s="575">
        <v>0</v>
      </c>
      <c r="I302" s="575">
        <v>-506</v>
      </c>
      <c r="J302" s="575">
        <v>0</v>
      </c>
      <c r="K302" s="575">
        <v>605.29</v>
      </c>
      <c r="L302" s="576"/>
      <c r="M302" s="575">
        <v>0</v>
      </c>
      <c r="N302" s="577" t="str">
        <f>IF(OR(M302=0,M302="")," ",[43]!Arp(K302,M302,ARP_Threshold))</f>
        <v xml:space="preserve"> </v>
      </c>
      <c r="O302" s="578" t="e">
        <f ca="1">IF(AND(K302="",M302="")," ",[43]!Ara(K302,M302,ARA_Threshold))</f>
        <v>#NAME?</v>
      </c>
    </row>
    <row r="303" spans="1:15" s="580" customFormat="1" ht="15.75" customHeight="1" outlineLevel="2" thickBot="1">
      <c r="A303" s="580" t="s">
        <v>576</v>
      </c>
      <c r="B303" s="585" t="s">
        <v>764</v>
      </c>
      <c r="C303" s="585" t="s">
        <v>568</v>
      </c>
      <c r="D303" s="587" t="s">
        <v>1606</v>
      </c>
      <c r="E303" s="580" t="s">
        <v>577</v>
      </c>
      <c r="F303" s="590">
        <v>0</v>
      </c>
      <c r="G303" s="576"/>
      <c r="H303" s="590">
        <v>0</v>
      </c>
      <c r="I303" s="590">
        <v>0</v>
      </c>
      <c r="J303" s="590">
        <v>0</v>
      </c>
      <c r="K303" s="590">
        <v>-18.374209999999998</v>
      </c>
      <c r="L303" s="584"/>
      <c r="M303" s="590">
        <v>0</v>
      </c>
      <c r="N303" s="577" t="str">
        <f>IF(OR(M303=0,M303="")," ",[43]!Arp(K303,M303,ARP_Threshold))</f>
        <v xml:space="preserve"> </v>
      </c>
      <c r="O303" s="578" t="e">
        <f ca="1">IF(AND(K303="",M303="")," ",[43]!Ara(K303,M303,ARA_Threshold))</f>
        <v>#NAME?</v>
      </c>
    </row>
    <row r="304" spans="1:15" s="580" customFormat="1" ht="16.5" outlineLevel="1" thickTop="1" thickBot="1">
      <c r="A304" s="580" t="s">
        <v>578</v>
      </c>
      <c r="B304" s="585" t="s">
        <v>764</v>
      </c>
      <c r="C304" s="585" t="s">
        <v>568</v>
      </c>
      <c r="D304" s="587" t="s">
        <v>764</v>
      </c>
      <c r="E304" s="589" t="s">
        <v>579</v>
      </c>
      <c r="F304" s="595">
        <v>6567</v>
      </c>
      <c r="G304" s="576"/>
      <c r="H304" s="595">
        <v>0</v>
      </c>
      <c r="I304" s="595">
        <v>6567</v>
      </c>
      <c r="J304" s="595">
        <v>0</v>
      </c>
      <c r="K304" s="1329">
        <f>SUM(K298:K303)</f>
        <v>-965.17005999999947</v>
      </c>
      <c r="L304" s="576"/>
      <c r="M304" s="595">
        <v>8383</v>
      </c>
      <c r="N304" s="577" t="e">
        <f ca="1">IF(OR(M304=0,M304="")," ",[43]!Arp(K304,M304,ARP_Threshold))</f>
        <v>#NAME?</v>
      </c>
      <c r="O304" s="578" t="e">
        <f ca="1">IF(AND(K304="",M304="")," ",[43]!Ara(K304,M304,ARA_Threshold))</f>
        <v>#NAME?</v>
      </c>
    </row>
    <row r="305" spans="1:15" s="580" customFormat="1" ht="15.75" outlineLevel="1" thickTop="1">
      <c r="A305" s="580" t="s">
        <v>580</v>
      </c>
      <c r="B305" s="585" t="s">
        <v>764</v>
      </c>
      <c r="C305" s="585" t="s">
        <v>764</v>
      </c>
      <c r="D305" s="587" t="s">
        <v>764</v>
      </c>
      <c r="F305" s="575"/>
      <c r="G305" s="584"/>
      <c r="H305" s="575"/>
      <c r="I305" s="575"/>
      <c r="J305" s="575"/>
      <c r="K305" s="575"/>
      <c r="L305" s="576"/>
      <c r="M305" s="575"/>
      <c r="N305" s="577" t="str">
        <f>IF(OR(M305=0,M305="")," ",[43]!Arp(K305,M305,ARP_Threshold))</f>
        <v xml:space="preserve"> </v>
      </c>
      <c r="O305" s="578" t="str">
        <f>IF(AND(K305="",M305="")," ",[43]!Ara(K305,M305,ARA_Threshold))</f>
        <v xml:space="preserve"> </v>
      </c>
    </row>
    <row r="306" spans="1:15" s="580" customFormat="1" ht="15.75" customHeight="1" outlineLevel="2" thickBot="1">
      <c r="A306" s="580" t="s">
        <v>581</v>
      </c>
      <c r="B306" s="585" t="s">
        <v>764</v>
      </c>
      <c r="C306" s="585" t="s">
        <v>582</v>
      </c>
      <c r="D306" s="587" t="s">
        <v>851</v>
      </c>
      <c r="E306" s="580" t="s">
        <v>583</v>
      </c>
      <c r="F306" s="590">
        <v>0</v>
      </c>
      <c r="G306" s="576"/>
      <c r="H306" s="590">
        <v>0</v>
      </c>
      <c r="I306" s="590">
        <v>0</v>
      </c>
      <c r="J306" s="590">
        <v>0</v>
      </c>
      <c r="K306" s="590">
        <v>-1395</v>
      </c>
      <c r="L306" s="584"/>
      <c r="M306" s="590">
        <v>0</v>
      </c>
      <c r="N306" s="577" t="str">
        <f>IF(OR(M306=0,M306="")," ",[43]!Arp(K306,M306,ARP_Threshold))</f>
        <v xml:space="preserve"> </v>
      </c>
      <c r="O306" s="578" t="e">
        <f ca="1">IF(AND(K306="",M306="")," ",[43]!Ara(K306,M306,ARA_Threshold))</f>
        <v>#NAME?</v>
      </c>
    </row>
    <row r="307" spans="1:15" s="580" customFormat="1" ht="16.5" outlineLevel="1" thickTop="1" thickBot="1">
      <c r="A307" s="580" t="s">
        <v>584</v>
      </c>
      <c r="B307" s="585" t="s">
        <v>764</v>
      </c>
      <c r="C307" s="585" t="s">
        <v>582</v>
      </c>
      <c r="D307" s="587" t="s">
        <v>764</v>
      </c>
      <c r="E307" s="589" t="s">
        <v>585</v>
      </c>
      <c r="F307" s="595">
        <v>0</v>
      </c>
      <c r="G307" s="576"/>
      <c r="H307" s="595">
        <v>0</v>
      </c>
      <c r="I307" s="595">
        <v>0</v>
      </c>
      <c r="J307" s="595">
        <v>0</v>
      </c>
      <c r="K307" s="1321">
        <v>-1395</v>
      </c>
      <c r="L307" s="576"/>
      <c r="M307" s="595">
        <v>0</v>
      </c>
      <c r="N307" s="577" t="str">
        <f>IF(OR(M307=0,M307="")," ",[43]!Arp(K307,M307,ARP_Threshold))</f>
        <v xml:space="preserve"> </v>
      </c>
      <c r="O307" s="578" t="e">
        <f ca="1">IF(AND(K307="",M307="")," ",[43]!Ara(K307,M307,ARA_Threshold))</f>
        <v>#NAME?</v>
      </c>
    </row>
    <row r="308" spans="1:15" s="580" customFormat="1" ht="15.75" outlineLevel="1" thickTop="1">
      <c r="A308" s="580" t="s">
        <v>586</v>
      </c>
      <c r="B308" s="585" t="s">
        <v>764</v>
      </c>
      <c r="C308" s="585" t="s">
        <v>764</v>
      </c>
      <c r="D308" s="587" t="s">
        <v>764</v>
      </c>
      <c r="F308" s="575"/>
      <c r="G308" s="584"/>
      <c r="H308" s="575"/>
      <c r="I308" s="575"/>
      <c r="J308" s="575"/>
      <c r="K308" s="575"/>
      <c r="L308" s="576"/>
      <c r="M308" s="575"/>
      <c r="N308" s="577" t="str">
        <f>IF(OR(M308=0,M308="")," ",[43]!Arp(K308,M308,ARP_Threshold))</f>
        <v xml:space="preserve"> </v>
      </c>
      <c r="O308" s="578" t="str">
        <f>IF(AND(K308="",M308="")," ",[43]!Ara(K308,M308,ARA_Threshold))</f>
        <v xml:space="preserve"> </v>
      </c>
    </row>
    <row r="309" spans="1:15" s="580" customFormat="1" outlineLevel="2">
      <c r="A309" s="580" t="s">
        <v>1366</v>
      </c>
      <c r="B309" s="585" t="s">
        <v>764</v>
      </c>
      <c r="C309" s="585" t="s">
        <v>588</v>
      </c>
      <c r="D309" s="587" t="s">
        <v>876</v>
      </c>
      <c r="E309" s="587" t="s">
        <v>522</v>
      </c>
      <c r="F309" s="575">
        <v>0</v>
      </c>
      <c r="G309" s="576"/>
      <c r="H309" s="575">
        <v>0</v>
      </c>
      <c r="I309" s="575">
        <v>0</v>
      </c>
      <c r="J309" s="575">
        <v>0</v>
      </c>
      <c r="K309" s="575">
        <v>0</v>
      </c>
      <c r="L309" s="584"/>
      <c r="M309" s="575">
        <v>0</v>
      </c>
      <c r="N309" s="577" t="str">
        <f>IF(OR(M309=0,M309="")," ",[43]!Arp(K309,M309,ARP_Threshold))</f>
        <v xml:space="preserve"> </v>
      </c>
      <c r="O309" s="578" t="e">
        <f ca="1">IF(AND(K309="",M309="")," ",[43]!Ara(K309,M309,ARA_Threshold))</f>
        <v>#NAME?</v>
      </c>
    </row>
    <row r="310" spans="1:15" s="580" customFormat="1" ht="15" customHeight="1" outlineLevel="2">
      <c r="A310" s="580" t="s">
        <v>587</v>
      </c>
      <c r="B310" s="585" t="s">
        <v>764</v>
      </c>
      <c r="C310" s="585" t="s">
        <v>588</v>
      </c>
      <c r="D310" s="587" t="s">
        <v>1607</v>
      </c>
      <c r="E310" s="580" t="s">
        <v>589</v>
      </c>
      <c r="F310" s="575">
        <v>0</v>
      </c>
      <c r="G310" s="584"/>
      <c r="H310" s="575">
        <v>0</v>
      </c>
      <c r="I310" s="575">
        <v>0</v>
      </c>
      <c r="J310" s="575">
        <v>0</v>
      </c>
      <c r="K310" s="575">
        <v>0</v>
      </c>
      <c r="L310" s="576"/>
      <c r="M310" s="575">
        <v>0</v>
      </c>
      <c r="N310" s="577" t="str">
        <f>IF(OR(M310=0,M310="")," ",[43]!Arp(K310,M310,ARP_Threshold))</f>
        <v xml:space="preserve"> </v>
      </c>
      <c r="O310" s="578" t="e">
        <f ca="1">IF(AND(K310="",M310="")," ",[43]!Ara(K310,M310,ARA_Threshold))</f>
        <v>#NAME?</v>
      </c>
    </row>
    <row r="311" spans="1:15" s="580" customFormat="1" ht="15.75" customHeight="1" outlineLevel="2" thickBot="1">
      <c r="A311" s="580" t="s">
        <v>590</v>
      </c>
      <c r="B311" s="585" t="s">
        <v>764</v>
      </c>
      <c r="C311" s="585" t="s">
        <v>588</v>
      </c>
      <c r="D311" s="587" t="s">
        <v>1608</v>
      </c>
      <c r="E311" s="580" t="s">
        <v>591</v>
      </c>
      <c r="F311" s="590">
        <v>0</v>
      </c>
      <c r="G311" s="584"/>
      <c r="H311" s="590">
        <v>0</v>
      </c>
      <c r="I311" s="590">
        <v>0</v>
      </c>
      <c r="J311" s="590">
        <v>0</v>
      </c>
      <c r="K311" s="590">
        <v>0</v>
      </c>
      <c r="L311" s="584"/>
      <c r="M311" s="590">
        <v>0</v>
      </c>
      <c r="N311" s="577" t="str">
        <f>IF(OR(M311=0,M311="")," ",[43]!Arp(K311,M311,ARP_Threshold))</f>
        <v xml:space="preserve"> </v>
      </c>
      <c r="O311" s="578" t="e">
        <f ca="1">IF(AND(K311="",M311="")," ",[43]!Ara(K311,M311,ARA_Threshold))</f>
        <v>#NAME?</v>
      </c>
    </row>
    <row r="312" spans="1:15" s="580" customFormat="1" ht="15.75" customHeight="1" outlineLevel="2" thickTop="1" thickBot="1">
      <c r="A312" s="580" t="s">
        <v>1370</v>
      </c>
      <c r="B312" s="585" t="s">
        <v>764</v>
      </c>
      <c r="C312" s="585" t="s">
        <v>588</v>
      </c>
      <c r="D312" s="587" t="s">
        <v>875</v>
      </c>
      <c r="E312" s="587" t="s">
        <v>473</v>
      </c>
      <c r="F312" s="713">
        <v>0</v>
      </c>
      <c r="G312" s="576"/>
      <c r="H312" s="713">
        <v>0</v>
      </c>
      <c r="I312" s="713">
        <v>0</v>
      </c>
      <c r="J312" s="713">
        <v>0</v>
      </c>
      <c r="K312" s="713">
        <v>0</v>
      </c>
      <c r="L312" s="584"/>
      <c r="M312" s="713">
        <v>-482</v>
      </c>
      <c r="N312" s="577" t="e">
        <f ca="1">IF(OR(M312=0,M312="")," ",[43]!Arp(K312,M312,ARP_Threshold))</f>
        <v>#NAME?</v>
      </c>
      <c r="O312" s="578" t="e">
        <f ca="1">IF(AND(K312="",M312="")," ",[43]!Ara(K312,M312,ARA_Threshold))</f>
        <v>#NAME?</v>
      </c>
    </row>
    <row r="313" spans="1:15" s="580" customFormat="1" ht="16.5" outlineLevel="1" thickTop="1" thickBot="1">
      <c r="A313" s="580" t="s">
        <v>592</v>
      </c>
      <c r="B313" s="585" t="s">
        <v>764</v>
      </c>
      <c r="C313" s="585" t="s">
        <v>588</v>
      </c>
      <c r="D313" s="587" t="s">
        <v>764</v>
      </c>
      <c r="E313" s="589" t="s">
        <v>1369</v>
      </c>
      <c r="F313" s="595">
        <v>0</v>
      </c>
      <c r="G313" s="576"/>
      <c r="H313" s="595">
        <v>0</v>
      </c>
      <c r="I313" s="595">
        <v>0</v>
      </c>
      <c r="J313" s="595">
        <v>0</v>
      </c>
      <c r="K313" s="595">
        <v>0</v>
      </c>
      <c r="L313" s="576"/>
      <c r="M313" s="595">
        <v>-482</v>
      </c>
      <c r="N313" s="577" t="e">
        <f ca="1">IF(OR(M313=0,M313="")," ",[43]!Arp(K313,M313,ARP_Threshold))</f>
        <v>#NAME?</v>
      </c>
      <c r="O313" s="578" t="e">
        <f ca="1">IF(AND(K313="",M313="")," ",[43]!Ara(K313,M313,ARA_Threshold))</f>
        <v>#NAME?</v>
      </c>
    </row>
    <row r="314" spans="1:15" s="580" customFormat="1" ht="15.75" outlineLevel="1" thickTop="1">
      <c r="A314" s="580" t="s">
        <v>593</v>
      </c>
      <c r="B314" s="585" t="s">
        <v>764</v>
      </c>
      <c r="C314" s="585" t="s">
        <v>764</v>
      </c>
      <c r="D314" s="587" t="s">
        <v>764</v>
      </c>
      <c r="F314" s="575"/>
      <c r="G314" s="576"/>
      <c r="H314" s="575"/>
      <c r="I314" s="575"/>
      <c r="J314" s="575"/>
      <c r="K314" s="575"/>
      <c r="L314" s="576"/>
      <c r="M314" s="575"/>
      <c r="N314" s="577" t="str">
        <f>IF(OR(M314=0,M314="")," ",[43]!Arp(K314,M314,ARP_Threshold))</f>
        <v xml:space="preserve"> </v>
      </c>
      <c r="O314" s="578" t="str">
        <f>IF(AND(K314="",M314="")," ",[43]!Ara(K314,M314,ARA_Threshold))</f>
        <v xml:space="preserve"> </v>
      </c>
    </row>
    <row r="315" spans="1:15" s="580" customFormat="1" ht="15" customHeight="1" outlineLevel="2">
      <c r="A315" s="580" t="s">
        <v>594</v>
      </c>
      <c r="B315" s="585" t="s">
        <v>764</v>
      </c>
      <c r="C315" s="585" t="s">
        <v>595</v>
      </c>
      <c r="D315" s="587" t="s">
        <v>877</v>
      </c>
      <c r="E315" s="580" t="s">
        <v>596</v>
      </c>
      <c r="F315" s="575">
        <v>27031</v>
      </c>
      <c r="G315" s="576"/>
      <c r="H315" s="575">
        <v>0</v>
      </c>
      <c r="I315" s="575">
        <v>27031</v>
      </c>
      <c r="J315" s="575">
        <v>0</v>
      </c>
      <c r="K315" s="575">
        <v>5930.6035000000002</v>
      </c>
      <c r="L315" s="576"/>
      <c r="M315" s="575">
        <v>14625</v>
      </c>
      <c r="N315" s="577" t="e">
        <f ca="1">IF(OR(M315=0,M315="")," ",[43]!Arp(K315,M315,ARP_Threshold))</f>
        <v>#NAME?</v>
      </c>
      <c r="O315" s="578" t="e">
        <f ca="1">IF(AND(K315="",M315="")," ",[43]!Ara(K315,M315,ARA_Threshold))</f>
        <v>#NAME?</v>
      </c>
    </row>
    <row r="316" spans="1:15" s="580" customFormat="1" ht="15" customHeight="1" outlineLevel="2">
      <c r="A316" s="580" t="s">
        <v>597</v>
      </c>
      <c r="B316" s="585" t="s">
        <v>764</v>
      </c>
      <c r="C316" s="585" t="s">
        <v>595</v>
      </c>
      <c r="D316" s="587" t="s">
        <v>878</v>
      </c>
      <c r="E316" s="580" t="s">
        <v>598</v>
      </c>
      <c r="F316" s="575">
        <v>3514</v>
      </c>
      <c r="G316" s="584"/>
      <c r="H316" s="575">
        <v>0</v>
      </c>
      <c r="I316" s="575">
        <v>3514</v>
      </c>
      <c r="J316" s="575">
        <v>0</v>
      </c>
      <c r="K316" s="575">
        <v>770.97805000000005</v>
      </c>
      <c r="L316" s="576"/>
      <c r="M316" s="575">
        <v>1901</v>
      </c>
      <c r="N316" s="577" t="e">
        <f ca="1">IF(OR(M316=0,M316="")," ",[43]!Arp(K316,M316,ARP_Threshold))</f>
        <v>#NAME?</v>
      </c>
      <c r="O316" s="578" t="e">
        <f ca="1">IF(AND(K316="",M316="")," ",[43]!Ara(K316,M316,ARA_Threshold))</f>
        <v>#NAME?</v>
      </c>
    </row>
    <row r="317" spans="1:15" s="580" customFormat="1" ht="15.75" customHeight="1" outlineLevel="2" thickBot="1">
      <c r="A317" s="580" t="s">
        <v>599</v>
      </c>
      <c r="B317" s="585" t="s">
        <v>764</v>
      </c>
      <c r="C317" s="585" t="s">
        <v>595</v>
      </c>
      <c r="D317" s="587" t="s">
        <v>879</v>
      </c>
      <c r="E317" s="580" t="s">
        <v>600</v>
      </c>
      <c r="F317" s="590">
        <v>0</v>
      </c>
      <c r="G317" s="576"/>
      <c r="H317" s="590">
        <v>0</v>
      </c>
      <c r="I317" s="590">
        <v>0</v>
      </c>
      <c r="J317" s="590">
        <v>0</v>
      </c>
      <c r="K317" s="590">
        <v>0</v>
      </c>
      <c r="L317" s="584"/>
      <c r="M317" s="590">
        <v>0</v>
      </c>
      <c r="N317" s="577" t="str">
        <f>IF(OR(M317=0,M317="")," ",[43]!Arp(K317,M317,ARP_Threshold))</f>
        <v xml:space="preserve"> </v>
      </c>
      <c r="O317" s="578" t="e">
        <f ca="1">IF(AND(K317="",M317="")," ",[43]!Ara(K317,M317,ARA_Threshold))</f>
        <v>#NAME?</v>
      </c>
    </row>
    <row r="318" spans="1:15" s="580" customFormat="1" ht="16.5" outlineLevel="1" thickTop="1" thickBot="1">
      <c r="A318" s="580" t="s">
        <v>601</v>
      </c>
      <c r="B318" s="585" t="s">
        <v>764</v>
      </c>
      <c r="C318" s="585" t="s">
        <v>595</v>
      </c>
      <c r="D318" s="587" t="s">
        <v>764</v>
      </c>
      <c r="E318" s="589" t="s">
        <v>602</v>
      </c>
      <c r="F318" s="595">
        <v>30545</v>
      </c>
      <c r="G318" s="576"/>
      <c r="H318" s="595">
        <v>0</v>
      </c>
      <c r="I318" s="595">
        <v>30545</v>
      </c>
      <c r="J318" s="595">
        <v>0</v>
      </c>
      <c r="K318" s="1322">
        <f>SUM(K315:K316)+3</f>
        <v>6704.5815499999999</v>
      </c>
      <c r="L318" s="576"/>
      <c r="M318" s="595">
        <v>16526</v>
      </c>
      <c r="N318" s="577" t="e">
        <f ca="1">IF(OR(M318=0,M318="")," ",[43]!Arp(K318,M318,ARP_Threshold))</f>
        <v>#NAME?</v>
      </c>
      <c r="O318" s="578" t="e">
        <f ca="1">IF(AND(K318="",M318="")," ",[43]!Ara(K318,M318,ARA_Threshold))</f>
        <v>#NAME?</v>
      </c>
    </row>
    <row r="319" spans="1:15" s="580" customFormat="1" ht="15.75" outlineLevel="1" thickTop="1">
      <c r="A319" s="580" t="s">
        <v>603</v>
      </c>
      <c r="B319" s="585" t="s">
        <v>764</v>
      </c>
      <c r="C319" s="585" t="s">
        <v>764</v>
      </c>
      <c r="D319" s="587" t="s">
        <v>764</v>
      </c>
      <c r="F319" s="575"/>
      <c r="G319" s="584"/>
      <c r="H319" s="575"/>
      <c r="I319" s="575"/>
      <c r="J319" s="575"/>
      <c r="K319" s="575"/>
      <c r="L319" s="576"/>
      <c r="M319" s="575"/>
      <c r="N319" s="577" t="str">
        <f>IF(OR(M319=0,M319="")," ",[43]!Arp(K319,M319,ARP_Threshold))</f>
        <v xml:space="preserve"> </v>
      </c>
      <c r="O319" s="578" t="str">
        <f>IF(AND(K319="",M319="")," ",[43]!Ara(K319,M319,ARA_Threshold))</f>
        <v xml:space="preserve"> </v>
      </c>
    </row>
    <row r="320" spans="1:15" s="580" customFormat="1" ht="15.75" customHeight="1" outlineLevel="2" thickBot="1">
      <c r="A320" s="580" t="s">
        <v>604</v>
      </c>
      <c r="B320" s="585" t="s">
        <v>764</v>
      </c>
      <c r="C320" s="585" t="s">
        <v>605</v>
      </c>
      <c r="D320" s="587" t="s">
        <v>880</v>
      </c>
      <c r="E320" s="580" t="s">
        <v>606</v>
      </c>
      <c r="F320" s="590">
        <v>1227</v>
      </c>
      <c r="G320" s="576"/>
      <c r="H320" s="590">
        <v>0</v>
      </c>
      <c r="I320" s="590">
        <v>1227</v>
      </c>
      <c r="J320" s="590">
        <v>0</v>
      </c>
      <c r="K320" s="590">
        <v>365.35</v>
      </c>
      <c r="L320" s="584"/>
      <c r="M320" s="590">
        <v>2121</v>
      </c>
      <c r="N320" s="577" t="e">
        <f ca="1">IF(OR(M320=0,M320="")," ",[43]!Arp(K320,M320,ARP_Threshold))</f>
        <v>#NAME?</v>
      </c>
      <c r="O320" s="578" t="e">
        <f ca="1">IF(AND(K320="",M320="")," ",[43]!Ara(K320,M320,ARA_Threshold))</f>
        <v>#NAME?</v>
      </c>
    </row>
    <row r="321" spans="1:15" s="580" customFormat="1" ht="16.5" outlineLevel="1" thickTop="1" thickBot="1">
      <c r="A321" s="580" t="s">
        <v>607</v>
      </c>
      <c r="B321" s="585" t="s">
        <v>764</v>
      </c>
      <c r="C321" s="585" t="s">
        <v>605</v>
      </c>
      <c r="D321" s="587" t="s">
        <v>764</v>
      </c>
      <c r="E321" s="589" t="s">
        <v>608</v>
      </c>
      <c r="F321" s="595">
        <v>1227</v>
      </c>
      <c r="G321" s="576"/>
      <c r="H321" s="595">
        <v>0</v>
      </c>
      <c r="I321" s="595">
        <v>1227</v>
      </c>
      <c r="J321" s="595">
        <v>0</v>
      </c>
      <c r="K321" s="1322">
        <f>SUM(K320:K320)</f>
        <v>365.35</v>
      </c>
      <c r="L321" s="576"/>
      <c r="M321" s="595">
        <v>2121</v>
      </c>
      <c r="N321" s="577" t="e">
        <f ca="1">IF(OR(M321=0,M321="")," ",[43]!Arp(K321,M321,ARP_Threshold))</f>
        <v>#NAME?</v>
      </c>
      <c r="O321" s="578" t="e">
        <f ca="1">IF(AND(K321="",M321="")," ",[43]!Ara(K321,M321,ARA_Threshold))</f>
        <v>#NAME?</v>
      </c>
    </row>
    <row r="322" spans="1:15" s="580" customFormat="1" ht="15.75" outlineLevel="1" thickTop="1">
      <c r="A322" s="580" t="s">
        <v>609</v>
      </c>
      <c r="B322" s="585" t="s">
        <v>764</v>
      </c>
      <c r="C322" s="585" t="s">
        <v>764</v>
      </c>
      <c r="D322" s="587" t="s">
        <v>764</v>
      </c>
      <c r="F322" s="575"/>
      <c r="G322" s="584"/>
      <c r="H322" s="575"/>
      <c r="I322" s="575"/>
      <c r="J322" s="575"/>
      <c r="K322" s="575"/>
      <c r="L322" s="576"/>
      <c r="M322" s="575"/>
      <c r="N322" s="577" t="str">
        <f>IF(OR(M322=0,M322="")," ",[43]!Arp(K322,M322,ARP_Threshold))</f>
        <v xml:space="preserve"> </v>
      </c>
      <c r="O322" s="578" t="str">
        <f>IF(AND(K322="",M322="")," ",[43]!Ara(K322,M322,ARA_Threshold))</f>
        <v xml:space="preserve"> </v>
      </c>
    </row>
    <row r="323" spans="1:15" s="580" customFormat="1" ht="15.75" customHeight="1" outlineLevel="2" thickBot="1">
      <c r="A323" s="580" t="s">
        <v>610</v>
      </c>
      <c r="B323" s="585" t="s">
        <v>764</v>
      </c>
      <c r="C323" s="585" t="s">
        <v>611</v>
      </c>
      <c r="D323" s="587" t="s">
        <v>882</v>
      </c>
      <c r="E323" s="580" t="s">
        <v>612</v>
      </c>
      <c r="F323" s="590">
        <v>327</v>
      </c>
      <c r="G323" s="576"/>
      <c r="H323" s="590">
        <v>0</v>
      </c>
      <c r="I323" s="590">
        <v>327</v>
      </c>
      <c r="J323" s="590">
        <v>0</v>
      </c>
      <c r="K323" s="590">
        <v>97.126999999999995</v>
      </c>
      <c r="L323" s="584"/>
      <c r="M323" s="590">
        <v>1121</v>
      </c>
      <c r="N323" s="577" t="e">
        <f ca="1">IF(OR(M323=0,M323="")," ",[43]!Arp(K323,M323,ARP_Threshold))</f>
        <v>#NAME?</v>
      </c>
      <c r="O323" s="578" t="e">
        <f ca="1">IF(AND(K323="",M323="")," ",[43]!Ara(K323,M323,ARA_Threshold))</f>
        <v>#NAME?</v>
      </c>
    </row>
    <row r="324" spans="1:15" s="580" customFormat="1" ht="16.5" outlineLevel="1" thickTop="1" thickBot="1">
      <c r="A324" s="580" t="s">
        <v>613</v>
      </c>
      <c r="B324" s="585" t="s">
        <v>764</v>
      </c>
      <c r="C324" s="585" t="s">
        <v>611</v>
      </c>
      <c r="D324" s="587" t="s">
        <v>764</v>
      </c>
      <c r="E324" s="589" t="s">
        <v>614</v>
      </c>
      <c r="F324" s="595">
        <v>327</v>
      </c>
      <c r="G324" s="576"/>
      <c r="H324" s="595">
        <v>0</v>
      </c>
      <c r="I324" s="595">
        <v>327</v>
      </c>
      <c r="J324" s="595">
        <v>0</v>
      </c>
      <c r="K324" s="1322">
        <v>97</v>
      </c>
      <c r="L324" s="576"/>
      <c r="M324" s="595">
        <v>1121</v>
      </c>
      <c r="N324" s="577" t="e">
        <f ca="1">IF(OR(M324=0,M324="")," ",[43]!Arp(K324,M324,ARP_Threshold))</f>
        <v>#NAME?</v>
      </c>
      <c r="O324" s="578" t="e">
        <f ca="1">IF(AND(K324="",M324="")," ",[43]!Ara(K324,M324,ARA_Threshold))</f>
        <v>#NAME?</v>
      </c>
    </row>
    <row r="325" spans="1:15" s="580" customFormat="1" ht="15.75" outlineLevel="1" thickTop="1">
      <c r="A325" s="580" t="s">
        <v>615</v>
      </c>
      <c r="B325" s="585" t="s">
        <v>764</v>
      </c>
      <c r="C325" s="585" t="s">
        <v>764</v>
      </c>
      <c r="D325" s="587" t="s">
        <v>764</v>
      </c>
      <c r="F325" s="575"/>
      <c r="G325" s="576"/>
      <c r="H325" s="575"/>
      <c r="I325" s="575"/>
      <c r="J325" s="575"/>
      <c r="K325" s="575"/>
      <c r="L325" s="576"/>
      <c r="M325" s="575"/>
      <c r="N325" s="577" t="str">
        <f>IF(OR(M325=0,M325="")," ",[43]!Arp(K325,M325,ARP_Threshold))</f>
        <v xml:space="preserve"> </v>
      </c>
      <c r="O325" s="578" t="str">
        <f>IF(AND(K325="",M325="")," ",[43]!Ara(K325,M325,ARA_Threshold))</f>
        <v xml:space="preserve"> </v>
      </c>
    </row>
    <row r="326" spans="1:15" s="580" customFormat="1" ht="15" customHeight="1" outlineLevel="2">
      <c r="A326" s="580" t="s">
        <v>616</v>
      </c>
      <c r="B326" s="585" t="s">
        <v>764</v>
      </c>
      <c r="C326" s="585" t="s">
        <v>617</v>
      </c>
      <c r="D326" s="587" t="s">
        <v>885</v>
      </c>
      <c r="E326" s="580" t="s">
        <v>618</v>
      </c>
      <c r="F326" s="575">
        <v>0</v>
      </c>
      <c r="G326" s="584"/>
      <c r="H326" s="575">
        <v>0</v>
      </c>
      <c r="I326" s="575">
        <v>0</v>
      </c>
      <c r="J326" s="575">
        <v>0</v>
      </c>
      <c r="K326" s="575">
        <v>2235.8786500000001</v>
      </c>
      <c r="L326" s="576"/>
      <c r="M326" s="575">
        <v>0</v>
      </c>
      <c r="N326" s="577" t="str">
        <f>IF(OR(M326=0,M326="")," ",[43]!Arp(K326,M326,ARP_Threshold))</f>
        <v xml:space="preserve"> </v>
      </c>
      <c r="O326" s="578" t="e">
        <f ca="1">IF(AND(K326="",M326="")," ",[43]!Ara(K326,M326,ARA_Threshold))</f>
        <v>#NAME?</v>
      </c>
    </row>
    <row r="327" spans="1:15" s="580" customFormat="1" ht="15" customHeight="1" outlineLevel="2" thickBot="1">
      <c r="A327" s="580" t="s">
        <v>619</v>
      </c>
      <c r="B327" s="585" t="s">
        <v>764</v>
      </c>
      <c r="C327" s="585" t="s">
        <v>617</v>
      </c>
      <c r="D327" s="587" t="s">
        <v>886</v>
      </c>
      <c r="E327" s="580" t="s">
        <v>620</v>
      </c>
      <c r="F327" s="590">
        <v>719</v>
      </c>
      <c r="G327" s="576"/>
      <c r="H327" s="590">
        <v>0</v>
      </c>
      <c r="I327" s="590">
        <v>719</v>
      </c>
      <c r="J327" s="590">
        <v>0</v>
      </c>
      <c r="K327" s="590">
        <v>165.79489999999998</v>
      </c>
      <c r="L327" s="584"/>
      <c r="M327" s="590">
        <v>81</v>
      </c>
      <c r="N327" s="577" t="e">
        <f ca="1">IF(OR(M327=0,M327="")," ",[43]!Arp(K327,M327,ARP_Threshold))</f>
        <v>#NAME?</v>
      </c>
      <c r="O327" s="578" t="e">
        <f ca="1">IF(AND(K327="",M327="")," ",[43]!Ara(K327,M327,ARA_Threshold))</f>
        <v>#NAME?</v>
      </c>
    </row>
    <row r="328" spans="1:15" s="580" customFormat="1" ht="16.5" outlineLevel="1" thickTop="1" thickBot="1">
      <c r="A328" s="580" t="s">
        <v>624</v>
      </c>
      <c r="B328" s="585" t="s">
        <v>764</v>
      </c>
      <c r="C328" s="585" t="s">
        <v>617</v>
      </c>
      <c r="D328" s="587" t="s">
        <v>764</v>
      </c>
      <c r="E328" s="589" t="s">
        <v>625</v>
      </c>
      <c r="F328" s="595">
        <v>719</v>
      </c>
      <c r="G328" s="576"/>
      <c r="H328" s="595">
        <v>0</v>
      </c>
      <c r="I328" s="595">
        <v>719</v>
      </c>
      <c r="J328" s="595">
        <v>0</v>
      </c>
      <c r="K328" s="1322">
        <f>SUM(K326:K327)</f>
        <v>2401.67355</v>
      </c>
      <c r="L328" s="576"/>
      <c r="M328" s="595">
        <v>81</v>
      </c>
      <c r="N328" s="577" t="e">
        <f ca="1">IF(OR(M328=0,M328="")," ",[43]!Arp(K328,M328,ARP_Threshold))</f>
        <v>#NAME?</v>
      </c>
      <c r="O328" s="578" t="e">
        <f ca="1">IF(AND(K328="",M328="")," ",[43]!Ara(K328,M328,ARA_Threshold))</f>
        <v>#NAME?</v>
      </c>
    </row>
    <row r="329" spans="1:15" s="580" customFormat="1" ht="16.5" outlineLevel="1" thickTop="1" thickBot="1">
      <c r="A329" s="580" t="s">
        <v>626</v>
      </c>
      <c r="B329" s="585" t="s">
        <v>764</v>
      </c>
      <c r="C329" s="585" t="s">
        <v>764</v>
      </c>
      <c r="D329" s="587" t="s">
        <v>764</v>
      </c>
      <c r="F329" s="575"/>
      <c r="G329" s="576"/>
      <c r="H329" s="575"/>
      <c r="I329" s="575"/>
      <c r="J329" s="575"/>
      <c r="K329" s="575"/>
      <c r="L329" s="576"/>
      <c r="M329" s="575"/>
      <c r="N329" s="577" t="str">
        <f>IF(OR(M329=0,M329="")," ",[43]!Arp(K329,M329,ARP_Threshold))</f>
        <v xml:space="preserve"> </v>
      </c>
      <c r="O329" s="578" t="str">
        <f>IF(AND(K329="",M329="")," ",[43]!Ara(K329,M329,ARA_Threshold))</f>
        <v xml:space="preserve"> </v>
      </c>
    </row>
    <row r="330" spans="1:15" s="580" customFormat="1" ht="16.5" outlineLevel="1" thickTop="1" thickBot="1">
      <c r="A330" s="580" t="s">
        <v>627</v>
      </c>
      <c r="B330" s="585" t="s">
        <v>764</v>
      </c>
      <c r="C330" s="585" t="s">
        <v>628</v>
      </c>
      <c r="D330" s="587" t="s">
        <v>764</v>
      </c>
      <c r="E330" s="589" t="s">
        <v>629</v>
      </c>
      <c r="F330" s="579">
        <v>0</v>
      </c>
      <c r="G330" s="576"/>
      <c r="H330" s="579">
        <v>0</v>
      </c>
      <c r="I330" s="579">
        <v>0</v>
      </c>
      <c r="J330" s="579">
        <v>0</v>
      </c>
      <c r="K330" s="579">
        <v>0</v>
      </c>
      <c r="L330" s="576"/>
      <c r="M330" s="579">
        <v>0</v>
      </c>
      <c r="N330" s="577" t="str">
        <f>IF(OR(M330=0,M330="")," ",[43]!Arp(K330,M330,ARP_Threshold))</f>
        <v xml:space="preserve"> </v>
      </c>
      <c r="O330" s="578" t="e">
        <f ca="1">IF(AND(K330="",M330="")," ",[43]!Ara(K330,M330,ARA_Threshold))</f>
        <v>#NAME?</v>
      </c>
    </row>
    <row r="331" spans="1:15" s="580" customFormat="1" ht="16.5" outlineLevel="1" thickTop="1" thickBot="1">
      <c r="A331" s="580" t="s">
        <v>630</v>
      </c>
      <c r="B331" s="585" t="s">
        <v>764</v>
      </c>
      <c r="C331" s="585" t="s">
        <v>764</v>
      </c>
      <c r="D331" s="587" t="s">
        <v>764</v>
      </c>
      <c r="F331" s="575"/>
      <c r="G331" s="576"/>
      <c r="H331" s="575"/>
      <c r="I331" s="575"/>
      <c r="J331" s="575"/>
      <c r="K331" s="575"/>
      <c r="L331" s="576"/>
      <c r="M331" s="575"/>
      <c r="N331" s="577" t="str">
        <f>IF(OR(M331=0,M331="")," ",[43]!Arp(K331,M331,ARP_Threshold))</f>
        <v xml:space="preserve"> </v>
      </c>
      <c r="O331" s="578" t="str">
        <f>IF(AND(K331="",M331="")," ",[43]!Ara(K331,M331,ARA_Threshold))</f>
        <v xml:space="preserve"> </v>
      </c>
    </row>
    <row r="332" spans="1:15" s="580" customFormat="1" ht="16.5" outlineLevel="1" thickTop="1" thickBot="1">
      <c r="A332" s="580" t="s">
        <v>631</v>
      </c>
      <c r="B332" s="585" t="s">
        <v>764</v>
      </c>
      <c r="C332" s="585" t="s">
        <v>632</v>
      </c>
      <c r="D332" s="587" t="s">
        <v>764</v>
      </c>
      <c r="E332" s="589" t="s">
        <v>633</v>
      </c>
      <c r="F332" s="579">
        <v>0</v>
      </c>
      <c r="G332" s="576"/>
      <c r="H332" s="579">
        <v>0</v>
      </c>
      <c r="I332" s="579">
        <v>0</v>
      </c>
      <c r="J332" s="579">
        <v>0</v>
      </c>
      <c r="K332" s="579">
        <v>0</v>
      </c>
      <c r="L332" s="576"/>
      <c r="M332" s="579">
        <v>0</v>
      </c>
      <c r="N332" s="577" t="str">
        <f>IF(OR(M332=0,M332="")," ",[43]!Arp(K332,M332,ARP_Threshold))</f>
        <v xml:space="preserve"> </v>
      </c>
      <c r="O332" s="578" t="e">
        <f ca="1">IF(AND(K332="",M332="")," ",[43]!Ara(K332,M332,ARA_Threshold))</f>
        <v>#NAME?</v>
      </c>
    </row>
    <row r="333" spans="1:15" s="580" customFormat="1" ht="15.75" outlineLevel="1" thickTop="1">
      <c r="A333" s="580" t="s">
        <v>634</v>
      </c>
      <c r="B333" s="585" t="s">
        <v>764</v>
      </c>
      <c r="C333" s="585" t="s">
        <v>764</v>
      </c>
      <c r="D333" s="587" t="s">
        <v>764</v>
      </c>
      <c r="F333" s="575"/>
      <c r="G333" s="576"/>
      <c r="H333" s="575"/>
      <c r="I333" s="575"/>
      <c r="J333" s="575"/>
      <c r="K333" s="575"/>
      <c r="L333" s="576"/>
      <c r="M333" s="575"/>
      <c r="N333" s="577" t="str">
        <f>IF(OR(M333=0,M333="")," ",[43]!Arp(K333,M333,ARP_Threshold))</f>
        <v xml:space="preserve"> </v>
      </c>
      <c r="O333" s="578" t="str">
        <f>IF(AND(K333="",M333="")," ",[43]!Ara(K333,M333,ARA_Threshold))</f>
        <v xml:space="preserve"> </v>
      </c>
    </row>
    <row r="334" spans="1:15" s="580" customFormat="1" ht="15" customHeight="1" outlineLevel="2">
      <c r="A334" s="580" t="s">
        <v>635</v>
      </c>
      <c r="B334" s="585" t="s">
        <v>764</v>
      </c>
      <c r="C334" s="585" t="s">
        <v>636</v>
      </c>
      <c r="D334" s="587" t="s">
        <v>1800</v>
      </c>
      <c r="E334" s="580" t="s">
        <v>637</v>
      </c>
      <c r="F334" s="575">
        <v>78</v>
      </c>
      <c r="G334" s="576"/>
      <c r="H334" s="575">
        <v>0</v>
      </c>
      <c r="I334" s="575">
        <v>78</v>
      </c>
      <c r="J334" s="575">
        <v>0</v>
      </c>
      <c r="K334" s="1334">
        <v>5.0679999999999996</v>
      </c>
      <c r="L334" s="576"/>
      <c r="M334" s="575">
        <v>31</v>
      </c>
      <c r="N334" s="577" t="e">
        <f ca="1">IF(OR(M334=0,M334="")," ",[43]!Arp(K334,M334,ARP_Threshold))</f>
        <v>#NAME?</v>
      </c>
      <c r="O334" s="578" t="e">
        <f ca="1">IF(AND(K334="",M334="")," ",[43]!Ara(K334,M334,ARA_Threshold))</f>
        <v>#NAME?</v>
      </c>
    </row>
    <row r="335" spans="1:15" s="580" customFormat="1" ht="15" customHeight="1" outlineLevel="2">
      <c r="A335" s="580" t="s">
        <v>638</v>
      </c>
      <c r="B335" s="585" t="s">
        <v>764</v>
      </c>
      <c r="C335" s="585" t="s">
        <v>636</v>
      </c>
      <c r="D335" s="587" t="s">
        <v>1801</v>
      </c>
      <c r="E335" s="580" t="s">
        <v>640</v>
      </c>
      <c r="F335" s="575">
        <v>0</v>
      </c>
      <c r="G335" s="576"/>
      <c r="H335" s="575">
        <v>0</v>
      </c>
      <c r="I335" s="575">
        <v>0</v>
      </c>
      <c r="J335" s="575">
        <v>0</v>
      </c>
      <c r="K335" s="1334">
        <v>0.1</v>
      </c>
      <c r="L335" s="576"/>
      <c r="M335" s="575">
        <v>2</v>
      </c>
      <c r="N335" s="577" t="e">
        <f ca="1">IF(OR(M335=0,M335="")," ",[43]!Arp(K335,M335,ARP_Threshold))</f>
        <v>#NAME?</v>
      </c>
      <c r="O335" s="578" t="e">
        <f ca="1">IF(AND(K335="",M335="")," ",[43]!Ara(K335,M335,ARA_Threshold))</f>
        <v>#NAME?</v>
      </c>
    </row>
    <row r="336" spans="1:15" s="580" customFormat="1" ht="15" customHeight="1" outlineLevel="2">
      <c r="A336" s="580" t="s">
        <v>639</v>
      </c>
      <c r="B336" s="585" t="s">
        <v>764</v>
      </c>
      <c r="C336" s="585" t="s">
        <v>636</v>
      </c>
      <c r="D336" s="587" t="s">
        <v>1802</v>
      </c>
      <c r="E336" s="580" t="s">
        <v>642</v>
      </c>
      <c r="F336" s="575">
        <v>1</v>
      </c>
      <c r="G336" s="576"/>
      <c r="H336" s="575">
        <v>0</v>
      </c>
      <c r="I336" s="575">
        <v>1</v>
      </c>
      <c r="J336" s="575">
        <v>0</v>
      </c>
      <c r="K336" s="1334">
        <v>0.38800000000000001</v>
      </c>
      <c r="L336" s="576"/>
      <c r="M336" s="575">
        <v>0</v>
      </c>
      <c r="N336" s="577" t="str">
        <f>IF(OR(M336=0,M336="")," ",[43]!Arp(K336,M336,ARP_Threshold))</f>
        <v xml:space="preserve"> </v>
      </c>
      <c r="O336" s="578" t="e">
        <f ca="1">IF(AND(K336="",M336="")," ",[43]!Ara(K336,M336,ARA_Threshold))</f>
        <v>#NAME?</v>
      </c>
    </row>
    <row r="337" spans="1:15" s="580" customFormat="1" ht="15" customHeight="1" outlineLevel="2">
      <c r="A337" s="580" t="s">
        <v>641</v>
      </c>
      <c r="B337" s="585" t="s">
        <v>764</v>
      </c>
      <c r="C337" s="585" t="s">
        <v>636</v>
      </c>
      <c r="D337" s="587" t="s">
        <v>1803</v>
      </c>
      <c r="E337" s="580" t="s">
        <v>644</v>
      </c>
      <c r="F337" s="575">
        <v>2</v>
      </c>
      <c r="G337" s="576"/>
      <c r="H337" s="575">
        <v>0</v>
      </c>
      <c r="I337" s="575">
        <v>2</v>
      </c>
      <c r="J337" s="575">
        <v>0</v>
      </c>
      <c r="K337" s="1334">
        <v>24.338000000000001</v>
      </c>
      <c r="L337" s="576"/>
      <c r="M337" s="575">
        <v>0</v>
      </c>
      <c r="N337" s="577" t="str">
        <f>IF(OR(M337=0,M337="")," ",[43]!Arp(K337,M337,ARP_Threshold))</f>
        <v xml:space="preserve"> </v>
      </c>
      <c r="O337" s="578" t="e">
        <f ca="1">IF(AND(K337="",M337="")," ",[43]!Ara(K337,M337,ARA_Threshold))</f>
        <v>#NAME?</v>
      </c>
    </row>
    <row r="338" spans="1:15" s="580" customFormat="1" ht="15" customHeight="1" outlineLevel="2">
      <c r="A338" s="580" t="s">
        <v>643</v>
      </c>
      <c r="B338" s="585" t="s">
        <v>764</v>
      </c>
      <c r="C338" s="585" t="s">
        <v>636</v>
      </c>
      <c r="D338" s="587" t="s">
        <v>1804</v>
      </c>
      <c r="E338" s="580" t="s">
        <v>646</v>
      </c>
      <c r="F338" s="575">
        <v>213</v>
      </c>
      <c r="G338" s="576"/>
      <c r="H338" s="575">
        <v>0</v>
      </c>
      <c r="I338" s="575">
        <v>213</v>
      </c>
      <c r="J338" s="575">
        <v>0</v>
      </c>
      <c r="K338" s="1334">
        <v>5.99</v>
      </c>
      <c r="L338" s="576"/>
      <c r="M338" s="575">
        <v>66</v>
      </c>
      <c r="N338" s="577" t="e">
        <f ca="1">IF(OR(M338=0,M338="")," ",[43]!Arp(K338,M338,ARP_Threshold))</f>
        <v>#NAME?</v>
      </c>
      <c r="O338" s="578" t="e">
        <f ca="1">IF(AND(K338="",M338="")," ",[43]!Ara(K338,M338,ARA_Threshold))</f>
        <v>#NAME?</v>
      </c>
    </row>
    <row r="339" spans="1:15" s="580" customFormat="1" ht="15" customHeight="1" outlineLevel="2">
      <c r="A339" s="580" t="s">
        <v>645</v>
      </c>
      <c r="B339" s="585" t="s">
        <v>764</v>
      </c>
      <c r="C339" s="585" t="s">
        <v>636</v>
      </c>
      <c r="D339" s="587" t="s">
        <v>1805</v>
      </c>
      <c r="E339" s="580" t="s">
        <v>650</v>
      </c>
      <c r="F339" s="575">
        <v>37</v>
      </c>
      <c r="G339" s="576"/>
      <c r="H339" s="575">
        <v>0</v>
      </c>
      <c r="I339" s="575">
        <v>37</v>
      </c>
      <c r="J339" s="575">
        <v>0</v>
      </c>
      <c r="K339" s="1334">
        <v>3.5700000000000003E-3</v>
      </c>
      <c r="L339" s="576"/>
      <c r="M339" s="575">
        <v>35</v>
      </c>
      <c r="N339" s="577" t="e">
        <f ca="1">IF(OR(M339=0,M339="")," ",[43]!Arp(K339,M339,ARP_Threshold))</f>
        <v>#NAME?</v>
      </c>
      <c r="O339" s="578" t="e">
        <f ca="1">IF(AND(K339="",M339="")," ",[43]!Ara(K339,M339,ARA_Threshold))</f>
        <v>#NAME?</v>
      </c>
    </row>
    <row r="340" spans="1:15" s="580" customFormat="1" ht="15" customHeight="1" outlineLevel="2">
      <c r="A340" s="580" t="s">
        <v>647</v>
      </c>
      <c r="B340" s="585" t="s">
        <v>764</v>
      </c>
      <c r="C340" s="585" t="s">
        <v>636</v>
      </c>
      <c r="D340" s="587" t="s">
        <v>1806</v>
      </c>
      <c r="E340" s="580" t="s">
        <v>651</v>
      </c>
      <c r="F340" s="575">
        <v>0</v>
      </c>
      <c r="G340" s="576"/>
      <c r="H340" s="575">
        <v>0</v>
      </c>
      <c r="I340" s="575">
        <v>0</v>
      </c>
      <c r="J340" s="575">
        <v>0</v>
      </c>
      <c r="K340" s="1334">
        <v>0.19835</v>
      </c>
      <c r="L340" s="576"/>
      <c r="M340" s="575">
        <v>0</v>
      </c>
      <c r="N340" s="577" t="str">
        <f>IF(OR(M340=0,M340="")," ",[43]!Arp(K340,M340,ARP_Threshold))</f>
        <v xml:space="preserve"> </v>
      </c>
      <c r="O340" s="578" t="e">
        <f ca="1">IF(AND(K340="",M340="")," ",[43]!Ara(K340,M340,ARA_Threshold))</f>
        <v>#NAME?</v>
      </c>
    </row>
    <row r="341" spans="1:15" s="580" customFormat="1" ht="15" customHeight="1" outlineLevel="2">
      <c r="A341" s="580" t="s">
        <v>648</v>
      </c>
      <c r="B341" s="585" t="s">
        <v>764</v>
      </c>
      <c r="C341" s="585" t="s">
        <v>636</v>
      </c>
      <c r="D341" s="587" t="s">
        <v>1807</v>
      </c>
      <c r="E341" s="580" t="s">
        <v>652</v>
      </c>
      <c r="F341" s="575">
        <v>0</v>
      </c>
      <c r="G341" s="576"/>
      <c r="H341" s="575">
        <v>0</v>
      </c>
      <c r="I341" s="575">
        <v>0</v>
      </c>
      <c r="J341" s="575">
        <v>0</v>
      </c>
      <c r="K341" s="1334">
        <v>4.0000000000000001E-3</v>
      </c>
      <c r="L341" s="576"/>
      <c r="M341" s="575">
        <v>0</v>
      </c>
      <c r="N341" s="577" t="str">
        <f>IF(OR(M341=0,M341="")," ",[43]!Arp(K341,M341,ARP_Threshold))</f>
        <v xml:space="preserve"> </v>
      </c>
      <c r="O341" s="578" t="e">
        <f ca="1">IF(AND(K341="",M341="")," ",[43]!Ara(K341,M341,ARA_Threshold))</f>
        <v>#NAME?</v>
      </c>
    </row>
    <row r="342" spans="1:15" s="580" customFormat="1" ht="15" customHeight="1" outlineLevel="2" thickBot="1">
      <c r="A342" s="580" t="s">
        <v>649</v>
      </c>
      <c r="B342" s="585" t="s">
        <v>764</v>
      </c>
      <c r="C342" s="585" t="s">
        <v>636</v>
      </c>
      <c r="D342" s="587" t="s">
        <v>1808</v>
      </c>
      <c r="E342" s="580" t="s">
        <v>653</v>
      </c>
      <c r="F342" s="575">
        <v>0</v>
      </c>
      <c r="G342" s="576"/>
      <c r="H342" s="575">
        <v>0</v>
      </c>
      <c r="I342" s="575">
        <v>0</v>
      </c>
      <c r="J342" s="575">
        <v>0</v>
      </c>
      <c r="K342" s="1334">
        <v>0.05</v>
      </c>
      <c r="L342" s="576"/>
      <c r="M342" s="575">
        <v>0</v>
      </c>
      <c r="N342" s="577" t="str">
        <f>IF(OR(M342=0,M342="")," ",[43]!Arp(K342,M342,ARP_Threshold))</f>
        <v xml:space="preserve"> </v>
      </c>
      <c r="O342" s="578" t="e">
        <f ca="1">IF(AND(K342="",M342="")," ",[43]!Ara(K342,M342,ARA_Threshold))</f>
        <v>#NAME?</v>
      </c>
    </row>
    <row r="343" spans="1:15" s="580" customFormat="1" ht="16.5" outlineLevel="1" thickTop="1" thickBot="1">
      <c r="A343" s="580" t="s">
        <v>654</v>
      </c>
      <c r="B343" s="585" t="s">
        <v>764</v>
      </c>
      <c r="C343" s="585" t="s">
        <v>636</v>
      </c>
      <c r="D343" s="587" t="s">
        <v>764</v>
      </c>
      <c r="E343" s="589" t="s">
        <v>655</v>
      </c>
      <c r="F343" s="595">
        <v>361</v>
      </c>
      <c r="G343" s="576"/>
      <c r="H343" s="595">
        <v>0</v>
      </c>
      <c r="I343" s="595">
        <v>361</v>
      </c>
      <c r="J343" s="595">
        <v>0</v>
      </c>
      <c r="K343" s="1330">
        <f>SUM(K334:K342)</f>
        <v>36.139919999999996</v>
      </c>
      <c r="L343" s="576"/>
      <c r="M343" s="595">
        <v>205</v>
      </c>
      <c r="N343" s="577" t="e">
        <f ca="1">IF(OR(M343=0,M343="")," ",[43]!Arp(K343,M343,ARP_Threshold))</f>
        <v>#NAME?</v>
      </c>
      <c r="O343" s="578" t="e">
        <f ca="1">IF(AND(K343="",M343="")," ",[43]!Ara(K343,M343,ARA_Threshold))</f>
        <v>#NAME?</v>
      </c>
    </row>
    <row r="344" spans="1:15" s="580" customFormat="1" ht="15.75" outlineLevel="1" thickTop="1">
      <c r="A344" s="580" t="s">
        <v>656</v>
      </c>
      <c r="B344" s="585" t="s">
        <v>764</v>
      </c>
      <c r="C344" s="585" t="s">
        <v>764</v>
      </c>
      <c r="D344" s="587" t="s">
        <v>764</v>
      </c>
      <c r="F344" s="575"/>
      <c r="G344" s="584"/>
      <c r="H344" s="575"/>
      <c r="I344" s="575"/>
      <c r="J344" s="575"/>
      <c r="K344" s="575"/>
      <c r="L344" s="576"/>
      <c r="M344" s="575"/>
      <c r="N344" s="577" t="str">
        <f>IF(OR(M344=0,M344="")," ",[43]!Arp(K344,M344,ARP_Threshold))</f>
        <v xml:space="preserve"> </v>
      </c>
      <c r="O344" s="578" t="str">
        <f>IF(AND(K344="",M344="")," ",[43]!Ara(K344,M344,ARA_Threshold))</f>
        <v xml:space="preserve"> </v>
      </c>
    </row>
    <row r="345" spans="1:15" s="580" customFormat="1" ht="15.75" outlineLevel="2" thickBot="1">
      <c r="A345" s="580" t="s">
        <v>1361</v>
      </c>
      <c r="B345" s="585" t="s">
        <v>764</v>
      </c>
      <c r="C345" s="585" t="s">
        <v>658</v>
      </c>
      <c r="D345" s="587" t="s">
        <v>893</v>
      </c>
      <c r="E345" s="587" t="s">
        <v>661</v>
      </c>
      <c r="F345" s="590">
        <v>225</v>
      </c>
      <c r="G345" s="576"/>
      <c r="H345" s="590">
        <v>0</v>
      </c>
      <c r="I345" s="590">
        <v>225</v>
      </c>
      <c r="J345" s="590">
        <v>0</v>
      </c>
      <c r="K345" s="590">
        <v>33.948</v>
      </c>
      <c r="L345" s="584"/>
      <c r="M345" s="590">
        <v>189</v>
      </c>
      <c r="N345" s="577" t="e">
        <f ca="1">IF(OR(M345=0,M345="")," ",[43]!Arp(K345,M345,ARP_Threshold))</f>
        <v>#NAME?</v>
      </c>
      <c r="O345" s="578" t="e">
        <f ca="1">IF(AND(K345="",M345="")," ",[43]!Ara(K345,M345,ARA_Threshold))</f>
        <v>#NAME?</v>
      </c>
    </row>
    <row r="346" spans="1:15" s="580" customFormat="1" ht="16.5" outlineLevel="1" thickTop="1" thickBot="1">
      <c r="A346" s="580" t="s">
        <v>657</v>
      </c>
      <c r="B346" s="585" t="s">
        <v>764</v>
      </c>
      <c r="C346" s="585" t="s">
        <v>658</v>
      </c>
      <c r="D346" s="587" t="s">
        <v>764</v>
      </c>
      <c r="E346" s="589" t="s">
        <v>1362</v>
      </c>
      <c r="F346" s="595">
        <v>225</v>
      </c>
      <c r="G346" s="576"/>
      <c r="H346" s="595">
        <v>0</v>
      </c>
      <c r="I346" s="595">
        <v>225</v>
      </c>
      <c r="J346" s="595">
        <v>0</v>
      </c>
      <c r="K346" s="1326">
        <v>34</v>
      </c>
      <c r="L346" s="576"/>
      <c r="M346" s="595">
        <v>189</v>
      </c>
      <c r="N346" s="577" t="e">
        <f ca="1">IF(OR(M346=0,M346="")," ",[43]!Arp(K346,M346,ARP_Threshold))</f>
        <v>#NAME?</v>
      </c>
      <c r="O346" s="578" t="e">
        <f ca="1">IF(AND(K346="",M346="")," ",[43]!Ara(K346,M346,ARA_Threshold))</f>
        <v>#NAME?</v>
      </c>
    </row>
    <row r="347" spans="1:15" s="580" customFormat="1" ht="15.75" outlineLevel="1" thickTop="1">
      <c r="A347" s="580" t="s">
        <v>659</v>
      </c>
      <c r="B347" s="585" t="s">
        <v>764</v>
      </c>
      <c r="C347" s="585" t="s">
        <v>764</v>
      </c>
      <c r="D347" s="587" t="s">
        <v>764</v>
      </c>
      <c r="F347" s="575"/>
      <c r="G347" s="576"/>
      <c r="H347" s="575"/>
      <c r="I347" s="575"/>
      <c r="J347" s="575"/>
      <c r="K347" s="575"/>
      <c r="L347" s="576"/>
      <c r="M347" s="575"/>
      <c r="N347" s="577" t="str">
        <f>IF(OR(M347=0,M347="")," ",[43]!Arp(K347,M347,ARP_Threshold))</f>
        <v xml:space="preserve"> </v>
      </c>
      <c r="O347" s="578" t="str">
        <f>IF(AND(K347="",M347="")," ",[43]!Ara(K347,M347,ARA_Threshold))</f>
        <v xml:space="preserve"> </v>
      </c>
    </row>
    <row r="348" spans="1:15" s="580" customFormat="1" ht="15" customHeight="1" outlineLevel="2">
      <c r="A348" s="580" t="s">
        <v>662</v>
      </c>
      <c r="B348" s="585" t="s">
        <v>764</v>
      </c>
      <c r="C348" s="585" t="s">
        <v>660</v>
      </c>
      <c r="D348" s="587" t="s">
        <v>1609</v>
      </c>
      <c r="E348" s="580" t="s">
        <v>663</v>
      </c>
      <c r="F348" s="575">
        <v>0</v>
      </c>
      <c r="G348" s="576"/>
      <c r="H348" s="575">
        <v>0</v>
      </c>
      <c r="I348" s="575">
        <v>0</v>
      </c>
      <c r="J348" s="575">
        <v>0</v>
      </c>
      <c r="K348" s="575">
        <v>0</v>
      </c>
      <c r="L348" s="576"/>
      <c r="M348" s="575">
        <v>0</v>
      </c>
      <c r="N348" s="577" t="str">
        <f>IF(OR(M348=0,M348="")," ",[43]!Arp(K348,M348,ARP_Threshold))</f>
        <v xml:space="preserve"> </v>
      </c>
      <c r="O348" s="578" t="e">
        <f ca="1">IF(AND(K348="",M348="")," ",[43]!Ara(K348,M348,ARA_Threshold))</f>
        <v>#NAME?</v>
      </c>
    </row>
    <row r="349" spans="1:15" s="580" customFormat="1" ht="15" customHeight="1" outlineLevel="2">
      <c r="A349" s="580" t="s">
        <v>664</v>
      </c>
      <c r="B349" s="585" t="s">
        <v>764</v>
      </c>
      <c r="C349" s="585" t="s">
        <v>660</v>
      </c>
      <c r="D349" s="587" t="s">
        <v>894</v>
      </c>
      <c r="E349" s="580" t="s">
        <v>665</v>
      </c>
      <c r="F349" s="575">
        <v>385</v>
      </c>
      <c r="G349" s="576"/>
      <c r="H349" s="575">
        <v>0</v>
      </c>
      <c r="I349" s="575">
        <v>385</v>
      </c>
      <c r="J349" s="575">
        <v>0</v>
      </c>
      <c r="K349" s="575">
        <v>101.476</v>
      </c>
      <c r="L349" s="576"/>
      <c r="M349" s="575">
        <v>366</v>
      </c>
      <c r="N349" s="577" t="e">
        <f ca="1">IF(OR(M349=0,M349="")," ",[43]!Arp(K349,M349,ARP_Threshold))</f>
        <v>#NAME?</v>
      </c>
      <c r="O349" s="578" t="e">
        <f ca="1">IF(AND(K349="",M349="")," ",[43]!Ara(K349,M349,ARA_Threshold))</f>
        <v>#NAME?</v>
      </c>
    </row>
    <row r="350" spans="1:15" s="580" customFormat="1" ht="15" customHeight="1" outlineLevel="2">
      <c r="A350" s="580" t="s">
        <v>666</v>
      </c>
      <c r="B350" s="585" t="s">
        <v>764</v>
      </c>
      <c r="C350" s="585" t="s">
        <v>660</v>
      </c>
      <c r="D350" s="587" t="s">
        <v>1610</v>
      </c>
      <c r="E350" s="580" t="s">
        <v>667</v>
      </c>
      <c r="F350" s="575">
        <v>0</v>
      </c>
      <c r="G350" s="576"/>
      <c r="H350" s="575">
        <v>0</v>
      </c>
      <c r="I350" s="575">
        <v>0</v>
      </c>
      <c r="J350" s="575">
        <v>0</v>
      </c>
      <c r="K350" s="575">
        <v>0</v>
      </c>
      <c r="L350" s="576"/>
      <c r="M350" s="575">
        <v>0</v>
      </c>
      <c r="N350" s="577" t="str">
        <f>IF(OR(M350=0,M350="")," ",[43]!Arp(K350,M350,ARP_Threshold))</f>
        <v xml:space="preserve"> </v>
      </c>
      <c r="O350" s="578" t="e">
        <f ca="1">IF(AND(K350="",M350="")," ",[43]!Ara(K350,M350,ARA_Threshold))</f>
        <v>#NAME?</v>
      </c>
    </row>
    <row r="351" spans="1:15" s="580" customFormat="1" ht="15" customHeight="1" outlineLevel="2">
      <c r="A351" s="580" t="s">
        <v>668</v>
      </c>
      <c r="B351" s="585" t="s">
        <v>764</v>
      </c>
      <c r="C351" s="585" t="s">
        <v>660</v>
      </c>
      <c r="D351" s="587" t="s">
        <v>895</v>
      </c>
      <c r="E351" s="580" t="s">
        <v>669</v>
      </c>
      <c r="F351" s="575">
        <v>39</v>
      </c>
      <c r="G351" s="576"/>
      <c r="H351" s="575">
        <v>0</v>
      </c>
      <c r="I351" s="575">
        <v>39</v>
      </c>
      <c r="J351" s="575">
        <v>0</v>
      </c>
      <c r="K351" s="575">
        <v>6.9</v>
      </c>
      <c r="L351" s="576"/>
      <c r="M351" s="575">
        <v>35</v>
      </c>
      <c r="N351" s="577" t="e">
        <f ca="1">IF(OR(M351=0,M351="")," ",[43]!Arp(K351,M351,ARP_Threshold))</f>
        <v>#NAME?</v>
      </c>
      <c r="O351" s="578" t="e">
        <f ca="1">IF(AND(K351="",M351="")," ",[43]!Ara(K351,M351,ARA_Threshold))</f>
        <v>#NAME?</v>
      </c>
    </row>
    <row r="352" spans="1:15" s="580" customFormat="1" ht="15" customHeight="1" outlineLevel="2">
      <c r="A352" s="580" t="s">
        <v>670</v>
      </c>
      <c r="B352" s="585" t="s">
        <v>764</v>
      </c>
      <c r="C352" s="585" t="s">
        <v>660</v>
      </c>
      <c r="D352" s="587" t="s">
        <v>896</v>
      </c>
      <c r="E352" s="580" t="s">
        <v>671</v>
      </c>
      <c r="F352" s="575">
        <v>251</v>
      </c>
      <c r="G352" s="584"/>
      <c r="H352" s="575">
        <v>0</v>
      </c>
      <c r="I352" s="575">
        <v>251</v>
      </c>
      <c r="J352" s="575">
        <v>0</v>
      </c>
      <c r="K352" s="575">
        <v>63.269580000000005</v>
      </c>
      <c r="L352" s="576"/>
      <c r="M352" s="575">
        <v>238</v>
      </c>
      <c r="N352" s="577" t="e">
        <f ca="1">IF(OR(M352=0,M352="")," ",[43]!Arp(K352,M352,ARP_Threshold))</f>
        <v>#NAME?</v>
      </c>
      <c r="O352" s="578" t="e">
        <f ca="1">IF(AND(K352="",M352="")," ",[43]!Ara(K352,M352,ARA_Threshold))</f>
        <v>#NAME?</v>
      </c>
    </row>
    <row r="353" spans="1:15" s="580" customFormat="1" ht="15.75" customHeight="1" outlineLevel="2" thickBot="1">
      <c r="A353" s="580" t="s">
        <v>672</v>
      </c>
      <c r="B353" s="585" t="s">
        <v>764</v>
      </c>
      <c r="C353" s="585" t="s">
        <v>660</v>
      </c>
      <c r="D353" s="587" t="s">
        <v>1611</v>
      </c>
      <c r="E353" s="580" t="s">
        <v>673</v>
      </c>
      <c r="F353" s="590">
        <v>0</v>
      </c>
      <c r="G353" s="576"/>
      <c r="H353" s="590">
        <v>0</v>
      </c>
      <c r="I353" s="590">
        <v>0</v>
      </c>
      <c r="J353" s="590">
        <v>0</v>
      </c>
      <c r="K353" s="590">
        <v>0</v>
      </c>
      <c r="L353" s="584"/>
      <c r="M353" s="590">
        <v>0</v>
      </c>
      <c r="N353" s="577" t="str">
        <f>IF(OR(M353=0,M353="")," ",[43]!Arp(K353,M353,ARP_Threshold))</f>
        <v xml:space="preserve"> </v>
      </c>
      <c r="O353" s="578" t="e">
        <f ca="1">IF(AND(K353="",M353="")," ",[43]!Ara(K353,M353,ARA_Threshold))</f>
        <v>#NAME?</v>
      </c>
    </row>
    <row r="354" spans="1:15" s="580" customFormat="1" ht="16.5" outlineLevel="1" thickTop="1" thickBot="1">
      <c r="A354" s="580" t="s">
        <v>674</v>
      </c>
      <c r="B354" s="585" t="s">
        <v>764</v>
      </c>
      <c r="C354" s="585" t="s">
        <v>660</v>
      </c>
      <c r="D354" s="587" t="s">
        <v>764</v>
      </c>
      <c r="E354" s="589" t="s">
        <v>675</v>
      </c>
      <c r="F354" s="595">
        <v>675</v>
      </c>
      <c r="G354" s="576"/>
      <c r="H354" s="595">
        <v>0</v>
      </c>
      <c r="I354" s="595">
        <v>675</v>
      </c>
      <c r="J354" s="595">
        <v>0</v>
      </c>
      <c r="K354" s="1329">
        <f>SUM(K348:K353)</f>
        <v>171.64558</v>
      </c>
      <c r="L354" s="576"/>
      <c r="M354" s="595">
        <v>639</v>
      </c>
      <c r="N354" s="577" t="e">
        <f ca="1">IF(OR(M354=0,M354="")," ",[43]!Arp(K354,M354,ARP_Threshold))</f>
        <v>#NAME?</v>
      </c>
      <c r="O354" s="578" t="e">
        <f ca="1">IF(AND(K354="",M354="")," ",[43]!Ara(K354,M354,ARA_Threshold))</f>
        <v>#NAME?</v>
      </c>
    </row>
    <row r="355" spans="1:15" s="580" customFormat="1" ht="15.75" outlineLevel="1" thickTop="1">
      <c r="A355" s="580" t="s">
        <v>676</v>
      </c>
      <c r="B355" s="585" t="s">
        <v>764</v>
      </c>
      <c r="C355" s="585" t="s">
        <v>764</v>
      </c>
      <c r="D355" s="587" t="s">
        <v>764</v>
      </c>
      <c r="F355" s="575"/>
      <c r="G355" s="584"/>
      <c r="H355" s="575"/>
      <c r="I355" s="575"/>
      <c r="J355" s="575"/>
      <c r="K355" s="575"/>
      <c r="L355" s="576"/>
      <c r="M355" s="575"/>
      <c r="N355" s="577" t="str">
        <f>IF(OR(M355=0,M355="")," ",[43]!Arp(K355,M355,ARP_Threshold))</f>
        <v xml:space="preserve"> </v>
      </c>
      <c r="O355" s="578" t="str">
        <f>IF(AND(K355="",M355="")," ",[43]!Ara(K355,M355,ARA_Threshold))</f>
        <v xml:space="preserve"> </v>
      </c>
    </row>
    <row r="356" spans="1:15" s="580" customFormat="1" ht="15.75" customHeight="1" outlineLevel="2" thickBot="1">
      <c r="A356" s="580" t="s">
        <v>677</v>
      </c>
      <c r="B356" s="585" t="s">
        <v>764</v>
      </c>
      <c r="C356" s="585" t="s">
        <v>678</v>
      </c>
      <c r="D356" s="587" t="s">
        <v>889</v>
      </c>
      <c r="E356" s="580" t="s">
        <v>679</v>
      </c>
      <c r="F356" s="590">
        <v>0</v>
      </c>
      <c r="G356" s="576"/>
      <c r="H356" s="590">
        <v>0</v>
      </c>
      <c r="I356" s="590">
        <v>0</v>
      </c>
      <c r="J356" s="590">
        <v>0</v>
      </c>
      <c r="K356" s="590">
        <v>98.382199999999997</v>
      </c>
      <c r="L356" s="584"/>
      <c r="M356" s="590">
        <v>821</v>
      </c>
      <c r="N356" s="577" t="e">
        <f ca="1">IF(OR(M356=0,M356="")," ",[43]!Arp(K356,M356,ARP_Threshold))</f>
        <v>#NAME?</v>
      </c>
      <c r="O356" s="578" t="e">
        <f ca="1">IF(AND(K356="",M356="")," ",[43]!Ara(K356,M356,ARA_Threshold))</f>
        <v>#NAME?</v>
      </c>
    </row>
    <row r="357" spans="1:15" s="580" customFormat="1" ht="16.5" outlineLevel="1" thickTop="1" thickBot="1">
      <c r="A357" s="580" t="s">
        <v>680</v>
      </c>
      <c r="B357" s="585" t="s">
        <v>764</v>
      </c>
      <c r="C357" s="585" t="s">
        <v>678</v>
      </c>
      <c r="D357" s="587" t="s">
        <v>764</v>
      </c>
      <c r="E357" s="589" t="s">
        <v>681</v>
      </c>
      <c r="F357" s="595">
        <v>0</v>
      </c>
      <c r="G357" s="576"/>
      <c r="H357" s="595">
        <v>0</v>
      </c>
      <c r="I357" s="595">
        <v>0</v>
      </c>
      <c r="J357" s="595">
        <v>0</v>
      </c>
      <c r="K357" s="1332">
        <v>98</v>
      </c>
      <c r="L357" s="576"/>
      <c r="M357" s="595">
        <v>821</v>
      </c>
      <c r="N357" s="577" t="e">
        <f ca="1">IF(OR(M357=0,M357="")," ",[43]!Arp(K357,M357,ARP_Threshold))</f>
        <v>#NAME?</v>
      </c>
      <c r="O357" s="578" t="e">
        <f ca="1">IF(AND(K357="",M357="")," ",[43]!Ara(K357,M357,ARA_Threshold))</f>
        <v>#NAME?</v>
      </c>
    </row>
    <row r="358" spans="1:15" s="580" customFormat="1" ht="15.75" outlineLevel="1" thickTop="1">
      <c r="A358" s="580" t="s">
        <v>682</v>
      </c>
      <c r="B358" s="585" t="s">
        <v>764</v>
      </c>
      <c r="C358" s="585" t="s">
        <v>764</v>
      </c>
      <c r="D358" s="587" t="s">
        <v>764</v>
      </c>
      <c r="F358" s="575"/>
      <c r="G358" s="584"/>
      <c r="H358" s="575"/>
      <c r="I358" s="575"/>
      <c r="J358" s="575"/>
      <c r="K358" s="575"/>
      <c r="L358" s="576"/>
      <c r="M358" s="575"/>
      <c r="N358" s="577" t="str">
        <f>IF(OR(M358=0,M358="")," ",[43]!Arp(K358,M358,ARP_Threshold))</f>
        <v xml:space="preserve"> </v>
      </c>
      <c r="O358" s="578" t="str">
        <f>IF(AND(K358="",M358="")," ",[43]!Ara(K358,M358,ARA_Threshold))</f>
        <v xml:space="preserve"> </v>
      </c>
    </row>
    <row r="359" spans="1:15" s="580" customFormat="1" outlineLevel="2">
      <c r="A359" s="580" t="s">
        <v>1363</v>
      </c>
      <c r="B359" s="585" t="s">
        <v>764</v>
      </c>
      <c r="C359" s="585" t="s">
        <v>684</v>
      </c>
      <c r="D359" s="587" t="s">
        <v>887</v>
      </c>
      <c r="E359" s="587" t="s">
        <v>621</v>
      </c>
      <c r="F359" s="575">
        <v>23</v>
      </c>
      <c r="G359" s="584"/>
      <c r="H359" s="575">
        <v>0</v>
      </c>
      <c r="I359" s="575">
        <v>23</v>
      </c>
      <c r="J359" s="575">
        <v>0</v>
      </c>
      <c r="K359" s="575">
        <v>0</v>
      </c>
      <c r="L359" s="584"/>
      <c r="M359" s="575">
        <v>196</v>
      </c>
      <c r="N359" s="577" t="e">
        <f ca="1">IF(OR(M359=0,M359="")," ",[43]!Arp(K359,M359,ARP_Threshold))</f>
        <v>#NAME?</v>
      </c>
      <c r="O359" s="578" t="e">
        <f ca="1">IF(AND(K359="",M359="")," ",[43]!Ara(K359,M359,ARA_Threshold))</f>
        <v>#NAME?</v>
      </c>
    </row>
    <row r="360" spans="1:15" s="580" customFormat="1" outlineLevel="2">
      <c r="A360" s="580" t="s">
        <v>1364</v>
      </c>
      <c r="B360" s="585" t="s">
        <v>764</v>
      </c>
      <c r="C360" s="585" t="s">
        <v>684</v>
      </c>
      <c r="D360" s="587" t="s">
        <v>1612</v>
      </c>
      <c r="E360" s="587" t="s">
        <v>622</v>
      </c>
      <c r="F360" s="575">
        <v>0</v>
      </c>
      <c r="G360" s="584"/>
      <c r="H360" s="575">
        <v>0</v>
      </c>
      <c r="I360" s="575">
        <v>0</v>
      </c>
      <c r="J360" s="575">
        <v>0</v>
      </c>
      <c r="K360" s="575">
        <v>0</v>
      </c>
      <c r="L360" s="584"/>
      <c r="M360" s="575">
        <v>0</v>
      </c>
      <c r="N360" s="577" t="str">
        <f>IF(OR(M360=0,M360="")," ",[43]!Arp(K360,M360,ARP_Threshold))</f>
        <v xml:space="preserve"> </v>
      </c>
      <c r="O360" s="578" t="e">
        <f ca="1">IF(AND(K360="",M360="")," ",[43]!Ara(K360,M360,ARA_Threshold))</f>
        <v>#NAME?</v>
      </c>
    </row>
    <row r="361" spans="1:15" s="580" customFormat="1" outlineLevel="2">
      <c r="A361" s="580" t="s">
        <v>1365</v>
      </c>
      <c r="B361" s="585" t="s">
        <v>764</v>
      </c>
      <c r="C361" s="585" t="s">
        <v>684</v>
      </c>
      <c r="D361" s="587" t="s">
        <v>888</v>
      </c>
      <c r="E361" s="587" t="s">
        <v>623</v>
      </c>
      <c r="F361" s="711">
        <v>299</v>
      </c>
      <c r="G361" s="576"/>
      <c r="H361" s="711">
        <v>0</v>
      </c>
      <c r="I361" s="711">
        <v>299</v>
      </c>
      <c r="J361" s="711">
        <v>0</v>
      </c>
      <c r="K361" s="711">
        <v>55</v>
      </c>
      <c r="L361" s="584"/>
      <c r="M361" s="711">
        <v>296</v>
      </c>
      <c r="N361" s="577" t="e">
        <f ca="1">IF(OR(M361=0,M361="")," ",[43]!Arp(K361,M361,ARP_Threshold))</f>
        <v>#NAME?</v>
      </c>
      <c r="O361" s="578" t="e">
        <f ca="1">IF(AND(K361="",M361="")," ",[43]!Ara(K361,M361,ARA_Threshold))</f>
        <v>#NAME?</v>
      </c>
    </row>
    <row r="362" spans="1:15" s="580" customFormat="1" ht="15.75" outlineLevel="1" thickBot="1">
      <c r="A362" s="580" t="s">
        <v>683</v>
      </c>
      <c r="B362" s="585" t="s">
        <v>764</v>
      </c>
      <c r="C362" s="585" t="s">
        <v>684</v>
      </c>
      <c r="D362" s="587" t="s">
        <v>764</v>
      </c>
      <c r="E362" s="589" t="s">
        <v>685</v>
      </c>
      <c r="F362" s="712">
        <v>322</v>
      </c>
      <c r="G362" s="576"/>
      <c r="H362" s="712">
        <v>0</v>
      </c>
      <c r="I362" s="712">
        <v>322</v>
      </c>
      <c r="J362" s="712">
        <v>0</v>
      </c>
      <c r="K362" s="1331">
        <v>55</v>
      </c>
      <c r="L362" s="576"/>
      <c r="M362" s="712">
        <v>492</v>
      </c>
      <c r="N362" s="577" t="e">
        <f ca="1">IF(OR(M362=0,M362="")," ",[43]!Arp(K362,M362,ARP_Threshold))</f>
        <v>#NAME?</v>
      </c>
      <c r="O362" s="578" t="e">
        <f ca="1">IF(AND(K362="",M362="")," ",[43]!Ara(K362,M362,ARA_Threshold))</f>
        <v>#NAME?</v>
      </c>
    </row>
    <row r="363" spans="1:15" s="580" customFormat="1" ht="15.75" outlineLevel="1" thickTop="1">
      <c r="A363" s="580" t="s">
        <v>686</v>
      </c>
      <c r="B363" s="585" t="s">
        <v>764</v>
      </c>
      <c r="C363" s="585" t="s">
        <v>764</v>
      </c>
      <c r="D363" s="587" t="s">
        <v>764</v>
      </c>
      <c r="F363" s="575"/>
      <c r="G363" s="576"/>
      <c r="H363" s="575"/>
      <c r="I363" s="575"/>
      <c r="J363" s="575"/>
      <c r="K363" s="575"/>
      <c r="L363" s="576"/>
      <c r="M363" s="575"/>
      <c r="N363" s="577" t="str">
        <f>IF(OR(M363=0,M363="")," ",[43]!Arp(K363,M363,ARP_Threshold))</f>
        <v xml:space="preserve"> </v>
      </c>
      <c r="O363" s="578" t="str">
        <f>IF(AND(K363="",M363="")," ",[43]!Ara(K363,M363,ARA_Threshold))</f>
        <v xml:space="preserve"> </v>
      </c>
    </row>
    <row r="364" spans="1:15" s="580" customFormat="1" ht="15" customHeight="1" outlineLevel="2">
      <c r="A364" s="580" t="s">
        <v>687</v>
      </c>
      <c r="B364" s="585" t="s">
        <v>764</v>
      </c>
      <c r="C364" s="585" t="s">
        <v>688</v>
      </c>
      <c r="D364" s="587" t="s">
        <v>897</v>
      </c>
      <c r="E364" s="580" t="s">
        <v>689</v>
      </c>
      <c r="F364" s="575">
        <v>42</v>
      </c>
      <c r="G364" s="576"/>
      <c r="H364" s="575">
        <v>0</v>
      </c>
      <c r="I364" s="575">
        <v>42</v>
      </c>
      <c r="J364" s="575">
        <v>0</v>
      </c>
      <c r="K364" s="575">
        <v>30.137</v>
      </c>
      <c r="L364" s="576"/>
      <c r="M364" s="575">
        <v>51</v>
      </c>
      <c r="N364" s="577" t="e">
        <f ca="1">IF(OR(M364=0,M364="")," ",[43]!Arp(K364,M364,ARP_Threshold))</f>
        <v>#NAME?</v>
      </c>
      <c r="O364" s="578" t="e">
        <f ca="1">IF(AND(K364="",M364="")," ",[43]!Ara(K364,M364,ARA_Threshold))</f>
        <v>#NAME?</v>
      </c>
    </row>
    <row r="365" spans="1:15" s="580" customFormat="1" ht="15" customHeight="1" outlineLevel="2">
      <c r="A365" s="580" t="s">
        <v>690</v>
      </c>
      <c r="B365" s="585" t="s">
        <v>764</v>
      </c>
      <c r="C365" s="585" t="s">
        <v>688</v>
      </c>
      <c r="D365" s="587" t="s">
        <v>1613</v>
      </c>
      <c r="E365" s="580" t="s">
        <v>691</v>
      </c>
      <c r="F365" s="575">
        <v>0</v>
      </c>
      <c r="G365" s="584"/>
      <c r="H365" s="575">
        <v>0</v>
      </c>
      <c r="I365" s="575">
        <v>0</v>
      </c>
      <c r="J365" s="575">
        <v>0</v>
      </c>
      <c r="K365" s="575">
        <v>0</v>
      </c>
      <c r="L365" s="576"/>
      <c r="M365" s="575">
        <v>0</v>
      </c>
      <c r="N365" s="577" t="str">
        <f>IF(OR(M365=0,M365="")," ",[43]!Arp(K365,M365,ARP_Threshold))</f>
        <v xml:space="preserve"> </v>
      </c>
      <c r="O365" s="578" t="e">
        <f ca="1">IF(AND(K365="",M365="")," ",[43]!Ara(K365,M365,ARA_Threshold))</f>
        <v>#NAME?</v>
      </c>
    </row>
    <row r="366" spans="1:15" s="580" customFormat="1" ht="15.75" customHeight="1" outlineLevel="2" thickBot="1">
      <c r="A366" s="580" t="s">
        <v>692</v>
      </c>
      <c r="B366" s="585" t="s">
        <v>764</v>
      </c>
      <c r="C366" s="585" t="s">
        <v>688</v>
      </c>
      <c r="D366" s="587" t="s">
        <v>1614</v>
      </c>
      <c r="E366" s="580" t="s">
        <v>693</v>
      </c>
      <c r="F366" s="590">
        <v>0</v>
      </c>
      <c r="G366" s="576"/>
      <c r="H366" s="590">
        <v>0</v>
      </c>
      <c r="I366" s="590">
        <v>0</v>
      </c>
      <c r="J366" s="590">
        <v>0</v>
      </c>
      <c r="K366" s="590">
        <v>0</v>
      </c>
      <c r="L366" s="584"/>
      <c r="M366" s="590">
        <v>0</v>
      </c>
      <c r="N366" s="577" t="str">
        <f>IF(OR(M366=0,M366="")," ",[43]!Arp(K366,M366,ARP_Threshold))</f>
        <v xml:space="preserve"> </v>
      </c>
      <c r="O366" s="578" t="e">
        <f ca="1">IF(AND(K366="",M366="")," ",[43]!Ara(K366,M366,ARA_Threshold))</f>
        <v>#NAME?</v>
      </c>
    </row>
    <row r="367" spans="1:15" s="580" customFormat="1" ht="16.5" outlineLevel="1" thickTop="1" thickBot="1">
      <c r="A367" s="580" t="s">
        <v>694</v>
      </c>
      <c r="B367" s="585" t="s">
        <v>764</v>
      </c>
      <c r="C367" s="585" t="s">
        <v>688</v>
      </c>
      <c r="D367" s="587" t="s">
        <v>764</v>
      </c>
      <c r="E367" s="589" t="s">
        <v>695</v>
      </c>
      <c r="F367" s="595">
        <v>42</v>
      </c>
      <c r="G367" s="576"/>
      <c r="H367" s="595">
        <v>0</v>
      </c>
      <c r="I367" s="595">
        <v>42</v>
      </c>
      <c r="J367" s="595">
        <v>0</v>
      </c>
      <c r="K367" s="1313">
        <v>30</v>
      </c>
      <c r="L367" s="576"/>
      <c r="M367" s="595">
        <v>51</v>
      </c>
      <c r="N367" s="577" t="e">
        <f ca="1">IF(OR(M367=0,M367="")," ",[43]!Arp(K367,M367,ARP_Threshold))</f>
        <v>#NAME?</v>
      </c>
      <c r="O367" s="578" t="e">
        <f ca="1">IF(AND(K367="",M367="")," ",[43]!Ara(K367,M367,ARA_Threshold))</f>
        <v>#NAME?</v>
      </c>
    </row>
    <row r="368" spans="1:15" s="580" customFormat="1" ht="15.75" outlineLevel="1" thickTop="1">
      <c r="A368" s="580" t="s">
        <v>696</v>
      </c>
      <c r="B368" s="585" t="s">
        <v>764</v>
      </c>
      <c r="C368" s="585" t="s">
        <v>764</v>
      </c>
      <c r="D368" s="587" t="s">
        <v>764</v>
      </c>
      <c r="F368" s="575"/>
      <c r="G368" s="576"/>
      <c r="H368" s="575"/>
      <c r="I368" s="575"/>
      <c r="J368" s="575"/>
      <c r="K368" s="575"/>
      <c r="L368" s="576"/>
      <c r="M368" s="575"/>
      <c r="N368" s="577" t="str">
        <f>IF(OR(M368=0,M368="")," ",[43]!Arp(K368,M368,ARP_Threshold))</f>
        <v xml:space="preserve"> </v>
      </c>
      <c r="O368" s="578" t="str">
        <f>IF(AND(K368="",M368="")," ",[43]!Ara(K368,M368,ARA_Threshold))</f>
        <v xml:space="preserve"> </v>
      </c>
    </row>
    <row r="369" spans="1:15" s="580" customFormat="1" ht="15" customHeight="1" outlineLevel="2">
      <c r="A369" s="580" t="s">
        <v>697</v>
      </c>
      <c r="B369" s="585" t="s">
        <v>764</v>
      </c>
      <c r="C369" s="585" t="s">
        <v>698</v>
      </c>
      <c r="D369" s="587" t="s">
        <v>891</v>
      </c>
      <c r="E369" s="580" t="s">
        <v>699</v>
      </c>
      <c r="F369" s="575">
        <v>677</v>
      </c>
      <c r="G369" s="584"/>
      <c r="H369" s="575">
        <v>0</v>
      </c>
      <c r="I369" s="575">
        <v>677</v>
      </c>
      <c r="J369" s="575">
        <v>0</v>
      </c>
      <c r="K369" s="575">
        <v>151.97800000000001</v>
      </c>
      <c r="L369" s="576"/>
      <c r="M369" s="575">
        <v>598</v>
      </c>
      <c r="N369" s="577" t="e">
        <f ca="1">IF(OR(M369=0,M369="")," ",[43]!Arp(K369,M369,ARP_Threshold))</f>
        <v>#NAME?</v>
      </c>
      <c r="O369" s="578" t="e">
        <f ca="1">IF(AND(K369="",M369="")," ",[43]!Ara(K369,M369,ARA_Threshold))</f>
        <v>#NAME?</v>
      </c>
    </row>
    <row r="370" spans="1:15" s="580" customFormat="1" ht="15.75" customHeight="1" outlineLevel="2" thickBot="1">
      <c r="A370" s="580" t="s">
        <v>700</v>
      </c>
      <c r="B370" s="585" t="s">
        <v>764</v>
      </c>
      <c r="C370" s="585" t="s">
        <v>698</v>
      </c>
      <c r="D370" s="587" t="s">
        <v>892</v>
      </c>
      <c r="E370" s="580" t="s">
        <v>701</v>
      </c>
      <c r="F370" s="590">
        <v>0</v>
      </c>
      <c r="G370" s="576"/>
      <c r="H370" s="590">
        <v>0</v>
      </c>
      <c r="I370" s="590">
        <v>0</v>
      </c>
      <c r="J370" s="590">
        <v>0</v>
      </c>
      <c r="K370" s="590">
        <v>0</v>
      </c>
      <c r="L370" s="584"/>
      <c r="M370" s="590">
        <v>47</v>
      </c>
      <c r="N370" s="577" t="e">
        <f ca="1">IF(OR(M370=0,M370="")," ",[43]!Arp(K370,M370,ARP_Threshold))</f>
        <v>#NAME?</v>
      </c>
      <c r="O370" s="578" t="e">
        <f ca="1">IF(AND(K370="",M370="")," ",[43]!Ara(K370,M370,ARA_Threshold))</f>
        <v>#NAME?</v>
      </c>
    </row>
    <row r="371" spans="1:15" s="580" customFormat="1" ht="16.5" outlineLevel="1" thickTop="1" thickBot="1">
      <c r="A371" s="580" t="s">
        <v>702</v>
      </c>
      <c r="B371" s="585" t="s">
        <v>764</v>
      </c>
      <c r="C371" s="585" t="s">
        <v>698</v>
      </c>
      <c r="D371" s="587" t="s">
        <v>764</v>
      </c>
      <c r="E371" s="589" t="s">
        <v>703</v>
      </c>
      <c r="F371" s="595">
        <v>677</v>
      </c>
      <c r="G371" s="576"/>
      <c r="H371" s="595">
        <v>0</v>
      </c>
      <c r="I371" s="595">
        <v>677</v>
      </c>
      <c r="J371" s="595">
        <v>0</v>
      </c>
      <c r="K371" s="1332">
        <v>152</v>
      </c>
      <c r="L371" s="576"/>
      <c r="M371" s="595">
        <v>645</v>
      </c>
      <c r="N371" s="577" t="e">
        <f ca="1">IF(OR(M371=0,M371="")," ",[43]!Arp(K371,M371,ARP_Threshold))</f>
        <v>#NAME?</v>
      </c>
      <c r="O371" s="578" t="e">
        <f ca="1">IF(AND(K371="",M371="")," ",[43]!Ara(K371,M371,ARA_Threshold))</f>
        <v>#NAME?</v>
      </c>
    </row>
    <row r="372" spans="1:15" s="580" customFormat="1" ht="16.5" outlineLevel="1" thickTop="1" thickBot="1">
      <c r="A372" s="580" t="s">
        <v>704</v>
      </c>
      <c r="B372" s="585" t="s">
        <v>764</v>
      </c>
      <c r="C372" s="585" t="s">
        <v>764</v>
      </c>
      <c r="D372" s="587" t="s">
        <v>764</v>
      </c>
      <c r="F372" s="575"/>
      <c r="G372" s="576"/>
      <c r="H372" s="575"/>
      <c r="I372" s="575"/>
      <c r="J372" s="575"/>
      <c r="K372" s="575"/>
      <c r="L372" s="576"/>
      <c r="M372" s="575"/>
      <c r="N372" s="577" t="str">
        <f>IF(OR(M372=0,M372="")," ",[43]!Arp(K372,M372,ARP_Threshold))</f>
        <v xml:space="preserve"> </v>
      </c>
      <c r="O372" s="578" t="str">
        <f>IF(AND(K372="",M372="")," ",[43]!Ara(K372,M372,ARA_Threshold))</f>
        <v xml:space="preserve"> </v>
      </c>
    </row>
    <row r="373" spans="1:15" s="580" customFormat="1" ht="16.5" outlineLevel="1" thickTop="1" thickBot="1">
      <c r="A373" s="580" t="s">
        <v>705</v>
      </c>
      <c r="B373" s="585" t="s">
        <v>764</v>
      </c>
      <c r="C373" s="585" t="s">
        <v>706</v>
      </c>
      <c r="D373" s="587" t="s">
        <v>764</v>
      </c>
      <c r="E373" s="589" t="s">
        <v>707</v>
      </c>
      <c r="F373" s="579">
        <v>0</v>
      </c>
      <c r="G373" s="576"/>
      <c r="H373" s="579">
        <v>0</v>
      </c>
      <c r="I373" s="579">
        <v>0</v>
      </c>
      <c r="J373" s="579">
        <v>0</v>
      </c>
      <c r="K373" s="579">
        <v>0</v>
      </c>
      <c r="L373" s="576"/>
      <c r="M373" s="579">
        <v>0</v>
      </c>
      <c r="N373" s="577" t="str">
        <f>IF(OR(M373=0,M373="")," ",[43]!Arp(K373,M373,ARP_Threshold))</f>
        <v xml:space="preserve"> </v>
      </c>
      <c r="O373" s="578" t="e">
        <f ca="1">IF(AND(K373="",M373="")," ",[43]!Ara(K373,M373,ARA_Threshold))</f>
        <v>#NAME?</v>
      </c>
    </row>
    <row r="374" spans="1:15" s="580" customFormat="1" ht="15.75" outlineLevel="1" thickTop="1">
      <c r="A374" s="580" t="s">
        <v>708</v>
      </c>
      <c r="B374" s="585" t="s">
        <v>764</v>
      </c>
      <c r="C374" s="585" t="s">
        <v>764</v>
      </c>
      <c r="D374" s="587" t="s">
        <v>764</v>
      </c>
      <c r="F374" s="575"/>
      <c r="G374" s="584"/>
      <c r="H374" s="575"/>
      <c r="I374" s="575"/>
      <c r="J374" s="575"/>
      <c r="K374" s="575"/>
      <c r="L374" s="576"/>
      <c r="M374" s="575"/>
      <c r="N374" s="577" t="str">
        <f>IF(OR(M374=0,M374="")," ",[43]!Arp(K374,M374,ARP_Threshold))</f>
        <v xml:space="preserve"> </v>
      </c>
      <c r="O374" s="578" t="str">
        <f>IF(AND(K374="",M374="")," ",[43]!Ara(K374,M374,ARA_Threshold))</f>
        <v xml:space="preserve"> </v>
      </c>
    </row>
    <row r="375" spans="1:15" s="580" customFormat="1" outlineLevel="2">
      <c r="A375" s="580" t="s">
        <v>1560</v>
      </c>
      <c r="B375" s="585" t="s">
        <v>764</v>
      </c>
      <c r="C375" s="585" t="s">
        <v>710</v>
      </c>
      <c r="D375" s="587" t="s">
        <v>1562</v>
      </c>
      <c r="E375" s="587" t="s">
        <v>1561</v>
      </c>
      <c r="F375" s="575">
        <v>0</v>
      </c>
      <c r="G375" s="576"/>
      <c r="H375" s="575">
        <v>0</v>
      </c>
      <c r="I375" s="575">
        <v>0</v>
      </c>
      <c r="J375" s="575">
        <v>0</v>
      </c>
      <c r="K375" s="575">
        <v>2.6800000000000001E-3</v>
      </c>
      <c r="L375" s="584"/>
      <c r="M375" s="575">
        <v>0</v>
      </c>
      <c r="N375" s="577" t="str">
        <f>IF(OR(M375=0,M375="")," ",[43]!Arp(K375,M375,ARP_Threshold))</f>
        <v xml:space="preserve"> </v>
      </c>
      <c r="O375" s="578" t="e">
        <f ca="1">IF(AND(K375="",M375="")," ",[43]!Ara(K375,M375,ARA_Threshold))</f>
        <v>#NAME?</v>
      </c>
    </row>
    <row r="376" spans="1:15" s="580" customFormat="1" ht="15" customHeight="1" outlineLevel="2">
      <c r="A376" s="580" t="s">
        <v>709</v>
      </c>
      <c r="B376" s="585" t="s">
        <v>764</v>
      </c>
      <c r="C376" s="585" t="s">
        <v>710</v>
      </c>
      <c r="D376" s="587" t="s">
        <v>808</v>
      </c>
      <c r="E376" s="580" t="s">
        <v>711</v>
      </c>
      <c r="F376" s="575">
        <v>-49940</v>
      </c>
      <c r="G376" s="576"/>
      <c r="H376" s="575">
        <v>0</v>
      </c>
      <c r="I376" s="575">
        <v>-49940</v>
      </c>
      <c r="J376" s="575">
        <v>0</v>
      </c>
      <c r="K376" s="575">
        <v>-49940</v>
      </c>
      <c r="L376" s="576"/>
      <c r="M376" s="575">
        <v>-49940</v>
      </c>
      <c r="N376" s="577" t="e">
        <f ca="1">IF(OR(M376=0,M376="")," ",[43]!Arp(K376,M376,ARP_Threshold))</f>
        <v>#NAME?</v>
      </c>
      <c r="O376" s="578" t="e">
        <f ca="1">IF(AND(K376="",M376="")," ",[43]!Ara(K376,M376,ARA_Threshold))</f>
        <v>#NAME?</v>
      </c>
    </row>
    <row r="377" spans="1:15" s="580" customFormat="1" ht="15" customHeight="1" outlineLevel="2">
      <c r="A377" s="580" t="s">
        <v>712</v>
      </c>
      <c r="B377" s="585" t="s">
        <v>764</v>
      </c>
      <c r="C377" s="585" t="s">
        <v>710</v>
      </c>
      <c r="D377" s="587" t="s">
        <v>1615</v>
      </c>
      <c r="E377" s="580" t="s">
        <v>713</v>
      </c>
      <c r="F377" s="575">
        <v>0</v>
      </c>
      <c r="G377" s="576"/>
      <c r="H377" s="575">
        <v>0</v>
      </c>
      <c r="I377" s="575">
        <v>0</v>
      </c>
      <c r="J377" s="575">
        <v>0</v>
      </c>
      <c r="K377" s="575">
        <v>0</v>
      </c>
      <c r="L377" s="576"/>
      <c r="M377" s="575">
        <v>0</v>
      </c>
      <c r="N377" s="577" t="str">
        <f>IF(OR(M377=0,M377="")," ",[43]!Arp(K377,M377,ARP_Threshold))</f>
        <v xml:space="preserve"> </v>
      </c>
      <c r="O377" s="578" t="e">
        <f ca="1">IF(AND(K377="",M377="")," ",[43]!Ara(K377,M377,ARA_Threshold))</f>
        <v>#NAME?</v>
      </c>
    </row>
    <row r="378" spans="1:15" s="580" customFormat="1" ht="15" customHeight="1" outlineLevel="2">
      <c r="A378" s="580" t="s">
        <v>714</v>
      </c>
      <c r="B378" s="585" t="s">
        <v>764</v>
      </c>
      <c r="C378" s="585" t="s">
        <v>710</v>
      </c>
      <c r="D378" s="587" t="s">
        <v>1616</v>
      </c>
      <c r="E378" s="580" t="s">
        <v>715</v>
      </c>
      <c r="F378" s="575">
        <v>0</v>
      </c>
      <c r="G378" s="576"/>
      <c r="H378" s="575">
        <v>0</v>
      </c>
      <c r="I378" s="575">
        <v>0</v>
      </c>
      <c r="J378" s="575">
        <v>0</v>
      </c>
      <c r="K378" s="575">
        <v>0</v>
      </c>
      <c r="L378" s="576"/>
      <c r="M378" s="575">
        <v>0</v>
      </c>
      <c r="N378" s="577" t="str">
        <f>IF(OR(M378=0,M378="")," ",[43]!Arp(K378,M378,ARP_Threshold))</f>
        <v xml:space="preserve"> </v>
      </c>
      <c r="O378" s="578" t="e">
        <f ca="1">IF(AND(K378="",M378="")," ",[43]!Ara(K378,M378,ARA_Threshold))</f>
        <v>#NAME?</v>
      </c>
    </row>
    <row r="379" spans="1:15" s="580" customFormat="1" ht="15" customHeight="1" outlineLevel="2">
      <c r="A379" s="580" t="s">
        <v>716</v>
      </c>
      <c r="B379" s="585" t="s">
        <v>764</v>
      </c>
      <c r="C379" s="585" t="s">
        <v>710</v>
      </c>
      <c r="D379" s="587" t="s">
        <v>809</v>
      </c>
      <c r="E379" s="580" t="s">
        <v>717</v>
      </c>
      <c r="F379" s="575">
        <v>-31088</v>
      </c>
      <c r="G379" s="584"/>
      <c r="H379" s="575">
        <v>0</v>
      </c>
      <c r="I379" s="575">
        <v>-31088</v>
      </c>
      <c r="J379" s="575">
        <v>0</v>
      </c>
      <c r="K379" s="575">
        <v>-31088.19083</v>
      </c>
      <c r="L379" s="576"/>
      <c r="M379" s="575">
        <v>-31088</v>
      </c>
      <c r="N379" s="577" t="e">
        <f ca="1">IF(OR(M379=0,M379="")," ",[43]!Arp(K379,M379,ARP_Threshold))</f>
        <v>#NAME?</v>
      </c>
      <c r="O379" s="578" t="e">
        <f ca="1">IF(AND(K379="",M379="")," ",[43]!Ara(K379,M379,ARA_Threshold))</f>
        <v>#NAME?</v>
      </c>
    </row>
    <row r="380" spans="1:15" s="580" customFormat="1" ht="15.75" customHeight="1" outlineLevel="2" thickBot="1">
      <c r="A380" s="580" t="s">
        <v>718</v>
      </c>
      <c r="B380" s="585" t="s">
        <v>764</v>
      </c>
      <c r="C380" s="585" t="s">
        <v>710</v>
      </c>
      <c r="D380" s="587" t="s">
        <v>810</v>
      </c>
      <c r="E380" s="580" t="s">
        <v>719</v>
      </c>
      <c r="F380" s="590">
        <v>-18743</v>
      </c>
      <c r="G380" s="576"/>
      <c r="H380" s="590">
        <v>0</v>
      </c>
      <c r="I380" s="590">
        <v>-18743</v>
      </c>
      <c r="J380" s="590">
        <v>0</v>
      </c>
      <c r="K380" s="590">
        <v>-18742.5</v>
      </c>
      <c r="L380" s="584"/>
      <c r="M380" s="590">
        <v>-18743</v>
      </c>
      <c r="N380" s="577" t="e">
        <f ca="1">IF(OR(M380=0,M380="")," ",[43]!Arp(K380,M380,ARP_Threshold))</f>
        <v>#NAME?</v>
      </c>
      <c r="O380" s="578" t="e">
        <f ca="1">IF(AND(K380="",M380="")," ",[43]!Ara(K380,M380,ARA_Threshold))</f>
        <v>#NAME?</v>
      </c>
    </row>
    <row r="381" spans="1:15" s="580" customFormat="1" ht="16.5" outlineLevel="1" thickTop="1" thickBot="1">
      <c r="A381" s="580" t="s">
        <v>720</v>
      </c>
      <c r="B381" s="585" t="s">
        <v>764</v>
      </c>
      <c r="C381" s="585" t="s">
        <v>710</v>
      </c>
      <c r="D381" s="587" t="s">
        <v>764</v>
      </c>
      <c r="E381" s="589" t="s">
        <v>721</v>
      </c>
      <c r="F381" s="595">
        <v>-99771</v>
      </c>
      <c r="G381" s="576"/>
      <c r="H381" s="595">
        <v>0</v>
      </c>
      <c r="I381" s="595">
        <v>-99771</v>
      </c>
      <c r="J381" s="595">
        <v>0</v>
      </c>
      <c r="K381" s="1332">
        <f>SUM(K375:K380)</f>
        <v>-99770.688150000002</v>
      </c>
      <c r="L381" s="576"/>
      <c r="M381" s="595">
        <v>-99771</v>
      </c>
      <c r="N381" s="577" t="e">
        <f ca="1">IF(OR(M381=0,M381="")," ",[43]!Arp(K381,M381,ARP_Threshold))</f>
        <v>#NAME?</v>
      </c>
      <c r="O381" s="578" t="e">
        <f ca="1">IF(AND(K381="",M381="")," ",[43]!Ara(K381,M381,ARA_Threshold))</f>
        <v>#NAME?</v>
      </c>
    </row>
    <row r="382" spans="1:15" s="580" customFormat="1" ht="15.75" outlineLevel="1" thickTop="1">
      <c r="A382" s="580" t="s">
        <v>722</v>
      </c>
      <c r="B382" s="585" t="s">
        <v>764</v>
      </c>
      <c r="C382" s="585" t="s">
        <v>764</v>
      </c>
      <c r="D382" s="587" t="s">
        <v>764</v>
      </c>
      <c r="F382" s="575"/>
      <c r="G382" s="576"/>
      <c r="H382" s="575"/>
      <c r="I382" s="575"/>
      <c r="J382" s="575"/>
      <c r="K382" s="575"/>
      <c r="L382" s="576"/>
      <c r="M382" s="575"/>
      <c r="N382" s="577" t="str">
        <f>IF(OR(M382=0,M382="")," ",[43]!Arp(K382,M382,ARP_Threshold))</f>
        <v xml:space="preserve"> </v>
      </c>
      <c r="O382" s="578" t="str">
        <f>IF(AND(K382="",M382="")," ",[43]!Ara(K382,M382,ARA_Threshold))</f>
        <v xml:space="preserve"> </v>
      </c>
    </row>
    <row r="383" spans="1:15" s="580" customFormat="1" ht="15" customHeight="1" outlineLevel="2">
      <c r="A383" s="580" t="s">
        <v>723</v>
      </c>
      <c r="B383" s="585" t="s">
        <v>764</v>
      </c>
      <c r="C383" s="585" t="s">
        <v>724</v>
      </c>
      <c r="D383" s="587" t="s">
        <v>890</v>
      </c>
      <c r="E383" s="580" t="s">
        <v>725</v>
      </c>
      <c r="F383" s="575">
        <v>4327</v>
      </c>
      <c r="G383" s="584"/>
      <c r="H383" s="575">
        <v>0</v>
      </c>
      <c r="I383" s="575">
        <v>4327</v>
      </c>
      <c r="J383" s="575">
        <v>0</v>
      </c>
      <c r="K383" s="575">
        <v>806.22411999999997</v>
      </c>
      <c r="L383" s="576"/>
      <c r="M383" s="575">
        <v>2375</v>
      </c>
      <c r="N383" s="577" t="e">
        <f ca="1">IF(OR(M383=0,M383="")," ",[43]!Arp(K383,M383,ARP_Threshold))</f>
        <v>#NAME?</v>
      </c>
      <c r="O383" s="578" t="e">
        <f ca="1">IF(AND(K383="",M383="")," ",[43]!Ara(K383,M383,ARA_Threshold))</f>
        <v>#NAME?</v>
      </c>
    </row>
    <row r="384" spans="1:15" s="580" customFormat="1" ht="15.75" customHeight="1" outlineLevel="2" thickBot="1">
      <c r="A384" s="580" t="s">
        <v>726</v>
      </c>
      <c r="B384" s="585" t="s">
        <v>764</v>
      </c>
      <c r="C384" s="585" t="s">
        <v>724</v>
      </c>
      <c r="D384" s="587" t="s">
        <v>1617</v>
      </c>
      <c r="E384" s="580" t="s">
        <v>727</v>
      </c>
      <c r="F384" s="590">
        <v>0</v>
      </c>
      <c r="G384" s="576"/>
      <c r="H384" s="590">
        <v>0</v>
      </c>
      <c r="I384" s="590">
        <v>0</v>
      </c>
      <c r="J384" s="590">
        <v>0</v>
      </c>
      <c r="K384" s="590">
        <v>0</v>
      </c>
      <c r="L384" s="584"/>
      <c r="M384" s="590">
        <v>0</v>
      </c>
      <c r="N384" s="577" t="str">
        <f>IF(OR(M384=0,M384="")," ",[43]!Arp(K384,M384,ARP_Threshold))</f>
        <v xml:space="preserve"> </v>
      </c>
      <c r="O384" s="578" t="e">
        <f ca="1">IF(AND(K384="",M384="")," ",[43]!Ara(K384,M384,ARA_Threshold))</f>
        <v>#NAME?</v>
      </c>
    </row>
    <row r="385" spans="1:15" s="580" customFormat="1" ht="16.5" outlineLevel="1" thickTop="1" thickBot="1">
      <c r="A385" s="580" t="s">
        <v>728</v>
      </c>
      <c r="B385" s="585" t="s">
        <v>764</v>
      </c>
      <c r="C385" s="585" t="s">
        <v>724</v>
      </c>
      <c r="D385" s="587" t="s">
        <v>764</v>
      </c>
      <c r="E385" s="589" t="s">
        <v>729</v>
      </c>
      <c r="F385" s="595">
        <v>4327</v>
      </c>
      <c r="G385" s="576"/>
      <c r="H385" s="595">
        <v>0</v>
      </c>
      <c r="I385" s="595">
        <v>4327</v>
      </c>
      <c r="J385" s="595">
        <v>0</v>
      </c>
      <c r="K385" s="1332">
        <v>806</v>
      </c>
      <c r="L385" s="576"/>
      <c r="M385" s="595">
        <v>2375</v>
      </c>
      <c r="N385" s="577" t="e">
        <f ca="1">IF(OR(M385=0,M385="")," ",[43]!Arp(K385,M385,ARP_Threshold))</f>
        <v>#NAME?</v>
      </c>
      <c r="O385" s="578" t="e">
        <f ca="1">IF(AND(K385="",M385="")," ",[43]!Ara(K385,M385,ARA_Threshold))</f>
        <v>#NAME?</v>
      </c>
    </row>
    <row r="386" spans="1:15" s="580" customFormat="1" ht="15.75" outlineLevel="1" thickTop="1">
      <c r="A386" s="580" t="s">
        <v>730</v>
      </c>
      <c r="B386" s="585" t="s">
        <v>764</v>
      </c>
      <c r="C386" s="585" t="s">
        <v>764</v>
      </c>
      <c r="D386" s="587" t="s">
        <v>764</v>
      </c>
      <c r="F386" s="575"/>
      <c r="G386" s="584"/>
      <c r="H386" s="575"/>
      <c r="I386" s="575"/>
      <c r="J386" s="575"/>
      <c r="K386" s="575"/>
      <c r="L386" s="576"/>
      <c r="M386" s="575"/>
      <c r="N386" s="577" t="str">
        <f>IF(OR(M386=0,M386="")," ",[43]!Arp(K386,M386,ARP_Threshold))</f>
        <v xml:space="preserve"> </v>
      </c>
      <c r="O386" s="578" t="str">
        <f>IF(AND(K386="",M386="")," ",[43]!Ara(K386,M386,ARA_Threshold))</f>
        <v xml:space="preserve"> </v>
      </c>
    </row>
    <row r="387" spans="1:15" s="580" customFormat="1" ht="15.75" customHeight="1" outlineLevel="2" thickBot="1">
      <c r="A387" s="580" t="s">
        <v>731</v>
      </c>
      <c r="B387" s="585" t="s">
        <v>764</v>
      </c>
      <c r="C387" s="585" t="s">
        <v>732</v>
      </c>
      <c r="D387" s="587" t="s">
        <v>881</v>
      </c>
      <c r="E387" s="580" t="s">
        <v>733</v>
      </c>
      <c r="F387" s="590">
        <v>160</v>
      </c>
      <c r="G387" s="576"/>
      <c r="H387" s="590">
        <v>0</v>
      </c>
      <c r="I387" s="590">
        <v>160</v>
      </c>
      <c r="J387" s="590">
        <v>0</v>
      </c>
      <c r="K387" s="590">
        <v>47.497</v>
      </c>
      <c r="L387" s="584"/>
      <c r="M387" s="590">
        <v>276</v>
      </c>
      <c r="N387" s="577" t="e">
        <f ca="1">IF(OR(M387=0,M387="")," ",[43]!Arp(K387,M387,ARP_Threshold))</f>
        <v>#NAME?</v>
      </c>
      <c r="O387" s="578" t="e">
        <f ca="1">IF(AND(K387="",M387="")," ",[43]!Ara(K387,M387,ARA_Threshold))</f>
        <v>#NAME?</v>
      </c>
    </row>
    <row r="388" spans="1:15" s="580" customFormat="1" ht="16.5" outlineLevel="1" thickTop="1" thickBot="1">
      <c r="A388" s="580" t="s">
        <v>734</v>
      </c>
      <c r="B388" s="585" t="s">
        <v>764</v>
      </c>
      <c r="C388" s="585" t="s">
        <v>732</v>
      </c>
      <c r="D388" s="587" t="s">
        <v>764</v>
      </c>
      <c r="E388" s="589" t="s">
        <v>735</v>
      </c>
      <c r="F388" s="595">
        <v>160</v>
      </c>
      <c r="G388" s="576"/>
      <c r="H388" s="595">
        <v>0</v>
      </c>
      <c r="I388" s="595">
        <v>160</v>
      </c>
      <c r="J388" s="595">
        <v>0</v>
      </c>
      <c r="K388" s="1322">
        <v>47</v>
      </c>
      <c r="L388" s="576"/>
      <c r="M388" s="595">
        <v>276</v>
      </c>
      <c r="N388" s="577" t="e">
        <f ca="1">IF(OR(M388=0,M388="")," ",[43]!Arp(K388,M388,ARP_Threshold))</f>
        <v>#NAME?</v>
      </c>
      <c r="O388" s="578" t="e">
        <f ca="1">IF(AND(K388="",M388="")," ",[43]!Ara(K388,M388,ARA_Threshold))</f>
        <v>#NAME?</v>
      </c>
    </row>
    <row r="389" spans="1:15" s="580" customFormat="1" ht="15.75" outlineLevel="1" thickTop="1">
      <c r="A389" s="580" t="s">
        <v>736</v>
      </c>
      <c r="B389" s="585" t="s">
        <v>764</v>
      </c>
      <c r="C389" s="585" t="s">
        <v>764</v>
      </c>
      <c r="D389" s="587" t="s">
        <v>764</v>
      </c>
      <c r="F389" s="575"/>
      <c r="G389" s="576"/>
      <c r="H389" s="575"/>
      <c r="I389" s="575"/>
      <c r="J389" s="575"/>
      <c r="K389" s="575"/>
      <c r="L389" s="576"/>
      <c r="M389" s="575"/>
      <c r="N389" s="577" t="str">
        <f>IF(OR(M389=0,M389="")," ",[43]!Arp(K389,M389,ARP_Threshold))</f>
        <v xml:space="preserve"> </v>
      </c>
      <c r="O389" s="578" t="str">
        <f>IF(AND(K389="",M389="")," ",[43]!Ara(K389,M389,ARA_Threshold))</f>
        <v xml:space="preserve"> </v>
      </c>
    </row>
    <row r="390" spans="1:15" s="580" customFormat="1" ht="15" customHeight="1" outlineLevel="2">
      <c r="A390" s="580" t="s">
        <v>737</v>
      </c>
      <c r="B390" s="585" t="s">
        <v>764</v>
      </c>
      <c r="C390" s="585" t="s">
        <v>738</v>
      </c>
      <c r="D390" s="587" t="s">
        <v>883</v>
      </c>
      <c r="E390" s="580" t="s">
        <v>739</v>
      </c>
      <c r="F390" s="575">
        <v>1640</v>
      </c>
      <c r="G390" s="584"/>
      <c r="H390" s="575">
        <v>0</v>
      </c>
      <c r="I390" s="575">
        <v>1640</v>
      </c>
      <c r="J390" s="575">
        <v>0</v>
      </c>
      <c r="K390" s="575">
        <v>492.42942999999997</v>
      </c>
      <c r="L390" s="576"/>
      <c r="M390" s="575">
        <v>1495</v>
      </c>
      <c r="N390" s="577" t="e">
        <f ca="1">IF(OR(M390=0,M390="")," ",[43]!Arp(K390,M390,ARP_Threshold))</f>
        <v>#NAME?</v>
      </c>
      <c r="O390" s="578" t="e">
        <f ca="1">IF(AND(K390="",M390="")," ",[43]!Ara(K390,M390,ARA_Threshold))</f>
        <v>#NAME?</v>
      </c>
    </row>
    <row r="391" spans="1:15" s="580" customFormat="1" ht="15.75" customHeight="1" outlineLevel="2" thickBot="1">
      <c r="A391" s="580" t="s">
        <v>740</v>
      </c>
      <c r="B391" s="585" t="s">
        <v>764</v>
      </c>
      <c r="C391" s="585" t="s">
        <v>738</v>
      </c>
      <c r="D391" s="587" t="s">
        <v>884</v>
      </c>
      <c r="E391" s="580" t="s">
        <v>741</v>
      </c>
      <c r="F391" s="590">
        <v>0</v>
      </c>
      <c r="G391" s="576"/>
      <c r="H391" s="590">
        <v>0</v>
      </c>
      <c r="I391" s="590">
        <v>0</v>
      </c>
      <c r="J391" s="590">
        <v>0</v>
      </c>
      <c r="K391" s="590">
        <v>0</v>
      </c>
      <c r="L391" s="584"/>
      <c r="M391" s="590">
        <v>-455</v>
      </c>
      <c r="N391" s="577" t="e">
        <f ca="1">IF(OR(M391=0,M391="")," ",[43]!Arp(K391,M391,ARP_Threshold))</f>
        <v>#NAME?</v>
      </c>
      <c r="O391" s="578" t="e">
        <f ca="1">IF(AND(K391="",M391="")," ",[43]!Ara(K391,M391,ARA_Threshold))</f>
        <v>#NAME?</v>
      </c>
    </row>
    <row r="392" spans="1:15" s="580" customFormat="1" ht="16.5" outlineLevel="1" thickTop="1" thickBot="1">
      <c r="A392" s="580" t="s">
        <v>742</v>
      </c>
      <c r="B392" s="585" t="s">
        <v>764</v>
      </c>
      <c r="C392" s="585" t="s">
        <v>738</v>
      </c>
      <c r="D392" s="587" t="s">
        <v>764</v>
      </c>
      <c r="E392" s="589" t="s">
        <v>743</v>
      </c>
      <c r="F392" s="595">
        <v>1640</v>
      </c>
      <c r="G392" s="576"/>
      <c r="H392" s="595">
        <v>0</v>
      </c>
      <c r="I392" s="595">
        <v>1640</v>
      </c>
      <c r="J392" s="595">
        <v>0</v>
      </c>
      <c r="K392" s="1322">
        <v>492</v>
      </c>
      <c r="L392" s="576"/>
      <c r="M392" s="595">
        <v>1040</v>
      </c>
      <c r="N392" s="577" t="e">
        <f ca="1">IF(OR(M392=0,M392="")," ",[43]!Arp(K392,M392,ARP_Threshold))</f>
        <v>#NAME?</v>
      </c>
      <c r="O392" s="578" t="e">
        <f ca="1">IF(AND(K392="",M392="")," ",[43]!Ara(K392,M392,ARA_Threshold))</f>
        <v>#NAME?</v>
      </c>
    </row>
    <row r="393" spans="1:15" s="580" customFormat="1" ht="15.75" outlineLevel="1" thickTop="1">
      <c r="A393" s="580" t="s">
        <v>744</v>
      </c>
      <c r="B393" s="585" t="s">
        <v>764</v>
      </c>
      <c r="C393" s="585" t="s">
        <v>764</v>
      </c>
      <c r="D393" s="587" t="s">
        <v>764</v>
      </c>
      <c r="F393" s="575"/>
      <c r="G393" s="584"/>
      <c r="H393" s="575"/>
      <c r="I393" s="575"/>
      <c r="J393" s="575"/>
      <c r="K393" s="575"/>
      <c r="L393" s="576"/>
      <c r="M393" s="575"/>
      <c r="N393" s="577" t="str">
        <f>IF(OR(M393=0,M393="")," ",[43]!Arp(K393,M393,ARP_Threshold))</f>
        <v xml:space="preserve"> </v>
      </c>
      <c r="O393" s="578" t="str">
        <f>IF(AND(K393="",M393="")," ",[43]!Ara(K393,M393,ARA_Threshold))</f>
        <v xml:space="preserve"> </v>
      </c>
    </row>
    <row r="394" spans="1:15" s="580" customFormat="1" outlineLevel="2">
      <c r="A394" s="580" t="s">
        <v>1624</v>
      </c>
      <c r="B394" s="585" t="s">
        <v>764</v>
      </c>
      <c r="C394" s="585" t="s">
        <v>1627</v>
      </c>
      <c r="D394" s="587" t="s">
        <v>1626</v>
      </c>
      <c r="E394" s="587" t="s">
        <v>1625</v>
      </c>
      <c r="F394" s="711">
        <v>2128</v>
      </c>
      <c r="G394" s="584"/>
      <c r="H394" s="711">
        <v>0</v>
      </c>
      <c r="I394" s="711">
        <v>2128</v>
      </c>
      <c r="J394" s="711">
        <v>0</v>
      </c>
      <c r="K394" s="711">
        <v>633.21100999999999</v>
      </c>
      <c r="L394" s="584"/>
      <c r="M394" s="711">
        <v>0</v>
      </c>
      <c r="N394" s="577" t="str">
        <f>IF(OR(M394=0,M394="")," ",[43]!Arp(K394,M394,ARP_Threshold))</f>
        <v xml:space="preserve"> </v>
      </c>
      <c r="O394" s="578" t="e">
        <f ca="1">IF(AND(K394="",M394="")," ",[43]!Ara(K394,M394,ARA_Threshold))</f>
        <v>#NAME?</v>
      </c>
    </row>
    <row r="395" spans="1:15" s="580" customFormat="1" ht="15.75" outlineLevel="1" thickBot="1">
      <c r="A395" s="580" t="s">
        <v>1628</v>
      </c>
      <c r="B395" s="585" t="s">
        <v>764</v>
      </c>
      <c r="C395" s="585" t="s">
        <v>1627</v>
      </c>
      <c r="D395" s="587" t="s">
        <v>764</v>
      </c>
      <c r="E395" s="589" t="s">
        <v>1629</v>
      </c>
      <c r="F395" s="712">
        <v>2128</v>
      </c>
      <c r="H395" s="712">
        <v>0</v>
      </c>
      <c r="I395" s="712">
        <v>2128</v>
      </c>
      <c r="J395" s="712">
        <v>0</v>
      </c>
      <c r="K395" s="1333">
        <v>633</v>
      </c>
      <c r="L395" s="584"/>
      <c r="M395" s="712">
        <v>0</v>
      </c>
      <c r="N395" s="577" t="str">
        <f>IF(OR(M395=0,M395="")," ",[43]!Arp(K395,M395,ARP_Threshold))</f>
        <v xml:space="preserve"> </v>
      </c>
      <c r="O395" s="578" t="e">
        <f ca="1">IF(AND(K395="",M395="")," ",[43]!Ara(K395,M395,ARA_Threshold))</f>
        <v>#NAME?</v>
      </c>
    </row>
    <row r="396" spans="1:15" s="580" customFormat="1" ht="15.75" outlineLevel="1" thickTop="1">
      <c r="A396" s="580" t="s">
        <v>1630</v>
      </c>
      <c r="B396" s="585" t="s">
        <v>764</v>
      </c>
      <c r="C396" s="585" t="s">
        <v>764</v>
      </c>
      <c r="D396" s="587" t="s">
        <v>764</v>
      </c>
      <c r="F396" s="575"/>
      <c r="G396" s="584"/>
      <c r="H396" s="575"/>
      <c r="I396" s="575"/>
      <c r="J396" s="575"/>
      <c r="K396" s="575"/>
      <c r="M396" s="575"/>
      <c r="N396" s="1055" t="str">
        <f>IF(OR(M396=0,M396="")," ",[43]!Arp(K396,M396,ARP_Threshold))</f>
        <v xml:space="preserve"> </v>
      </c>
      <c r="O396" s="1053" t="str">
        <f>IF(AND(K396="",M396="")," ",[43]!Ara(K396,M396,ARA_Threshold))</f>
        <v xml:space="preserve"> </v>
      </c>
    </row>
    <row r="397" spans="1:15" s="580" customFormat="1" ht="15.75" customHeight="1" outlineLevel="2" thickBot="1">
      <c r="A397" s="580" t="s">
        <v>745</v>
      </c>
      <c r="B397" s="585" t="s">
        <v>764</v>
      </c>
      <c r="C397" s="585" t="s">
        <v>746</v>
      </c>
      <c r="D397" s="587" t="s">
        <v>898</v>
      </c>
      <c r="E397" s="580" t="s">
        <v>747</v>
      </c>
      <c r="F397" s="590">
        <v>-46854</v>
      </c>
      <c r="G397" s="576"/>
      <c r="H397" s="590">
        <v>0</v>
      </c>
      <c r="I397" s="590">
        <v>-46854</v>
      </c>
      <c r="J397" s="590">
        <v>0</v>
      </c>
      <c r="K397" s="590">
        <v>-3812.6899800000001</v>
      </c>
      <c r="L397" s="584"/>
      <c r="M397" s="590">
        <v>10784</v>
      </c>
      <c r="N397" s="577" t="e">
        <f ca="1">IF(OR(M397=0,M397="")," ",[43]!Arp(K397,M397,ARP_Threshold))</f>
        <v>#NAME?</v>
      </c>
      <c r="O397" s="578" t="e">
        <f ca="1">IF(AND(K397="",M397="")," ",[43]!Ara(K397,M397,ARA_Threshold))</f>
        <v>#NAME?</v>
      </c>
    </row>
    <row r="398" spans="1:15" s="580" customFormat="1" ht="16.5" outlineLevel="1" thickTop="1" thickBot="1">
      <c r="A398" s="580" t="s">
        <v>748</v>
      </c>
      <c r="B398" s="585" t="s">
        <v>764</v>
      </c>
      <c r="C398" s="585" t="s">
        <v>746</v>
      </c>
      <c r="D398" s="587" t="s">
        <v>764</v>
      </c>
      <c r="E398" s="589" t="s">
        <v>749</v>
      </c>
      <c r="F398" s="595">
        <v>-46854</v>
      </c>
      <c r="G398" s="576"/>
      <c r="H398" s="595">
        <v>0</v>
      </c>
      <c r="I398" s="595">
        <v>-46854</v>
      </c>
      <c r="J398" s="595">
        <v>0</v>
      </c>
      <c r="K398" s="1322">
        <v>-3813</v>
      </c>
      <c r="L398" s="576"/>
      <c r="M398" s="595">
        <v>10784</v>
      </c>
      <c r="N398" s="577" t="e">
        <f ca="1">IF(OR(M398=0,M398="")," ",[43]!Arp(K398,M398,ARP_Threshold))</f>
        <v>#NAME?</v>
      </c>
      <c r="O398" s="578" t="e">
        <f ca="1">IF(AND(K398="",M398="")," ",[43]!Ara(K398,M398,ARA_Threshold))</f>
        <v>#NAME?</v>
      </c>
    </row>
    <row r="399" spans="1:15" s="580" customFormat="1" ht="15.75" outlineLevel="1" thickTop="1">
      <c r="A399" s="580" t="s">
        <v>750</v>
      </c>
      <c r="B399" s="585" t="s">
        <v>764</v>
      </c>
      <c r="C399" s="585" t="s">
        <v>764</v>
      </c>
      <c r="D399" s="587" t="s">
        <v>764</v>
      </c>
      <c r="F399" s="575"/>
      <c r="G399" s="584"/>
      <c r="H399" s="575"/>
      <c r="I399" s="575"/>
      <c r="J399" s="575"/>
      <c r="K399" s="575"/>
      <c r="L399" s="576"/>
      <c r="M399" s="575"/>
      <c r="N399" s="577" t="str">
        <f>IF(OR(M399=0,M399="")," ",[43]!Arp(K399,M399,ARP_Threshold))</f>
        <v xml:space="preserve"> </v>
      </c>
      <c r="O399" s="578" t="str">
        <f>IF(AND(K399="",M399="")," ",[43]!Ara(K399,M399,ARA_Threshold))</f>
        <v xml:space="preserve"> </v>
      </c>
    </row>
    <row r="400" spans="1:15" s="580" customFormat="1" ht="15.75" customHeight="1" outlineLevel="2" thickBot="1">
      <c r="A400" s="580" t="s">
        <v>751</v>
      </c>
      <c r="B400" s="585" t="s">
        <v>764</v>
      </c>
      <c r="C400" s="585" t="s">
        <v>752</v>
      </c>
      <c r="D400" s="587" t="s">
        <v>899</v>
      </c>
      <c r="E400" s="580" t="s">
        <v>753</v>
      </c>
      <c r="F400" s="590">
        <v>-33040</v>
      </c>
      <c r="G400" s="576"/>
      <c r="H400" s="590">
        <v>0</v>
      </c>
      <c r="I400" s="590">
        <v>-33040</v>
      </c>
      <c r="J400" s="590">
        <v>0</v>
      </c>
      <c r="K400" s="590">
        <v>-6362.1527599999999</v>
      </c>
      <c r="L400" s="584"/>
      <c r="M400" s="590">
        <v>14939</v>
      </c>
      <c r="N400" s="577" t="e">
        <f ca="1">IF(OR(M400=0,M400="")," ",[43]!Arp(K400,M400,ARP_Threshold))</f>
        <v>#NAME?</v>
      </c>
      <c r="O400" s="578" t="e">
        <f ca="1">IF(AND(K400="",M400="")," ",[43]!Ara(K400,M400,ARA_Threshold))</f>
        <v>#NAME?</v>
      </c>
    </row>
    <row r="401" spans="1:15" s="580" customFormat="1" ht="16.5" outlineLevel="1" thickTop="1" thickBot="1">
      <c r="A401" s="580" t="s">
        <v>754</v>
      </c>
      <c r="B401" s="585" t="s">
        <v>764</v>
      </c>
      <c r="C401" s="585" t="s">
        <v>752</v>
      </c>
      <c r="D401" s="587" t="s">
        <v>764</v>
      </c>
      <c r="E401" s="589" t="s">
        <v>755</v>
      </c>
      <c r="F401" s="595">
        <v>-33040</v>
      </c>
      <c r="G401" s="576"/>
      <c r="H401" s="595">
        <v>0</v>
      </c>
      <c r="I401" s="595">
        <v>-33040</v>
      </c>
      <c r="J401" s="595">
        <v>0</v>
      </c>
      <c r="K401" s="1322">
        <v>-6362.1527599999999</v>
      </c>
      <c r="L401" s="576"/>
      <c r="M401" s="595">
        <v>14939</v>
      </c>
      <c r="N401" s="577" t="e">
        <f ca="1">IF(OR(M401=0,M401="")," ",[43]!Arp(K401,M401,ARP_Threshold))</f>
        <v>#NAME?</v>
      </c>
      <c r="O401" s="578" t="e">
        <f ca="1">IF(AND(K401="",M401="")," ",[43]!Ara(K401,M401,ARA_Threshold))</f>
        <v>#NAME?</v>
      </c>
    </row>
    <row r="402" spans="1:15" s="580" customFormat="1" ht="15.75" outlineLevel="1" thickTop="1">
      <c r="A402" s="580" t="s">
        <v>756</v>
      </c>
      <c r="B402" s="585" t="s">
        <v>764</v>
      </c>
      <c r="C402" s="585" t="s">
        <v>764</v>
      </c>
      <c r="D402" s="587" t="s">
        <v>764</v>
      </c>
      <c r="F402" s="575"/>
      <c r="G402" s="584"/>
      <c r="H402" s="575"/>
      <c r="I402" s="575"/>
      <c r="J402" s="575"/>
      <c r="K402" s="575"/>
      <c r="L402" s="576"/>
      <c r="M402" s="575"/>
      <c r="N402" s="577" t="str">
        <f>IF(OR(M402=0,M402="")," ",[43]!Arp(K402,M402,ARP_Threshold))</f>
        <v xml:space="preserve"> </v>
      </c>
      <c r="O402" s="578" t="str">
        <f>IF(AND(K402="",M402="")," ",[43]!Ara(K402,M402,ARA_Threshold))</f>
        <v xml:space="preserve"> </v>
      </c>
    </row>
    <row r="403" spans="1:15" s="580" customFormat="1" ht="15.75" customHeight="1" outlineLevel="2" thickBot="1">
      <c r="A403" s="580" t="s">
        <v>757</v>
      </c>
      <c r="B403" s="585" t="s">
        <v>764</v>
      </c>
      <c r="C403" s="585" t="s">
        <v>758</v>
      </c>
      <c r="D403" s="587" t="s">
        <v>1618</v>
      </c>
      <c r="E403" s="580" t="s">
        <v>759</v>
      </c>
      <c r="F403" s="590">
        <v>0</v>
      </c>
      <c r="G403" s="576"/>
      <c r="H403" s="590">
        <v>0</v>
      </c>
      <c r="I403" s="590">
        <v>0</v>
      </c>
      <c r="J403" s="590">
        <v>0</v>
      </c>
      <c r="K403" s="590">
        <v>0</v>
      </c>
      <c r="L403" s="584"/>
      <c r="M403" s="590">
        <v>0</v>
      </c>
      <c r="N403" s="577" t="str">
        <f>IF(OR(M403=0,M403="")," ",[43]!Arp(K403,M403,ARP_Threshold))</f>
        <v xml:space="preserve"> </v>
      </c>
      <c r="O403" s="578" t="e">
        <f ca="1">IF(AND(K403="",M403="")," ",[43]!Ara(K403,M403,ARA_Threshold))</f>
        <v>#NAME?</v>
      </c>
    </row>
    <row r="404" spans="1:15" s="580" customFormat="1" ht="16.5" outlineLevel="1" thickTop="1" thickBot="1">
      <c r="A404" s="580" t="s">
        <v>760</v>
      </c>
      <c r="B404" s="585" t="s">
        <v>764</v>
      </c>
      <c r="C404" s="585" t="s">
        <v>758</v>
      </c>
      <c r="D404" s="587" t="s">
        <v>764</v>
      </c>
      <c r="E404" s="589" t="s">
        <v>761</v>
      </c>
      <c r="F404" s="595">
        <v>0</v>
      </c>
      <c r="G404" s="576"/>
      <c r="H404" s="595">
        <v>0</v>
      </c>
      <c r="I404" s="595">
        <v>0</v>
      </c>
      <c r="J404" s="595">
        <v>0</v>
      </c>
      <c r="K404" s="595">
        <v>0</v>
      </c>
      <c r="L404" s="576"/>
      <c r="M404" s="595">
        <v>0</v>
      </c>
      <c r="N404" s="577" t="str">
        <f>IF(OR(M404=0,M404="")," ",[43]!Arp(K404,M404,ARP_Threshold))</f>
        <v xml:space="preserve"> </v>
      </c>
      <c r="O404" s="578" t="e">
        <f ca="1">IF(AND(K404="",M404="")," ",[43]!Ara(K404,M404,ARA_Threshold))</f>
        <v>#NAME?</v>
      </c>
    </row>
    <row r="405" spans="1:15" s="580" customFormat="1" ht="16.5" thickTop="1" thickBot="1">
      <c r="A405" s="592" t="s">
        <v>762</v>
      </c>
      <c r="B405" s="593" t="s">
        <v>764</v>
      </c>
      <c r="C405" s="594" t="s">
        <v>763</v>
      </c>
      <c r="D405" s="593" t="s">
        <v>764</v>
      </c>
      <c r="E405" s="592"/>
      <c r="F405" s="579">
        <v>0</v>
      </c>
      <c r="G405"/>
      <c r="H405" s="579">
        <v>0</v>
      </c>
      <c r="I405" s="579">
        <v>0</v>
      </c>
      <c r="J405" s="579">
        <v>0</v>
      </c>
      <c r="K405" s="579">
        <v>0</v>
      </c>
      <c r="L405" s="576"/>
      <c r="M405" s="579">
        <v>0</v>
      </c>
      <c r="N405" s="1056" t="str">
        <f>IF(OR(M405=0,M405="")," ",[43]!Arp(K405,M405,ARP_Threshold))</f>
        <v xml:space="preserve"> </v>
      </c>
      <c r="O405" s="1054" t="e">
        <f ca="1">IF(AND(K405="",M405="")," ",[43]!Ara(K405,M405,ARA_Threshold))</f>
        <v>#NAME?</v>
      </c>
    </row>
    <row r="406" spans="1:15" ht="15.75" thickTop="1">
      <c r="A406"/>
      <c r="B406"/>
      <c r="C406"/>
      <c r="D406"/>
      <c r="E406"/>
      <c r="F406"/>
      <c r="H406"/>
      <c r="I406"/>
      <c r="J406"/>
      <c r="K406"/>
      <c r="L406"/>
      <c r="M406"/>
      <c r="N406"/>
      <c r="O406"/>
    </row>
  </sheetData>
  <pageMargins left="0.7" right="0.7" top="0.75" bottom="0.75" header="0.3" footer="0.3"/>
  <pageSetup orientation="portrait" horizontalDpi="4294967295" verticalDpi="4294967295" r:id="rId1"/>
  <customProperties>
    <customPr name="LeadSheet"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9"/>
  <sheetViews>
    <sheetView topLeftCell="A126" workbookViewId="0">
      <selection activeCell="B147" sqref="B147"/>
    </sheetView>
  </sheetViews>
  <sheetFormatPr defaultRowHeight="15"/>
  <cols>
    <col min="1" max="1" width="13.140625" bestFit="1" customWidth="1"/>
    <col min="2" max="2" width="83.5703125" bestFit="1" customWidth="1"/>
    <col min="3" max="3" width="16.7109375" style="1308" customWidth="1"/>
    <col min="4" max="4" width="16.140625" style="1308" bestFit="1" customWidth="1"/>
    <col min="5" max="5" width="10" style="1308" bestFit="1" customWidth="1"/>
    <col min="6" max="6" width="10" bestFit="1" customWidth="1"/>
    <col min="7" max="7" width="11.140625" bestFit="1" customWidth="1"/>
  </cols>
  <sheetData>
    <row r="1" spans="1:7">
      <c r="A1" t="s">
        <v>2008</v>
      </c>
    </row>
    <row r="2" spans="1:7">
      <c r="A2" t="s">
        <v>1890</v>
      </c>
      <c r="B2" t="s">
        <v>1891</v>
      </c>
      <c r="C2" s="1308" t="s">
        <v>1892</v>
      </c>
      <c r="D2" s="1308" t="s">
        <v>1893</v>
      </c>
    </row>
    <row r="3" spans="1:7">
      <c r="A3" s="1708" t="s">
        <v>1767</v>
      </c>
      <c r="B3" t="s">
        <v>13</v>
      </c>
      <c r="C3" s="1308">
        <v>80842236.849999994</v>
      </c>
      <c r="D3" s="1308">
        <v>0</v>
      </c>
      <c r="E3" s="1308">
        <f>+C3/1000</f>
        <v>80842.236850000001</v>
      </c>
      <c r="F3" s="1308">
        <f>+D3/1000</f>
        <v>0</v>
      </c>
    </row>
    <row r="4" spans="1:7">
      <c r="A4" s="1708" t="s">
        <v>1768</v>
      </c>
      <c r="B4" t="s">
        <v>15</v>
      </c>
      <c r="C4" s="1308">
        <v>24238.66</v>
      </c>
      <c r="D4" s="1308">
        <v>0</v>
      </c>
      <c r="E4" s="1308">
        <f t="shared" ref="E4:E67" si="0">+C4/1000</f>
        <v>24.238659999999999</v>
      </c>
      <c r="F4" s="1308">
        <f t="shared" ref="F4:F67" si="1">+D4/1000</f>
        <v>0</v>
      </c>
    </row>
    <row r="5" spans="1:7">
      <c r="A5" s="1708" t="s">
        <v>1769</v>
      </c>
      <c r="B5" t="s">
        <v>17</v>
      </c>
      <c r="C5" s="1308">
        <v>1682455.8599999999</v>
      </c>
      <c r="D5" s="1308">
        <v>0</v>
      </c>
      <c r="E5" s="1308">
        <f t="shared" si="0"/>
        <v>1682.4558599999998</v>
      </c>
      <c r="F5" s="1308">
        <f t="shared" si="1"/>
        <v>0</v>
      </c>
    </row>
    <row r="6" spans="1:7">
      <c r="A6" s="1708" t="s">
        <v>1770</v>
      </c>
      <c r="B6" t="s">
        <v>19</v>
      </c>
      <c r="C6" s="1308">
        <v>42848682.960000001</v>
      </c>
      <c r="D6" s="1308">
        <v>0</v>
      </c>
      <c r="E6" s="1308">
        <f t="shared" si="0"/>
        <v>42848.682959999998</v>
      </c>
      <c r="F6" s="1308">
        <f t="shared" si="1"/>
        <v>0</v>
      </c>
    </row>
    <row r="7" spans="1:7">
      <c r="A7" s="1708" t="s">
        <v>1771</v>
      </c>
      <c r="B7" t="s">
        <v>21</v>
      </c>
      <c r="C7" s="1308">
        <v>2210371.17</v>
      </c>
      <c r="D7" s="1308">
        <v>0</v>
      </c>
      <c r="E7" s="1308">
        <f t="shared" si="0"/>
        <v>2210.3711699999999</v>
      </c>
      <c r="F7" s="1308">
        <f t="shared" si="1"/>
        <v>0</v>
      </c>
    </row>
    <row r="8" spans="1:7">
      <c r="A8" s="1708" t="s">
        <v>1772</v>
      </c>
      <c r="B8" t="s">
        <v>23</v>
      </c>
      <c r="C8" s="1308">
        <v>2814221.16</v>
      </c>
      <c r="D8" s="1308">
        <v>0</v>
      </c>
      <c r="E8" s="1308">
        <f t="shared" si="0"/>
        <v>2814.2211600000001</v>
      </c>
      <c r="F8" s="1308">
        <f t="shared" si="1"/>
        <v>0</v>
      </c>
      <c r="G8" s="1673">
        <f>+E8+E9</f>
        <v>2824.7971400000001</v>
      </c>
    </row>
    <row r="9" spans="1:7">
      <c r="A9" s="1708" t="s">
        <v>1773</v>
      </c>
      <c r="B9" t="s">
        <v>25</v>
      </c>
      <c r="C9" s="1308">
        <v>10575.98</v>
      </c>
      <c r="D9" s="1308">
        <v>0</v>
      </c>
      <c r="E9" s="1308">
        <f t="shared" si="0"/>
        <v>10.575979999999999</v>
      </c>
      <c r="F9" s="1308">
        <f t="shared" si="1"/>
        <v>0</v>
      </c>
      <c r="G9" s="1743">
        <f>+G8/1000</f>
        <v>2.8247971400000003</v>
      </c>
    </row>
    <row r="10" spans="1:7">
      <c r="A10" s="1708" t="s">
        <v>1774</v>
      </c>
      <c r="B10" t="s">
        <v>27</v>
      </c>
      <c r="C10" s="1308">
        <v>15934</v>
      </c>
      <c r="D10" s="1308">
        <v>0</v>
      </c>
      <c r="E10" s="1308">
        <f t="shared" si="0"/>
        <v>15.933999999999999</v>
      </c>
      <c r="F10" s="1308">
        <f t="shared" si="1"/>
        <v>0</v>
      </c>
    </row>
    <row r="11" spans="1:7">
      <c r="A11" s="1708" t="s">
        <v>1775</v>
      </c>
      <c r="B11" t="s">
        <v>29</v>
      </c>
      <c r="C11" s="1308">
        <v>6973837.5999999996</v>
      </c>
      <c r="D11" s="1308">
        <v>0</v>
      </c>
      <c r="E11" s="1308">
        <f t="shared" si="0"/>
        <v>6973.8375999999998</v>
      </c>
      <c r="F11" s="1308">
        <f t="shared" si="1"/>
        <v>0</v>
      </c>
      <c r="G11" s="1743">
        <f>+E11/1000</f>
        <v>6.9738375999999995</v>
      </c>
    </row>
    <row r="12" spans="1:7">
      <c r="A12" s="1708" t="s">
        <v>1776</v>
      </c>
      <c r="B12" t="s">
        <v>31</v>
      </c>
      <c r="C12" s="1308">
        <v>34569.919999999998</v>
      </c>
      <c r="D12" s="1308">
        <v>0</v>
      </c>
      <c r="E12" s="1308">
        <f t="shared" si="0"/>
        <v>34.569919999999996</v>
      </c>
      <c r="F12" s="1308">
        <f t="shared" si="1"/>
        <v>0</v>
      </c>
    </row>
    <row r="13" spans="1:7">
      <c r="A13" s="1708" t="s">
        <v>1777</v>
      </c>
      <c r="B13" t="s">
        <v>33</v>
      </c>
      <c r="C13" s="1308">
        <v>16023.67</v>
      </c>
      <c r="D13" s="1308">
        <v>0</v>
      </c>
      <c r="E13" s="1308">
        <f t="shared" si="0"/>
        <v>16.023669999999999</v>
      </c>
      <c r="F13" s="1308">
        <f t="shared" si="1"/>
        <v>0</v>
      </c>
    </row>
    <row r="14" spans="1:7">
      <c r="A14" s="1708" t="s">
        <v>1778</v>
      </c>
      <c r="B14" t="s">
        <v>35</v>
      </c>
      <c r="C14" s="1308">
        <v>8340.18</v>
      </c>
      <c r="D14" s="1308">
        <v>0</v>
      </c>
      <c r="E14" s="1308">
        <f t="shared" si="0"/>
        <v>8.3401800000000001</v>
      </c>
      <c r="F14" s="1308">
        <f t="shared" si="1"/>
        <v>0</v>
      </c>
    </row>
    <row r="15" spans="1:7">
      <c r="A15" s="1708" t="s">
        <v>1779</v>
      </c>
      <c r="B15" t="s">
        <v>37</v>
      </c>
      <c r="C15" s="1308">
        <v>17317.95</v>
      </c>
      <c r="D15" s="1308">
        <v>0</v>
      </c>
      <c r="E15" s="1308">
        <f t="shared" si="0"/>
        <v>17.31795</v>
      </c>
      <c r="F15" s="1308">
        <f t="shared" si="1"/>
        <v>0</v>
      </c>
    </row>
    <row r="16" spans="1:7">
      <c r="A16" s="1708" t="s">
        <v>1780</v>
      </c>
      <c r="B16" t="s">
        <v>39</v>
      </c>
      <c r="C16" s="1308">
        <v>5395.09</v>
      </c>
      <c r="D16" s="1308">
        <v>0</v>
      </c>
      <c r="E16" s="1308">
        <f t="shared" si="0"/>
        <v>5.3950899999999997</v>
      </c>
      <c r="F16" s="1308">
        <f t="shared" si="1"/>
        <v>0</v>
      </c>
    </row>
    <row r="17" spans="1:7">
      <c r="A17" s="1708" t="s">
        <v>1781</v>
      </c>
      <c r="B17" t="s">
        <v>41</v>
      </c>
      <c r="C17" s="1308">
        <v>833406127.13</v>
      </c>
      <c r="D17" s="1308">
        <v>0</v>
      </c>
      <c r="E17" s="1308">
        <f t="shared" si="0"/>
        <v>833406.12713000004</v>
      </c>
      <c r="F17" s="1308">
        <f t="shared" si="1"/>
        <v>0</v>
      </c>
    </row>
    <row r="18" spans="1:7">
      <c r="A18" s="1708" t="s">
        <v>1782</v>
      </c>
      <c r="B18" t="s">
        <v>43</v>
      </c>
      <c r="C18" s="1308">
        <v>7527.12</v>
      </c>
      <c r="D18" s="1308">
        <v>0</v>
      </c>
      <c r="E18" s="1308">
        <f t="shared" si="0"/>
        <v>7.52712</v>
      </c>
      <c r="F18" s="1308">
        <f t="shared" si="1"/>
        <v>0</v>
      </c>
    </row>
    <row r="19" spans="1:7">
      <c r="A19" s="1708" t="s">
        <v>1783</v>
      </c>
      <c r="B19" t="s">
        <v>45</v>
      </c>
      <c r="C19" s="1308">
        <v>9917.02</v>
      </c>
      <c r="D19" s="1308">
        <v>0</v>
      </c>
      <c r="E19" s="1308">
        <f t="shared" si="0"/>
        <v>9.9170200000000008</v>
      </c>
      <c r="F19" s="1308">
        <f t="shared" si="1"/>
        <v>0</v>
      </c>
    </row>
    <row r="20" spans="1:7">
      <c r="A20" s="1708" t="s">
        <v>1784</v>
      </c>
      <c r="B20" t="s">
        <v>2009</v>
      </c>
      <c r="C20" s="1308">
        <v>7537.42</v>
      </c>
      <c r="D20" s="1308">
        <v>0</v>
      </c>
      <c r="E20" s="1308">
        <f t="shared" si="0"/>
        <v>7.53742</v>
      </c>
      <c r="F20" s="1308">
        <f t="shared" si="1"/>
        <v>0</v>
      </c>
    </row>
    <row r="21" spans="1:7">
      <c r="A21" s="1708" t="s">
        <v>1785</v>
      </c>
      <c r="B21" t="s">
        <v>49</v>
      </c>
      <c r="C21" s="1308">
        <v>88916.790000000008</v>
      </c>
      <c r="D21" s="1308">
        <v>0</v>
      </c>
      <c r="E21" s="1308">
        <f t="shared" si="0"/>
        <v>88.916790000000006</v>
      </c>
      <c r="F21" s="1308">
        <f t="shared" si="1"/>
        <v>0</v>
      </c>
    </row>
    <row r="22" spans="1:7">
      <c r="A22" s="1708" t="s">
        <v>1786</v>
      </c>
      <c r="B22" t="s">
        <v>51</v>
      </c>
      <c r="C22" s="1308">
        <v>333937.91999999998</v>
      </c>
      <c r="D22" s="1308">
        <v>0</v>
      </c>
      <c r="E22" s="1308">
        <f t="shared" si="0"/>
        <v>333.93791999999996</v>
      </c>
      <c r="F22" s="1308">
        <f t="shared" si="1"/>
        <v>0</v>
      </c>
    </row>
    <row r="23" spans="1:7">
      <c r="A23" s="1708" t="s">
        <v>2010</v>
      </c>
      <c r="B23" t="s">
        <v>2011</v>
      </c>
      <c r="C23" s="1308">
        <v>9834</v>
      </c>
      <c r="D23" s="1308">
        <v>0</v>
      </c>
      <c r="E23" s="1308">
        <f t="shared" si="0"/>
        <v>9.8339999999999996</v>
      </c>
      <c r="F23" s="1308">
        <f t="shared" si="1"/>
        <v>0</v>
      </c>
    </row>
    <row r="24" spans="1:7">
      <c r="A24" s="1708" t="s">
        <v>1787</v>
      </c>
      <c r="B24" t="s">
        <v>53</v>
      </c>
      <c r="C24" s="1308">
        <v>6927.32</v>
      </c>
      <c r="D24" s="1308">
        <v>0</v>
      </c>
      <c r="E24" s="1308">
        <f t="shared" si="0"/>
        <v>6.9273199999999999</v>
      </c>
      <c r="F24" s="1308">
        <f t="shared" si="1"/>
        <v>0</v>
      </c>
    </row>
    <row r="25" spans="1:7">
      <c r="A25" s="1708" t="s">
        <v>1788</v>
      </c>
      <c r="B25" t="s">
        <v>55</v>
      </c>
      <c r="C25" s="1308">
        <v>10901.18</v>
      </c>
      <c r="D25" s="1308">
        <v>0</v>
      </c>
      <c r="E25" s="1308">
        <f t="shared" si="0"/>
        <v>10.90118</v>
      </c>
      <c r="F25" s="1308">
        <f t="shared" si="1"/>
        <v>0</v>
      </c>
    </row>
    <row r="26" spans="1:7">
      <c r="A26" s="1708" t="s">
        <v>1789</v>
      </c>
      <c r="B26" t="s">
        <v>57</v>
      </c>
      <c r="C26" s="1308">
        <v>3815029655.7600002</v>
      </c>
      <c r="D26" s="1308">
        <v>0</v>
      </c>
      <c r="E26" s="1308">
        <f t="shared" si="0"/>
        <v>3815029.6557600005</v>
      </c>
      <c r="F26" s="1308">
        <f t="shared" si="1"/>
        <v>0</v>
      </c>
    </row>
    <row r="27" spans="1:7">
      <c r="A27" s="1708" t="s">
        <v>1791</v>
      </c>
      <c r="B27" t="s">
        <v>2012</v>
      </c>
      <c r="C27" s="1308">
        <v>8509</v>
      </c>
      <c r="D27" s="1308">
        <v>0</v>
      </c>
      <c r="E27" s="1308">
        <f t="shared" si="0"/>
        <v>8.5090000000000003</v>
      </c>
      <c r="F27" s="1308">
        <f t="shared" si="1"/>
        <v>0</v>
      </c>
    </row>
    <row r="28" spans="1:7">
      <c r="A28" s="1708" t="s">
        <v>2013</v>
      </c>
      <c r="B28" t="s">
        <v>2014</v>
      </c>
      <c r="C28" s="1308">
        <v>8679</v>
      </c>
      <c r="D28" s="1308">
        <v>0</v>
      </c>
      <c r="E28" s="1308">
        <f t="shared" si="0"/>
        <v>8.6790000000000003</v>
      </c>
      <c r="F28" s="1308">
        <f t="shared" si="1"/>
        <v>0</v>
      </c>
      <c r="G28" s="1308">
        <f>SUM(E3:E28)-SUM(F3:F28)</f>
        <v>4786432.6707100002</v>
      </c>
    </row>
    <row r="29" spans="1:7">
      <c r="A29" s="1708" t="s">
        <v>782</v>
      </c>
      <c r="B29" t="s">
        <v>76</v>
      </c>
      <c r="C29" s="1308">
        <v>85998354.689999998</v>
      </c>
      <c r="D29" s="1308">
        <v>0</v>
      </c>
      <c r="E29" s="1308">
        <f t="shared" si="0"/>
        <v>85998.354689999993</v>
      </c>
      <c r="F29" s="1308">
        <f t="shared" si="1"/>
        <v>0</v>
      </c>
    </row>
    <row r="30" spans="1:7">
      <c r="A30" s="1708" t="s">
        <v>1572</v>
      </c>
      <c r="B30" t="s">
        <v>134</v>
      </c>
      <c r="C30" s="1308">
        <v>2267877015.7600002</v>
      </c>
      <c r="D30" s="1308">
        <v>0</v>
      </c>
      <c r="E30" s="1308">
        <f t="shared" si="0"/>
        <v>2267877.0157600003</v>
      </c>
      <c r="F30" s="1308">
        <f t="shared" si="1"/>
        <v>0</v>
      </c>
    </row>
    <row r="31" spans="1:7">
      <c r="A31" s="1708" t="s">
        <v>1573</v>
      </c>
      <c r="B31" t="s">
        <v>136</v>
      </c>
      <c r="C31" s="1308">
        <v>0</v>
      </c>
      <c r="D31" s="1308">
        <v>221704588.44999999</v>
      </c>
      <c r="E31" s="1308">
        <f t="shared" si="0"/>
        <v>0</v>
      </c>
      <c r="F31" s="1308">
        <f t="shared" si="1"/>
        <v>221704.58844999998</v>
      </c>
    </row>
    <row r="32" spans="1:7">
      <c r="A32" s="1708" t="s">
        <v>772</v>
      </c>
      <c r="B32" t="s">
        <v>103</v>
      </c>
      <c r="C32" s="1308">
        <v>38730</v>
      </c>
      <c r="D32" s="1308">
        <v>0</v>
      </c>
      <c r="E32" s="1308">
        <f t="shared" si="0"/>
        <v>38.729999999999997</v>
      </c>
      <c r="F32" s="1308">
        <f t="shared" si="1"/>
        <v>0</v>
      </c>
    </row>
    <row r="33" spans="1:6">
      <c r="A33" s="1708" t="s">
        <v>773</v>
      </c>
      <c r="B33" t="s">
        <v>105</v>
      </c>
      <c r="C33" s="1308">
        <v>0</v>
      </c>
      <c r="D33" s="1308">
        <v>1157.6000000000001</v>
      </c>
      <c r="E33" s="1308">
        <f t="shared" si="0"/>
        <v>0</v>
      </c>
      <c r="F33" s="1308">
        <f t="shared" si="1"/>
        <v>1.1576000000000002</v>
      </c>
    </row>
    <row r="34" spans="1:6">
      <c r="A34" s="1708" t="s">
        <v>774</v>
      </c>
      <c r="B34" t="s">
        <v>107</v>
      </c>
      <c r="C34" s="1308">
        <v>0</v>
      </c>
      <c r="D34" s="1308">
        <v>37621.730000000003</v>
      </c>
      <c r="E34" s="1308">
        <f t="shared" si="0"/>
        <v>0</v>
      </c>
      <c r="F34" s="1308">
        <f t="shared" si="1"/>
        <v>37.621730000000007</v>
      </c>
    </row>
    <row r="35" spans="1:6">
      <c r="A35" s="1708" t="s">
        <v>1567</v>
      </c>
      <c r="B35" t="s">
        <v>111</v>
      </c>
      <c r="C35" s="1308">
        <v>1327132.8700000001</v>
      </c>
      <c r="D35" s="1308">
        <v>0</v>
      </c>
      <c r="E35" s="1308">
        <f t="shared" si="0"/>
        <v>1327.1328700000001</v>
      </c>
      <c r="F35" s="1308">
        <f t="shared" si="1"/>
        <v>0</v>
      </c>
    </row>
    <row r="36" spans="1:6">
      <c r="A36" s="1708" t="s">
        <v>1568</v>
      </c>
      <c r="B36" t="s">
        <v>113</v>
      </c>
      <c r="C36" s="1308">
        <v>0</v>
      </c>
      <c r="D36" s="1308">
        <v>1327132.8599999999</v>
      </c>
      <c r="E36" s="1308">
        <f t="shared" si="0"/>
        <v>0</v>
      </c>
      <c r="F36" s="1308">
        <f t="shared" si="1"/>
        <v>1327.1328599999999</v>
      </c>
    </row>
    <row r="37" spans="1:6">
      <c r="A37" s="1708" t="s">
        <v>1546</v>
      </c>
      <c r="B37" t="s">
        <v>1545</v>
      </c>
      <c r="C37" s="1308">
        <v>0</v>
      </c>
      <c r="D37" s="1308">
        <v>59</v>
      </c>
      <c r="E37" s="1308">
        <f t="shared" si="0"/>
        <v>0</v>
      </c>
      <c r="F37" s="1308">
        <f t="shared" si="1"/>
        <v>5.8999999999999997E-2</v>
      </c>
    </row>
    <row r="38" spans="1:6">
      <c r="A38" s="1708" t="s">
        <v>775</v>
      </c>
      <c r="B38" t="s">
        <v>82</v>
      </c>
      <c r="C38" s="1308">
        <v>317917146.05000001</v>
      </c>
      <c r="D38" s="1308">
        <v>0</v>
      </c>
      <c r="E38" s="1308">
        <f t="shared" si="0"/>
        <v>317917.14605000004</v>
      </c>
      <c r="F38" s="1308">
        <f t="shared" si="1"/>
        <v>0</v>
      </c>
    </row>
    <row r="39" spans="1:6">
      <c r="A39" s="1708" t="s">
        <v>776</v>
      </c>
      <c r="B39" t="s">
        <v>84</v>
      </c>
      <c r="C39" s="1308">
        <v>0</v>
      </c>
      <c r="D39" s="1308">
        <v>11344132.75</v>
      </c>
      <c r="E39" s="1308">
        <f t="shared" si="0"/>
        <v>0</v>
      </c>
      <c r="F39" s="1308">
        <f t="shared" si="1"/>
        <v>11344.132750000001</v>
      </c>
    </row>
    <row r="40" spans="1:6">
      <c r="A40" s="1708" t="s">
        <v>777</v>
      </c>
      <c r="B40" t="s">
        <v>86</v>
      </c>
      <c r="C40" s="1308">
        <v>1237726.28</v>
      </c>
      <c r="D40" s="1308">
        <v>0</v>
      </c>
      <c r="E40" s="1308">
        <f t="shared" si="0"/>
        <v>1237.7262800000001</v>
      </c>
      <c r="F40" s="1308">
        <f t="shared" si="1"/>
        <v>0</v>
      </c>
    </row>
    <row r="41" spans="1:6">
      <c r="A41" s="1708" t="s">
        <v>778</v>
      </c>
      <c r="B41" t="s">
        <v>88</v>
      </c>
      <c r="C41" s="1308">
        <v>1560804.6400000001</v>
      </c>
      <c r="D41" s="1308">
        <v>0</v>
      </c>
      <c r="E41" s="1308">
        <f t="shared" si="0"/>
        <v>1560.8046400000001</v>
      </c>
      <c r="F41" s="1308">
        <f t="shared" si="1"/>
        <v>0</v>
      </c>
    </row>
    <row r="42" spans="1:6">
      <c r="A42" s="1708" t="s">
        <v>1562</v>
      </c>
      <c r="B42" t="s">
        <v>1561</v>
      </c>
      <c r="C42" s="1308">
        <v>2.68</v>
      </c>
      <c r="D42" s="1308">
        <v>0</v>
      </c>
      <c r="E42" s="1308">
        <f t="shared" si="0"/>
        <v>2.6800000000000001E-3</v>
      </c>
      <c r="F42" s="1308">
        <f t="shared" si="1"/>
        <v>0</v>
      </c>
    </row>
    <row r="43" spans="1:6">
      <c r="A43" s="1708" t="s">
        <v>1576</v>
      </c>
      <c r="B43" t="s">
        <v>154</v>
      </c>
      <c r="C43" s="1308">
        <v>117494928.15000001</v>
      </c>
      <c r="D43" s="1308">
        <v>0</v>
      </c>
      <c r="E43" s="1308">
        <f t="shared" si="0"/>
        <v>117494.92815000001</v>
      </c>
      <c r="F43" s="1308">
        <f t="shared" si="1"/>
        <v>0</v>
      </c>
    </row>
    <row r="44" spans="1:6">
      <c r="A44" s="1708" t="s">
        <v>1569</v>
      </c>
      <c r="B44" t="s">
        <v>115</v>
      </c>
      <c r="C44" s="1308">
        <v>0</v>
      </c>
      <c r="D44" s="1308">
        <v>353543.36</v>
      </c>
      <c r="E44" s="1308">
        <f t="shared" si="0"/>
        <v>0</v>
      </c>
      <c r="F44" s="1308">
        <f t="shared" si="1"/>
        <v>353.54336000000001</v>
      </c>
    </row>
    <row r="45" spans="1:6">
      <c r="A45" s="1708" t="s">
        <v>1570</v>
      </c>
      <c r="B45" t="s">
        <v>117</v>
      </c>
      <c r="C45" s="1308">
        <v>1725000000</v>
      </c>
      <c r="D45" s="1308">
        <v>0</v>
      </c>
      <c r="E45" s="1308">
        <f t="shared" si="0"/>
        <v>1725000</v>
      </c>
      <c r="F45" s="1308">
        <f t="shared" si="1"/>
        <v>0</v>
      </c>
    </row>
    <row r="46" spans="1:6">
      <c r="A46" s="1708" t="s">
        <v>1571</v>
      </c>
      <c r="B46" t="s">
        <v>119</v>
      </c>
      <c r="C46" s="1308">
        <v>0</v>
      </c>
      <c r="D46" s="1308">
        <v>5908956.6299999999</v>
      </c>
      <c r="E46" s="1308">
        <f t="shared" si="0"/>
        <v>0</v>
      </c>
      <c r="F46" s="1308">
        <f t="shared" si="1"/>
        <v>5908.9566299999997</v>
      </c>
    </row>
    <row r="47" spans="1:6">
      <c r="A47" s="1708" t="s">
        <v>2015</v>
      </c>
      <c r="B47" t="s">
        <v>2016</v>
      </c>
      <c r="C47" s="1308">
        <v>26.080000000000002</v>
      </c>
      <c r="D47" s="1308">
        <v>0</v>
      </c>
      <c r="E47" s="1308">
        <f t="shared" si="0"/>
        <v>2.6080000000000002E-2</v>
      </c>
      <c r="F47" s="1308">
        <f t="shared" si="1"/>
        <v>0</v>
      </c>
    </row>
    <row r="48" spans="1:6">
      <c r="A48" s="1708" t="s">
        <v>785</v>
      </c>
      <c r="B48" t="s">
        <v>64</v>
      </c>
      <c r="C48" s="1308">
        <v>0</v>
      </c>
      <c r="D48" s="1308">
        <v>0.56000000000000005</v>
      </c>
      <c r="E48" s="1308">
        <f t="shared" si="0"/>
        <v>0</v>
      </c>
      <c r="F48" s="1308">
        <f t="shared" si="1"/>
        <v>5.6000000000000006E-4</v>
      </c>
    </row>
    <row r="49" spans="1:6">
      <c r="A49" s="1708" t="s">
        <v>786</v>
      </c>
      <c r="B49" t="s">
        <v>66</v>
      </c>
      <c r="C49" s="1308">
        <v>99840870</v>
      </c>
      <c r="D49" s="1308">
        <v>0</v>
      </c>
      <c r="E49" s="1308">
        <f t="shared" si="0"/>
        <v>99840.87</v>
      </c>
      <c r="F49" s="1308">
        <f t="shared" si="1"/>
        <v>0</v>
      </c>
    </row>
    <row r="50" spans="1:6">
      <c r="A50" s="1708" t="s">
        <v>807</v>
      </c>
      <c r="B50" t="s">
        <v>70</v>
      </c>
      <c r="C50" s="1308">
        <v>99770690.379999995</v>
      </c>
      <c r="D50" s="1308">
        <v>0</v>
      </c>
      <c r="E50" s="1308">
        <f t="shared" si="0"/>
        <v>99770.69038</v>
      </c>
      <c r="F50" s="1308">
        <f t="shared" si="1"/>
        <v>0</v>
      </c>
    </row>
    <row r="51" spans="1:6">
      <c r="A51" s="1708" t="s">
        <v>787</v>
      </c>
      <c r="B51" t="s">
        <v>200</v>
      </c>
      <c r="C51" s="1308">
        <v>26930719.079999998</v>
      </c>
      <c r="D51" s="1308">
        <v>0</v>
      </c>
      <c r="E51" s="1308">
        <f t="shared" si="0"/>
        <v>26930.719079999999</v>
      </c>
      <c r="F51" s="1308">
        <f t="shared" si="1"/>
        <v>0</v>
      </c>
    </row>
    <row r="52" spans="1:6">
      <c r="A52" s="1708" t="s">
        <v>808</v>
      </c>
      <c r="B52" t="s">
        <v>711</v>
      </c>
      <c r="C52" s="1308">
        <v>0</v>
      </c>
      <c r="D52" s="1308">
        <v>49940000</v>
      </c>
      <c r="E52" s="1308">
        <f t="shared" si="0"/>
        <v>0</v>
      </c>
      <c r="F52" s="1308">
        <f t="shared" si="1"/>
        <v>49940</v>
      </c>
    </row>
    <row r="53" spans="1:6">
      <c r="A53" s="1708" t="s">
        <v>809</v>
      </c>
      <c r="B53" t="s">
        <v>717</v>
      </c>
      <c r="C53" s="1308">
        <v>0</v>
      </c>
      <c r="D53" s="1308">
        <v>31088190.829999998</v>
      </c>
      <c r="E53" s="1308">
        <f t="shared" si="0"/>
        <v>0</v>
      </c>
      <c r="F53" s="1308">
        <f t="shared" si="1"/>
        <v>31088.19083</v>
      </c>
    </row>
    <row r="54" spans="1:6">
      <c r="A54" s="1708" t="s">
        <v>810</v>
      </c>
      <c r="B54" t="s">
        <v>719</v>
      </c>
      <c r="C54" s="1308">
        <v>0</v>
      </c>
      <c r="D54" s="1308">
        <v>18742500</v>
      </c>
      <c r="E54" s="1308">
        <f t="shared" si="0"/>
        <v>0</v>
      </c>
      <c r="F54" s="1308">
        <f t="shared" si="1"/>
        <v>18742.5</v>
      </c>
    </row>
    <row r="55" spans="1:6">
      <c r="A55" s="1708" t="s">
        <v>788</v>
      </c>
      <c r="B55" t="s">
        <v>202</v>
      </c>
      <c r="C55" s="1308">
        <v>0</v>
      </c>
      <c r="D55" s="1308">
        <v>26930719.079999998</v>
      </c>
      <c r="E55" s="1308">
        <f t="shared" si="0"/>
        <v>0</v>
      </c>
      <c r="F55" s="1308">
        <f t="shared" si="1"/>
        <v>26930.719079999999</v>
      </c>
    </row>
    <row r="56" spans="1:6">
      <c r="A56" s="1708" t="s">
        <v>790</v>
      </c>
      <c r="B56" t="s">
        <v>166</v>
      </c>
      <c r="C56" s="1308">
        <v>6702407.3700000001</v>
      </c>
      <c r="D56" s="1308">
        <v>0</v>
      </c>
      <c r="E56" s="1308">
        <f t="shared" si="0"/>
        <v>6702.4073699999999</v>
      </c>
      <c r="F56" s="1308">
        <f t="shared" si="1"/>
        <v>0</v>
      </c>
    </row>
    <row r="57" spans="1:6">
      <c r="A57" s="1708" t="s">
        <v>791</v>
      </c>
      <c r="B57" t="s">
        <v>2017</v>
      </c>
      <c r="C57" s="1308">
        <v>4.03</v>
      </c>
      <c r="D57" s="1308">
        <v>0</v>
      </c>
      <c r="E57" s="1308">
        <f t="shared" si="0"/>
        <v>4.0300000000000006E-3</v>
      </c>
      <c r="F57" s="1308">
        <f t="shared" si="1"/>
        <v>0</v>
      </c>
    </row>
    <row r="58" spans="1:6">
      <c r="A58" s="1708" t="s">
        <v>1578</v>
      </c>
      <c r="B58" t="s">
        <v>170</v>
      </c>
      <c r="C58" s="1308">
        <v>0</v>
      </c>
      <c r="D58" s="1308">
        <v>373</v>
      </c>
      <c r="E58" s="1308">
        <f t="shared" si="0"/>
        <v>0</v>
      </c>
      <c r="F58" s="1308">
        <f t="shared" si="1"/>
        <v>0.373</v>
      </c>
    </row>
    <row r="59" spans="1:6">
      <c r="A59" s="1708" t="s">
        <v>792</v>
      </c>
      <c r="B59" t="s">
        <v>172</v>
      </c>
      <c r="C59" s="1308">
        <v>641304.5</v>
      </c>
      <c r="D59" s="1308">
        <v>0</v>
      </c>
      <c r="E59" s="1308">
        <f t="shared" si="0"/>
        <v>641.30449999999996</v>
      </c>
      <c r="F59" s="1308">
        <f t="shared" si="1"/>
        <v>0</v>
      </c>
    </row>
    <row r="60" spans="1:6">
      <c r="A60" s="1708" t="s">
        <v>793</v>
      </c>
      <c r="B60" t="s">
        <v>174</v>
      </c>
      <c r="C60" s="1308">
        <v>9233.7100000000009</v>
      </c>
      <c r="D60" s="1308">
        <v>0</v>
      </c>
      <c r="E60" s="1308">
        <f t="shared" si="0"/>
        <v>9.2337100000000003</v>
      </c>
      <c r="F60" s="1308">
        <f t="shared" si="1"/>
        <v>0</v>
      </c>
    </row>
    <row r="61" spans="1:6">
      <c r="A61" s="1708" t="s">
        <v>794</v>
      </c>
      <c r="B61" t="s">
        <v>176</v>
      </c>
      <c r="C61" s="1308">
        <v>1.9100000000000001</v>
      </c>
      <c r="D61" s="1308">
        <v>0</v>
      </c>
      <c r="E61" s="1308">
        <f t="shared" si="0"/>
        <v>1.9100000000000002E-3</v>
      </c>
      <c r="F61" s="1308">
        <f t="shared" si="1"/>
        <v>0</v>
      </c>
    </row>
    <row r="62" spans="1:6">
      <c r="A62" s="1708" t="s">
        <v>796</v>
      </c>
      <c r="B62" t="s">
        <v>180</v>
      </c>
      <c r="C62" s="1308">
        <v>0.74</v>
      </c>
      <c r="D62" s="1308">
        <v>0</v>
      </c>
      <c r="E62" s="1308">
        <f t="shared" si="0"/>
        <v>7.3999999999999999E-4</v>
      </c>
      <c r="F62" s="1308">
        <f t="shared" si="1"/>
        <v>0</v>
      </c>
    </row>
    <row r="63" spans="1:6">
      <c r="A63" s="1708" t="s">
        <v>797</v>
      </c>
      <c r="B63" t="s">
        <v>182</v>
      </c>
      <c r="C63" s="1308">
        <v>6.87</v>
      </c>
      <c r="D63" s="1308">
        <v>0</v>
      </c>
      <c r="E63" s="1308">
        <f t="shared" si="0"/>
        <v>6.8700000000000002E-3</v>
      </c>
      <c r="F63" s="1308">
        <f t="shared" si="1"/>
        <v>0</v>
      </c>
    </row>
    <row r="64" spans="1:6">
      <c r="A64" s="1708" t="s">
        <v>798</v>
      </c>
      <c r="B64" t="s">
        <v>184</v>
      </c>
      <c r="C64" s="1308">
        <v>1.5</v>
      </c>
      <c r="D64" s="1308">
        <v>0</v>
      </c>
      <c r="E64" s="1308">
        <f t="shared" si="0"/>
        <v>1.5E-3</v>
      </c>
      <c r="F64" s="1308">
        <f t="shared" si="1"/>
        <v>0</v>
      </c>
    </row>
    <row r="65" spans="1:7">
      <c r="A65" s="1708" t="s">
        <v>799</v>
      </c>
      <c r="B65" t="s">
        <v>186</v>
      </c>
      <c r="C65" s="1308">
        <v>6702738.04</v>
      </c>
      <c r="D65" s="1308">
        <v>0</v>
      </c>
      <c r="E65" s="1308">
        <f t="shared" si="0"/>
        <v>6702.7380400000002</v>
      </c>
      <c r="F65" s="1308">
        <f t="shared" si="1"/>
        <v>0</v>
      </c>
    </row>
    <row r="66" spans="1:7">
      <c r="A66" s="1708" t="s">
        <v>800</v>
      </c>
      <c r="B66" t="s">
        <v>188</v>
      </c>
      <c r="C66" s="1308">
        <v>0.74</v>
      </c>
      <c r="D66" s="1308">
        <v>0</v>
      </c>
      <c r="E66" s="1308">
        <f t="shared" si="0"/>
        <v>7.3999999999999999E-4</v>
      </c>
      <c r="F66" s="1308">
        <f t="shared" si="1"/>
        <v>0</v>
      </c>
    </row>
    <row r="67" spans="1:7">
      <c r="A67" s="1708" t="s">
        <v>801</v>
      </c>
      <c r="B67" t="s">
        <v>190</v>
      </c>
      <c r="C67" s="1308">
        <v>4.2700000000000005</v>
      </c>
      <c r="D67" s="1308">
        <v>0</v>
      </c>
      <c r="E67" s="1308">
        <f t="shared" si="0"/>
        <v>4.2700000000000004E-3</v>
      </c>
      <c r="F67" s="1308">
        <f t="shared" si="1"/>
        <v>0</v>
      </c>
    </row>
    <row r="68" spans="1:7">
      <c r="A68" s="1708" t="s">
        <v>1549</v>
      </c>
      <c r="B68" t="s">
        <v>1548</v>
      </c>
      <c r="C68" s="1308">
        <v>1.19</v>
      </c>
      <c r="D68" s="1308">
        <v>0</v>
      </c>
      <c r="E68" s="1308">
        <f t="shared" ref="E68:E131" si="2">+C68/1000</f>
        <v>1.1899999999999999E-3</v>
      </c>
      <c r="F68" s="1308">
        <f t="shared" ref="F68:F133" si="3">+D68/1000</f>
        <v>0</v>
      </c>
    </row>
    <row r="69" spans="1:7">
      <c r="A69" s="1708" t="s">
        <v>2018</v>
      </c>
      <c r="B69" t="s">
        <v>191</v>
      </c>
      <c r="C69" s="1308">
        <v>2888.9500000000003</v>
      </c>
      <c r="D69" s="1308">
        <v>0</v>
      </c>
      <c r="E69" s="1308">
        <f t="shared" si="2"/>
        <v>2.8889500000000004</v>
      </c>
      <c r="F69" s="1308">
        <f t="shared" si="3"/>
        <v>0</v>
      </c>
    </row>
    <row r="70" spans="1:7">
      <c r="A70" s="1708" t="s">
        <v>2019</v>
      </c>
      <c r="B70" t="s">
        <v>192</v>
      </c>
      <c r="C70" s="1308">
        <v>1.37</v>
      </c>
      <c r="D70" s="1308">
        <v>0</v>
      </c>
      <c r="E70" s="1308">
        <f t="shared" si="2"/>
        <v>1.3700000000000001E-3</v>
      </c>
      <c r="F70" s="1308">
        <f t="shared" si="3"/>
        <v>0</v>
      </c>
    </row>
    <row r="71" spans="1:7">
      <c r="A71" s="1708" t="s">
        <v>2020</v>
      </c>
      <c r="B71" t="s">
        <v>2021</v>
      </c>
      <c r="C71" s="1308">
        <v>3388629.23</v>
      </c>
      <c r="D71" s="1308">
        <v>0</v>
      </c>
      <c r="E71" s="1308">
        <f t="shared" si="2"/>
        <v>3388.62923</v>
      </c>
      <c r="F71" s="1308">
        <f t="shared" si="3"/>
        <v>0</v>
      </c>
      <c r="G71" s="1673">
        <f>SUM(E56:E76)+E81+E82</f>
        <v>56821.36363</v>
      </c>
    </row>
    <row r="72" spans="1:7">
      <c r="A72" s="1708" t="s">
        <v>802</v>
      </c>
      <c r="B72" t="s">
        <v>204</v>
      </c>
      <c r="C72" s="1308">
        <v>6476753.8099999996</v>
      </c>
      <c r="D72" s="1308">
        <v>0</v>
      </c>
      <c r="E72" s="1308">
        <f t="shared" si="2"/>
        <v>6476.7538099999992</v>
      </c>
      <c r="F72" s="1308">
        <f t="shared" si="3"/>
        <v>0</v>
      </c>
    </row>
    <row r="73" spans="1:7">
      <c r="A73" s="1708" t="s">
        <v>1580</v>
      </c>
      <c r="B73" t="s">
        <v>204</v>
      </c>
      <c r="C73" s="1308">
        <v>1264022</v>
      </c>
      <c r="D73" s="1308">
        <v>0</v>
      </c>
      <c r="E73" s="1308">
        <f t="shared" si="2"/>
        <v>1264.0219999999999</v>
      </c>
      <c r="F73" s="1308">
        <f t="shared" si="3"/>
        <v>0</v>
      </c>
    </row>
    <row r="74" spans="1:7">
      <c r="A74" s="1708" t="s">
        <v>803</v>
      </c>
      <c r="B74" t="s">
        <v>193</v>
      </c>
      <c r="C74" s="1308">
        <v>244110</v>
      </c>
      <c r="D74" s="1308">
        <v>0</v>
      </c>
      <c r="E74" s="1308">
        <f t="shared" si="2"/>
        <v>244.11</v>
      </c>
      <c r="F74" s="1308"/>
    </row>
    <row r="75" spans="1:7">
      <c r="A75" s="1708" t="s">
        <v>805</v>
      </c>
      <c r="B75" t="s">
        <v>211</v>
      </c>
      <c r="C75" s="1308">
        <v>1.75</v>
      </c>
      <c r="D75" s="1308">
        <v>0</v>
      </c>
      <c r="E75" s="1308">
        <f t="shared" si="2"/>
        <v>1.75E-3</v>
      </c>
      <c r="F75" s="1308">
        <f t="shared" si="3"/>
        <v>0</v>
      </c>
    </row>
    <row r="76" spans="1:7">
      <c r="A76" s="1708" t="s">
        <v>2022</v>
      </c>
      <c r="B76" t="s">
        <v>1765</v>
      </c>
      <c r="C76" s="1308">
        <v>0.01</v>
      </c>
      <c r="D76" s="1308">
        <v>0</v>
      </c>
      <c r="E76" s="1308">
        <f t="shared" si="2"/>
        <v>1.0000000000000001E-5</v>
      </c>
      <c r="F76" s="1308">
        <f t="shared" si="3"/>
        <v>0</v>
      </c>
    </row>
    <row r="77" spans="1:7">
      <c r="A77" s="1708" t="s">
        <v>1577</v>
      </c>
      <c r="B77" t="s">
        <v>160</v>
      </c>
      <c r="C77" s="1308">
        <v>19311250</v>
      </c>
      <c r="D77" s="1308">
        <v>0</v>
      </c>
      <c r="E77" s="1308">
        <f t="shared" si="2"/>
        <v>19311.25</v>
      </c>
      <c r="F77" s="1308">
        <f t="shared" si="3"/>
        <v>0</v>
      </c>
    </row>
    <row r="78" spans="1:7">
      <c r="A78" s="1708" t="s">
        <v>784</v>
      </c>
      <c r="B78" t="s">
        <v>293</v>
      </c>
      <c r="C78" s="1308">
        <v>28339209.629999999</v>
      </c>
      <c r="D78" s="1308">
        <v>0</v>
      </c>
      <c r="E78" s="1308">
        <f t="shared" si="2"/>
        <v>28339.209629999998</v>
      </c>
      <c r="F78" s="1308">
        <f t="shared" si="3"/>
        <v>0</v>
      </c>
    </row>
    <row r="79" spans="1:7">
      <c r="A79" s="1708" t="s">
        <v>1586</v>
      </c>
      <c r="B79" t="s">
        <v>295</v>
      </c>
      <c r="C79" s="1308">
        <v>2600000</v>
      </c>
      <c r="D79" s="1308">
        <v>0</v>
      </c>
      <c r="E79" s="1308">
        <f t="shared" si="2"/>
        <v>2600</v>
      </c>
      <c r="F79" s="1308">
        <f t="shared" si="3"/>
        <v>0</v>
      </c>
    </row>
    <row r="80" spans="1:7">
      <c r="A80" s="1708" t="s">
        <v>789</v>
      </c>
      <c r="B80" t="s">
        <v>231</v>
      </c>
      <c r="C80" s="1308">
        <v>5000</v>
      </c>
      <c r="D80" s="1308">
        <v>0</v>
      </c>
      <c r="E80" s="1308">
        <f t="shared" si="2"/>
        <v>5</v>
      </c>
      <c r="F80" s="1308">
        <f t="shared" si="3"/>
        <v>0</v>
      </c>
    </row>
    <row r="81" spans="1:7">
      <c r="A81" s="1708" t="s">
        <v>1581</v>
      </c>
      <c r="B81" t="s">
        <v>213</v>
      </c>
      <c r="C81" s="1308">
        <v>25229669.940000001</v>
      </c>
      <c r="D81" s="1308">
        <v>0</v>
      </c>
      <c r="E81" s="1308">
        <f t="shared" si="2"/>
        <v>25229.66994</v>
      </c>
      <c r="F81" s="1308">
        <f t="shared" si="3"/>
        <v>0</v>
      </c>
    </row>
    <row r="82" spans="1:7">
      <c r="A82" s="1708" t="s">
        <v>2023</v>
      </c>
      <c r="B82" t="s">
        <v>2024</v>
      </c>
      <c r="C82" s="1308">
        <v>6159581.7000000002</v>
      </c>
      <c r="D82" s="1308">
        <v>0</v>
      </c>
      <c r="E82" s="1308">
        <f t="shared" si="2"/>
        <v>6159.5817000000006</v>
      </c>
      <c r="F82" s="1308">
        <f t="shared" si="3"/>
        <v>0</v>
      </c>
      <c r="G82" s="1673">
        <f>SUM(E78:E97)-E81-E82-F97</f>
        <v>539318.22203999967</v>
      </c>
    </row>
    <row r="83" spans="1:7">
      <c r="A83" s="1708" t="s">
        <v>811</v>
      </c>
      <c r="B83" t="s">
        <v>233</v>
      </c>
      <c r="C83" s="1308">
        <v>500000000</v>
      </c>
      <c r="D83" s="1308">
        <v>0</v>
      </c>
      <c r="E83" s="1308">
        <f t="shared" si="2"/>
        <v>500000</v>
      </c>
      <c r="F83" s="1308"/>
      <c r="G83" s="1673"/>
    </row>
    <row r="84" spans="1:7">
      <c r="A84" s="1708" t="s">
        <v>812</v>
      </c>
      <c r="B84" t="s">
        <v>251</v>
      </c>
      <c r="C84" s="1308">
        <v>266015.19</v>
      </c>
      <c r="D84" s="1308">
        <v>0</v>
      </c>
      <c r="E84" s="1308">
        <f t="shared" si="2"/>
        <v>266.01519000000002</v>
      </c>
      <c r="F84" s="1308">
        <f t="shared" si="3"/>
        <v>0</v>
      </c>
    </row>
    <row r="85" spans="1:7">
      <c r="A85" s="1708" t="s">
        <v>813</v>
      </c>
      <c r="B85" t="s">
        <v>253</v>
      </c>
      <c r="C85" s="1308">
        <v>20520.68</v>
      </c>
      <c r="D85" s="1308">
        <v>0</v>
      </c>
      <c r="E85" s="1308">
        <f t="shared" si="2"/>
        <v>20.520679999999999</v>
      </c>
      <c r="F85" s="1308">
        <f t="shared" si="3"/>
        <v>0</v>
      </c>
    </row>
    <row r="86" spans="1:7">
      <c r="A86" s="1708" t="s">
        <v>814</v>
      </c>
      <c r="B86" t="s">
        <v>263</v>
      </c>
      <c r="C86" s="1308">
        <v>2500000</v>
      </c>
      <c r="D86" s="1308">
        <v>0</v>
      </c>
      <c r="E86" s="1308">
        <f t="shared" si="2"/>
        <v>2500</v>
      </c>
      <c r="F86" s="1308">
        <f t="shared" si="3"/>
        <v>0</v>
      </c>
    </row>
    <row r="87" spans="1:7">
      <c r="A87" s="1708" t="s">
        <v>816</v>
      </c>
      <c r="B87" t="s">
        <v>271</v>
      </c>
      <c r="C87" s="1308">
        <v>200000</v>
      </c>
      <c r="D87" s="1308">
        <v>0</v>
      </c>
      <c r="E87" s="1308">
        <f t="shared" si="2"/>
        <v>200</v>
      </c>
      <c r="F87" s="1308">
        <f t="shared" si="3"/>
        <v>0</v>
      </c>
    </row>
    <row r="88" spans="1:7">
      <c r="A88" s="1708" t="s">
        <v>817</v>
      </c>
      <c r="B88" t="s">
        <v>281</v>
      </c>
      <c r="C88" s="1308">
        <v>21.86</v>
      </c>
      <c r="D88" s="1308">
        <v>0</v>
      </c>
      <c r="E88" s="1308">
        <f t="shared" si="2"/>
        <v>2.1860000000000001E-2</v>
      </c>
      <c r="F88" s="1308">
        <f t="shared" si="3"/>
        <v>0</v>
      </c>
    </row>
    <row r="89" spans="1:7">
      <c r="A89" s="1708" t="s">
        <v>818</v>
      </c>
      <c r="B89" t="s">
        <v>235</v>
      </c>
      <c r="C89" s="1308">
        <v>206754.48</v>
      </c>
      <c r="D89" s="1308">
        <v>0</v>
      </c>
      <c r="E89" s="1308">
        <f t="shared" si="2"/>
        <v>206.75448</v>
      </c>
      <c r="F89" s="1308">
        <f t="shared" si="3"/>
        <v>0</v>
      </c>
    </row>
    <row r="90" spans="1:7">
      <c r="A90" s="1708" t="s">
        <v>819</v>
      </c>
      <c r="B90" t="s">
        <v>237</v>
      </c>
      <c r="C90" s="1308">
        <v>0</v>
      </c>
      <c r="D90" s="1308">
        <v>5.04</v>
      </c>
      <c r="E90" s="1308">
        <f t="shared" si="2"/>
        <v>0</v>
      </c>
      <c r="F90" s="1308">
        <f t="shared" si="3"/>
        <v>5.0400000000000002E-3</v>
      </c>
    </row>
    <row r="91" spans="1:7">
      <c r="A91" s="1708" t="s">
        <v>820</v>
      </c>
      <c r="B91" t="s">
        <v>241</v>
      </c>
      <c r="C91" s="1308">
        <v>72128.95</v>
      </c>
      <c r="D91" s="1308">
        <v>0</v>
      </c>
      <c r="E91" s="1308">
        <f t="shared" si="2"/>
        <v>72.128950000000003</v>
      </c>
      <c r="F91" s="1308">
        <f t="shared" si="3"/>
        <v>0</v>
      </c>
    </row>
    <row r="92" spans="1:7">
      <c r="A92" s="1708" t="s">
        <v>821</v>
      </c>
      <c r="B92" t="s">
        <v>287</v>
      </c>
      <c r="C92" s="1308">
        <v>20600.66</v>
      </c>
      <c r="D92" s="1308">
        <v>0</v>
      </c>
      <c r="E92" s="1308">
        <f t="shared" si="2"/>
        <v>20.600660000000001</v>
      </c>
      <c r="F92" s="1308">
        <f t="shared" si="3"/>
        <v>0</v>
      </c>
    </row>
    <row r="93" spans="1:7">
      <c r="A93" s="1708" t="s">
        <v>822</v>
      </c>
      <c r="B93" t="s">
        <v>255</v>
      </c>
      <c r="C93" s="1308">
        <v>3926705</v>
      </c>
      <c r="D93" s="1308">
        <v>0</v>
      </c>
      <c r="E93" s="1308">
        <f t="shared" si="2"/>
        <v>3926.7049999999999</v>
      </c>
      <c r="F93" s="1308">
        <f t="shared" si="3"/>
        <v>0</v>
      </c>
    </row>
    <row r="94" spans="1:7">
      <c r="A94" s="1708" t="s">
        <v>823</v>
      </c>
      <c r="B94" t="s">
        <v>257</v>
      </c>
      <c r="C94" s="1308">
        <v>14348.24</v>
      </c>
      <c r="D94" s="1308">
        <v>0</v>
      </c>
      <c r="E94" s="1308">
        <f t="shared" si="2"/>
        <v>14.348240000000001</v>
      </c>
      <c r="F94" s="1308">
        <f t="shared" si="3"/>
        <v>0</v>
      </c>
    </row>
    <row r="95" spans="1:7">
      <c r="A95" s="1708" t="s">
        <v>806</v>
      </c>
      <c r="B95" t="s">
        <v>225</v>
      </c>
      <c r="C95" s="1308">
        <v>718656</v>
      </c>
      <c r="D95" s="1308">
        <v>0</v>
      </c>
      <c r="E95" s="1308">
        <f t="shared" si="2"/>
        <v>718.65599999999995</v>
      </c>
      <c r="F95" s="1308">
        <f t="shared" si="3"/>
        <v>0</v>
      </c>
    </row>
    <row r="96" spans="1:7">
      <c r="A96" s="1708" t="s">
        <v>1584</v>
      </c>
      <c r="B96" t="s">
        <v>243</v>
      </c>
      <c r="C96" s="1308">
        <v>1005099.63</v>
      </c>
      <c r="D96" s="1308">
        <v>0</v>
      </c>
      <c r="E96" s="1308">
        <f t="shared" si="2"/>
        <v>1005.09963</v>
      </c>
      <c r="F96" s="1308">
        <f t="shared" si="3"/>
        <v>0</v>
      </c>
    </row>
    <row r="97" spans="1:7">
      <c r="A97" s="1708" t="s">
        <v>1585</v>
      </c>
      <c r="B97" t="s">
        <v>245</v>
      </c>
      <c r="C97" s="1308">
        <v>0</v>
      </c>
      <c r="D97" s="1308">
        <v>576838.28</v>
      </c>
      <c r="E97" s="1308">
        <f t="shared" si="2"/>
        <v>0</v>
      </c>
      <c r="F97" s="1308">
        <f t="shared" si="3"/>
        <v>576.83828000000005</v>
      </c>
    </row>
    <row r="98" spans="1:7">
      <c r="A98" s="1708" t="s">
        <v>900</v>
      </c>
      <c r="B98" t="s">
        <v>413</v>
      </c>
      <c r="C98" s="1308">
        <v>0</v>
      </c>
      <c r="D98" s="1308">
        <v>2344127579.2199998</v>
      </c>
      <c r="E98" s="1308">
        <f t="shared" si="2"/>
        <v>0</v>
      </c>
      <c r="F98" s="1308">
        <f t="shared" si="3"/>
        <v>2344127.5792199997</v>
      </c>
    </row>
    <row r="99" spans="1:7">
      <c r="A99" s="1708" t="s">
        <v>901</v>
      </c>
      <c r="B99" t="s">
        <v>417</v>
      </c>
      <c r="C99" s="1308">
        <v>3517362749.4200001</v>
      </c>
      <c r="D99" s="1308">
        <v>0</v>
      </c>
      <c r="E99" s="1308">
        <f t="shared" si="2"/>
        <v>3517362.7494200002</v>
      </c>
      <c r="F99" s="1308">
        <f t="shared" si="3"/>
        <v>0</v>
      </c>
    </row>
    <row r="100" spans="1:7">
      <c r="A100" s="1708" t="s">
        <v>902</v>
      </c>
      <c r="B100" t="s">
        <v>419</v>
      </c>
      <c r="C100" s="1308">
        <v>0</v>
      </c>
      <c r="D100" s="1308">
        <v>2557484484.73</v>
      </c>
      <c r="E100" s="1308">
        <f t="shared" si="2"/>
        <v>0</v>
      </c>
      <c r="F100" s="1308">
        <f t="shared" si="3"/>
        <v>2557484.4847300001</v>
      </c>
    </row>
    <row r="101" spans="1:7">
      <c r="A101" s="1708" t="s">
        <v>903</v>
      </c>
      <c r="B101" t="s">
        <v>421</v>
      </c>
      <c r="C101" s="1308">
        <v>2828034111.0599999</v>
      </c>
      <c r="D101" s="1308">
        <v>0</v>
      </c>
      <c r="E101" s="1308">
        <f t="shared" si="2"/>
        <v>2828034.11106</v>
      </c>
      <c r="F101" s="1308">
        <f t="shared" si="3"/>
        <v>0</v>
      </c>
    </row>
    <row r="102" spans="1:7">
      <c r="A102" s="1708" t="s">
        <v>904</v>
      </c>
      <c r="B102" t="s">
        <v>431</v>
      </c>
      <c r="C102" s="1308">
        <v>0</v>
      </c>
      <c r="D102" s="1308">
        <v>42913183.289999999</v>
      </c>
      <c r="E102" s="1308">
        <f t="shared" si="2"/>
        <v>0</v>
      </c>
      <c r="F102" s="1308">
        <f t="shared" si="3"/>
        <v>42913.183290000001</v>
      </c>
    </row>
    <row r="103" spans="1:7">
      <c r="A103" s="1708" t="s">
        <v>905</v>
      </c>
      <c r="B103" t="s">
        <v>423</v>
      </c>
      <c r="C103" s="1308">
        <v>0</v>
      </c>
      <c r="D103" s="1308">
        <v>110819801.08</v>
      </c>
      <c r="E103" s="1308">
        <f t="shared" si="2"/>
        <v>0</v>
      </c>
      <c r="F103" s="1308">
        <f t="shared" si="3"/>
        <v>110819.80108</v>
      </c>
    </row>
    <row r="104" spans="1:7">
      <c r="A104" s="1708" t="s">
        <v>907</v>
      </c>
      <c r="B104" t="s">
        <v>425</v>
      </c>
      <c r="C104" s="1308">
        <v>0</v>
      </c>
      <c r="D104" s="1308">
        <v>9595354477.2199993</v>
      </c>
      <c r="E104" s="1308">
        <f t="shared" si="2"/>
        <v>0</v>
      </c>
      <c r="F104" s="1308">
        <f t="shared" si="3"/>
        <v>9595354.4772199988</v>
      </c>
    </row>
    <row r="105" spans="1:7">
      <c r="A105" s="1708" t="s">
        <v>824</v>
      </c>
      <c r="B105" t="s">
        <v>305</v>
      </c>
      <c r="C105" s="1308">
        <v>0</v>
      </c>
      <c r="D105" s="1308">
        <v>8968190.9600000009</v>
      </c>
      <c r="E105" s="1308">
        <f t="shared" si="2"/>
        <v>0</v>
      </c>
      <c r="F105" s="1308">
        <f t="shared" si="3"/>
        <v>8968.1909600000017</v>
      </c>
    </row>
    <row r="106" spans="1:7">
      <c r="A106" s="1708" t="s">
        <v>826</v>
      </c>
      <c r="B106" t="s">
        <v>307</v>
      </c>
      <c r="C106" s="1308">
        <v>0</v>
      </c>
      <c r="D106" s="1308">
        <v>231940.27000000002</v>
      </c>
      <c r="E106" s="1308">
        <f t="shared" si="2"/>
        <v>0</v>
      </c>
      <c r="F106" s="1308">
        <f t="shared" si="3"/>
        <v>231.94027000000003</v>
      </c>
    </row>
    <row r="107" spans="1:7">
      <c r="A107" s="1708" t="s">
        <v>825</v>
      </c>
      <c r="B107" t="s">
        <v>309</v>
      </c>
      <c r="C107" s="1308">
        <v>0</v>
      </c>
      <c r="D107" s="1308">
        <v>1165683.93</v>
      </c>
      <c r="E107" s="1308">
        <f t="shared" si="2"/>
        <v>0</v>
      </c>
      <c r="F107" s="1308">
        <f t="shared" si="3"/>
        <v>1165.6839299999999</v>
      </c>
    </row>
    <row r="108" spans="1:7">
      <c r="A108" s="1708" t="s">
        <v>833</v>
      </c>
      <c r="B108" t="s">
        <v>349</v>
      </c>
      <c r="C108" s="1308">
        <v>0</v>
      </c>
      <c r="D108" s="1308">
        <v>9210245.7799999993</v>
      </c>
      <c r="E108" s="1308">
        <f t="shared" si="2"/>
        <v>0</v>
      </c>
      <c r="F108" s="1308">
        <f t="shared" si="3"/>
        <v>9210.2457799999993</v>
      </c>
      <c r="G108" s="1673">
        <f>+F105+F106+F107+F126+F127</f>
        <v>13507.336370000001</v>
      </c>
    </row>
    <row r="109" spans="1:7">
      <c r="A109" s="1708" t="s">
        <v>829</v>
      </c>
      <c r="B109" t="s">
        <v>317</v>
      </c>
      <c r="C109" s="1308">
        <v>0</v>
      </c>
      <c r="D109" s="1308">
        <v>79285</v>
      </c>
      <c r="E109" s="1308">
        <f t="shared" si="2"/>
        <v>0</v>
      </c>
      <c r="F109" s="1308">
        <f t="shared" si="3"/>
        <v>79.284999999999997</v>
      </c>
    </row>
    <row r="110" spans="1:7">
      <c r="A110" s="1708" t="s">
        <v>827</v>
      </c>
      <c r="B110" t="s">
        <v>351</v>
      </c>
      <c r="C110" s="1308">
        <v>0</v>
      </c>
      <c r="D110" s="1308">
        <v>239199</v>
      </c>
      <c r="E110" s="1308">
        <f t="shared" si="2"/>
        <v>0</v>
      </c>
      <c r="F110" s="1308">
        <f t="shared" si="3"/>
        <v>239.19900000000001</v>
      </c>
    </row>
    <row r="111" spans="1:7">
      <c r="A111" s="1708" t="s">
        <v>830</v>
      </c>
      <c r="B111" t="s">
        <v>319</v>
      </c>
      <c r="C111" s="1308">
        <v>0</v>
      </c>
      <c r="D111" s="1308">
        <v>610354.73</v>
      </c>
      <c r="E111" s="1308">
        <f t="shared" si="2"/>
        <v>0</v>
      </c>
      <c r="F111" s="1308">
        <f t="shared" si="3"/>
        <v>610.35473000000002</v>
      </c>
    </row>
    <row r="112" spans="1:7">
      <c r="A112" s="1708" t="s">
        <v>831</v>
      </c>
      <c r="B112" t="s">
        <v>325</v>
      </c>
      <c r="C112" s="1308">
        <v>0</v>
      </c>
      <c r="D112" s="1308">
        <v>519802</v>
      </c>
      <c r="E112" s="1308">
        <f t="shared" si="2"/>
        <v>0</v>
      </c>
      <c r="F112" s="1308">
        <f t="shared" si="3"/>
        <v>519.80200000000002</v>
      </c>
    </row>
    <row r="113" spans="1:6">
      <c r="A113" s="1708" t="s">
        <v>834</v>
      </c>
      <c r="B113" t="s">
        <v>337</v>
      </c>
      <c r="C113" s="1308">
        <v>0</v>
      </c>
      <c r="D113" s="1308">
        <v>74569912.659999996</v>
      </c>
      <c r="E113" s="1308">
        <f t="shared" si="2"/>
        <v>0</v>
      </c>
      <c r="F113" s="1308">
        <f t="shared" si="3"/>
        <v>74569.912660000002</v>
      </c>
    </row>
    <row r="114" spans="1:6">
      <c r="A114" s="1708" t="s">
        <v>2025</v>
      </c>
      <c r="B114" t="s">
        <v>2026</v>
      </c>
      <c r="C114" s="1308">
        <v>0</v>
      </c>
      <c r="D114" s="1308">
        <v>1295477892</v>
      </c>
      <c r="E114" s="1308">
        <f t="shared" si="2"/>
        <v>0</v>
      </c>
      <c r="F114" s="1308">
        <f t="shared" si="3"/>
        <v>1295477.892</v>
      </c>
    </row>
    <row r="115" spans="1:6">
      <c r="A115" s="1708" t="s">
        <v>832</v>
      </c>
      <c r="B115" t="s">
        <v>331</v>
      </c>
      <c r="C115" s="1308">
        <v>0</v>
      </c>
      <c r="D115" s="1308">
        <v>47223.07</v>
      </c>
      <c r="E115" s="1308">
        <f t="shared" si="2"/>
        <v>0</v>
      </c>
      <c r="F115" s="1308">
        <f t="shared" si="3"/>
        <v>47.22307</v>
      </c>
    </row>
    <row r="116" spans="1:6">
      <c r="A116" s="1708" t="s">
        <v>835</v>
      </c>
      <c r="B116" t="s">
        <v>352</v>
      </c>
      <c r="C116" s="1308">
        <v>0</v>
      </c>
      <c r="D116" s="1308">
        <v>284.15000000000003</v>
      </c>
      <c r="E116" s="1308">
        <f t="shared" si="2"/>
        <v>0</v>
      </c>
      <c r="F116" s="1308">
        <f t="shared" si="3"/>
        <v>0.28415000000000001</v>
      </c>
    </row>
    <row r="117" spans="1:6">
      <c r="A117" s="1708" t="s">
        <v>836</v>
      </c>
      <c r="B117" t="s">
        <v>354</v>
      </c>
      <c r="C117" s="1308">
        <v>0</v>
      </c>
      <c r="D117" s="1308">
        <v>12704628.84</v>
      </c>
      <c r="E117" s="1308">
        <f t="shared" si="2"/>
        <v>0</v>
      </c>
      <c r="F117" s="1308">
        <f t="shared" si="3"/>
        <v>12704.628839999999</v>
      </c>
    </row>
    <row r="118" spans="1:6">
      <c r="A118" s="1708" t="s">
        <v>837</v>
      </c>
      <c r="B118" t="s">
        <v>356</v>
      </c>
      <c r="C118" s="1308">
        <v>0</v>
      </c>
      <c r="D118" s="1308">
        <v>272716.47000000003</v>
      </c>
      <c r="E118" s="1308">
        <f t="shared" si="2"/>
        <v>0</v>
      </c>
      <c r="F118" s="1308">
        <f t="shared" si="3"/>
        <v>272.71647000000002</v>
      </c>
    </row>
    <row r="119" spans="1:6">
      <c r="A119" s="1708" t="s">
        <v>1819</v>
      </c>
      <c r="B119" t="s">
        <v>620</v>
      </c>
      <c r="C119" s="1308">
        <v>0</v>
      </c>
      <c r="D119" s="1308">
        <v>25000</v>
      </c>
      <c r="E119" s="1308">
        <f t="shared" si="2"/>
        <v>0</v>
      </c>
      <c r="F119" s="1308">
        <f t="shared" si="3"/>
        <v>25</v>
      </c>
    </row>
    <row r="120" spans="1:6">
      <c r="A120" s="1708" t="s">
        <v>838</v>
      </c>
      <c r="B120" t="s">
        <v>358</v>
      </c>
      <c r="C120" s="1308">
        <v>2034</v>
      </c>
      <c r="D120" s="1308">
        <v>0</v>
      </c>
      <c r="E120" s="1308">
        <f t="shared" si="2"/>
        <v>2.0339999999999998</v>
      </c>
      <c r="F120" s="1308">
        <f t="shared" si="3"/>
        <v>0</v>
      </c>
    </row>
    <row r="121" spans="1:6">
      <c r="A121" s="1708" t="s">
        <v>840</v>
      </c>
      <c r="B121" t="s">
        <v>362</v>
      </c>
      <c r="C121" s="1308">
        <v>0</v>
      </c>
      <c r="D121" s="1308">
        <v>562568.37</v>
      </c>
      <c r="E121" s="1308">
        <f t="shared" si="2"/>
        <v>0</v>
      </c>
      <c r="F121" s="1308">
        <f t="shared" si="3"/>
        <v>562.56836999999996</v>
      </c>
    </row>
    <row r="122" spans="1:6">
      <c r="A122" s="1708" t="s">
        <v>841</v>
      </c>
      <c r="B122" t="s">
        <v>364</v>
      </c>
      <c r="C122" s="1308">
        <v>0</v>
      </c>
      <c r="D122" s="1308">
        <v>6706279</v>
      </c>
      <c r="E122" s="1308">
        <f t="shared" si="2"/>
        <v>0</v>
      </c>
      <c r="F122" s="1308">
        <f t="shared" si="3"/>
        <v>6706.2790000000005</v>
      </c>
    </row>
    <row r="123" spans="1:6">
      <c r="A123" s="1708" t="s">
        <v>843</v>
      </c>
      <c r="B123" t="s">
        <v>368</v>
      </c>
      <c r="C123" s="1308">
        <v>0</v>
      </c>
      <c r="D123" s="1308">
        <v>423353.87</v>
      </c>
      <c r="E123" s="1308">
        <f t="shared" si="2"/>
        <v>0</v>
      </c>
      <c r="F123" s="1308">
        <f t="shared" si="3"/>
        <v>423.35386999999997</v>
      </c>
    </row>
    <row r="124" spans="1:6">
      <c r="A124" s="1708" t="s">
        <v>845</v>
      </c>
      <c r="B124" t="s">
        <v>374</v>
      </c>
      <c r="C124" s="1308">
        <v>0</v>
      </c>
      <c r="D124" s="1308">
        <v>65308.810000000005</v>
      </c>
      <c r="E124" s="1308">
        <f t="shared" si="2"/>
        <v>0</v>
      </c>
      <c r="F124" s="1308">
        <f t="shared" si="3"/>
        <v>65.308810000000008</v>
      </c>
    </row>
    <row r="125" spans="1:6">
      <c r="A125" s="1708" t="s">
        <v>846</v>
      </c>
      <c r="B125" t="s">
        <v>376</v>
      </c>
      <c r="C125" s="1308">
        <v>0</v>
      </c>
      <c r="D125" s="1308">
        <v>794395</v>
      </c>
      <c r="E125" s="1308">
        <f t="shared" si="2"/>
        <v>0</v>
      </c>
      <c r="F125" s="1308">
        <f t="shared" si="3"/>
        <v>794.39499999999998</v>
      </c>
    </row>
    <row r="126" spans="1:6">
      <c r="A126" s="1708" t="s">
        <v>828</v>
      </c>
      <c r="B126" t="s">
        <v>311</v>
      </c>
      <c r="C126" s="1308">
        <v>0</v>
      </c>
      <c r="D126" s="1308">
        <v>813181.57000000007</v>
      </c>
      <c r="E126" s="1308">
        <f t="shared" si="2"/>
        <v>0</v>
      </c>
      <c r="F126" s="1308">
        <f t="shared" si="3"/>
        <v>813.18157000000008</v>
      </c>
    </row>
    <row r="127" spans="1:6">
      <c r="A127" s="1708" t="s">
        <v>1553</v>
      </c>
      <c r="B127" t="s">
        <v>1552</v>
      </c>
      <c r="C127" s="1308">
        <v>0</v>
      </c>
      <c r="D127" s="1308">
        <v>2328339.64</v>
      </c>
      <c r="E127" s="1308">
        <f t="shared" si="2"/>
        <v>0</v>
      </c>
      <c r="F127" s="1308">
        <f t="shared" si="3"/>
        <v>2328.3396400000001</v>
      </c>
    </row>
    <row r="128" spans="1:6">
      <c r="A128" s="1708" t="s">
        <v>847</v>
      </c>
      <c r="B128" t="s">
        <v>441</v>
      </c>
      <c r="C128" s="1308">
        <v>5573872.5099999998</v>
      </c>
      <c r="D128" s="1308">
        <v>0</v>
      </c>
      <c r="E128" s="1308">
        <f t="shared" si="2"/>
        <v>5573.8725100000001</v>
      </c>
      <c r="F128" s="1308">
        <f t="shared" si="3"/>
        <v>0</v>
      </c>
    </row>
    <row r="129" spans="1:7">
      <c r="A129" s="1708" t="s">
        <v>848</v>
      </c>
      <c r="B129" t="s">
        <v>443</v>
      </c>
      <c r="C129" s="1308">
        <v>0</v>
      </c>
      <c r="D129" s="1308">
        <v>84847</v>
      </c>
      <c r="E129" s="1308">
        <f t="shared" si="2"/>
        <v>0</v>
      </c>
      <c r="F129" s="1308">
        <f t="shared" si="3"/>
        <v>84.846999999999994</v>
      </c>
    </row>
    <row r="130" spans="1:7">
      <c r="A130" s="1708" t="s">
        <v>849</v>
      </c>
      <c r="B130" t="s">
        <v>445</v>
      </c>
      <c r="C130" s="1308">
        <v>0</v>
      </c>
      <c r="D130" s="1308">
        <v>651057.89</v>
      </c>
      <c r="E130" s="1308">
        <f t="shared" si="2"/>
        <v>0</v>
      </c>
      <c r="F130" s="1308">
        <f t="shared" si="3"/>
        <v>651.05789000000004</v>
      </c>
    </row>
    <row r="131" spans="1:7">
      <c r="A131" s="1708" t="s">
        <v>850</v>
      </c>
      <c r="B131" t="s">
        <v>447</v>
      </c>
      <c r="C131" s="1308">
        <v>5987968.9500000002</v>
      </c>
      <c r="D131" s="1308">
        <v>0</v>
      </c>
      <c r="E131" s="1308">
        <f t="shared" si="2"/>
        <v>5987.9689500000004</v>
      </c>
      <c r="F131" s="1308">
        <f t="shared" si="3"/>
        <v>0</v>
      </c>
      <c r="G131" s="1709">
        <f>-SUM(E128:E131)+SUM(F128:F131)+F139</f>
        <v>-9957.4048600000006</v>
      </c>
    </row>
    <row r="132" spans="1:7">
      <c r="A132" s="1708" t="s">
        <v>851</v>
      </c>
      <c r="B132" t="s">
        <v>583</v>
      </c>
      <c r="C132" s="1308">
        <v>0</v>
      </c>
      <c r="D132" s="1308">
        <v>27358750</v>
      </c>
      <c r="E132" s="1308">
        <f t="shared" ref="E132:E195" si="4">+C132/1000</f>
        <v>0</v>
      </c>
      <c r="F132" s="1308">
        <f t="shared" si="3"/>
        <v>27358.75</v>
      </c>
    </row>
    <row r="133" spans="1:7">
      <c r="A133" s="1708" t="s">
        <v>1604</v>
      </c>
      <c r="B133" t="s">
        <v>569</v>
      </c>
      <c r="C133" s="1308">
        <v>218027904.25</v>
      </c>
      <c r="D133" s="1308">
        <v>0</v>
      </c>
      <c r="E133" s="1308">
        <f t="shared" si="4"/>
        <v>218027.90424999999</v>
      </c>
      <c r="F133" s="1308">
        <f t="shared" si="3"/>
        <v>0</v>
      </c>
    </row>
    <row r="134" spans="1:7">
      <c r="A134" s="1708" t="s">
        <v>1594</v>
      </c>
      <c r="B134" t="s">
        <v>459</v>
      </c>
      <c r="C134" s="1308">
        <v>0</v>
      </c>
      <c r="D134" s="1308">
        <v>117494928.09999999</v>
      </c>
      <c r="E134" s="1308">
        <f t="shared" si="4"/>
        <v>0</v>
      </c>
      <c r="F134" s="1308">
        <f t="shared" ref="F134:F197" si="5">+D134/1000</f>
        <v>117494.92809999999</v>
      </c>
    </row>
    <row r="135" spans="1:7">
      <c r="A135" s="1708" t="s">
        <v>852</v>
      </c>
      <c r="B135" t="s">
        <v>571</v>
      </c>
      <c r="C135" s="1308">
        <v>0</v>
      </c>
      <c r="D135" s="1308">
        <v>1627158</v>
      </c>
      <c r="E135" s="1308">
        <f t="shared" si="4"/>
        <v>0</v>
      </c>
      <c r="F135" s="1308">
        <f t="shared" si="5"/>
        <v>1627.1579999999999</v>
      </c>
    </row>
    <row r="136" spans="1:7">
      <c r="A136" s="1708" t="s">
        <v>1605</v>
      </c>
      <c r="B136" t="s">
        <v>573</v>
      </c>
      <c r="C136" s="1308">
        <v>0</v>
      </c>
      <c r="D136" s="1308">
        <v>0.09</v>
      </c>
      <c r="E136" s="1308">
        <f t="shared" si="4"/>
        <v>0</v>
      </c>
      <c r="F136" s="1308">
        <f t="shared" si="5"/>
        <v>8.9999999999999992E-5</v>
      </c>
    </row>
    <row r="137" spans="1:7">
      <c r="A137" s="1708" t="s">
        <v>853</v>
      </c>
      <c r="B137" t="s">
        <v>575</v>
      </c>
      <c r="C137" s="1308">
        <v>455</v>
      </c>
      <c r="D137" s="1308">
        <v>0</v>
      </c>
      <c r="E137" s="1308">
        <f t="shared" si="4"/>
        <v>0.45500000000000002</v>
      </c>
      <c r="F137" s="1308">
        <f t="shared" si="5"/>
        <v>0</v>
      </c>
    </row>
    <row r="138" spans="1:7">
      <c r="A138" s="1708" t="s">
        <v>1606</v>
      </c>
      <c r="B138" t="s">
        <v>577</v>
      </c>
      <c r="C138" s="1308">
        <v>376834.47000000003</v>
      </c>
      <c r="D138" s="1308">
        <v>0</v>
      </c>
      <c r="E138" s="1308">
        <f t="shared" si="4"/>
        <v>376.83447000000001</v>
      </c>
      <c r="F138" s="1308">
        <f t="shared" si="5"/>
        <v>0</v>
      </c>
      <c r="G138" s="1709">
        <f>SUM(F133:F138)-SUM(E133:E138)</f>
        <v>-99283.107529999994</v>
      </c>
    </row>
    <row r="139" spans="1:7">
      <c r="A139" s="1708" t="s">
        <v>1593</v>
      </c>
      <c r="B139" t="s">
        <v>449</v>
      </c>
      <c r="C139" s="1308">
        <v>0</v>
      </c>
      <c r="D139" s="1308">
        <v>868531.71</v>
      </c>
      <c r="E139" s="1308">
        <f t="shared" si="4"/>
        <v>0</v>
      </c>
      <c r="F139" s="1308">
        <f t="shared" si="5"/>
        <v>868.53170999999998</v>
      </c>
    </row>
    <row r="140" spans="1:7">
      <c r="A140" s="1708" t="s">
        <v>854</v>
      </c>
      <c r="B140" t="s">
        <v>530</v>
      </c>
      <c r="C140" s="1308">
        <v>0</v>
      </c>
      <c r="D140" s="1308">
        <v>10918084</v>
      </c>
      <c r="E140" s="1308">
        <f t="shared" si="4"/>
        <v>0</v>
      </c>
      <c r="F140" s="1308">
        <f t="shared" si="5"/>
        <v>10918.084000000001</v>
      </c>
    </row>
    <row r="141" spans="1:7">
      <c r="A141" s="1708" t="s">
        <v>855</v>
      </c>
      <c r="B141" t="s">
        <v>532</v>
      </c>
      <c r="C141" s="1308">
        <v>0</v>
      </c>
      <c r="D141" s="1308">
        <v>1245.92</v>
      </c>
      <c r="E141" s="1308">
        <f t="shared" si="4"/>
        <v>0</v>
      </c>
      <c r="F141" s="1308">
        <f t="shared" si="5"/>
        <v>1.2459200000000001</v>
      </c>
    </row>
    <row r="142" spans="1:7">
      <c r="A142" s="1708" t="s">
        <v>2027</v>
      </c>
      <c r="B142" t="s">
        <v>2028</v>
      </c>
      <c r="C142" s="1308">
        <v>0</v>
      </c>
      <c r="D142" s="1308">
        <v>30695</v>
      </c>
      <c r="E142" s="1308">
        <f t="shared" si="4"/>
        <v>0</v>
      </c>
      <c r="F142" s="1308">
        <f t="shared" si="5"/>
        <v>30.695</v>
      </c>
    </row>
    <row r="143" spans="1:7">
      <c r="A143" s="1708" t="s">
        <v>856</v>
      </c>
      <c r="B143" t="s">
        <v>535</v>
      </c>
      <c r="C143" s="1308">
        <v>0</v>
      </c>
      <c r="D143" s="1308">
        <v>2327025</v>
      </c>
      <c r="E143" s="1308">
        <f t="shared" si="4"/>
        <v>0</v>
      </c>
      <c r="F143" s="1308">
        <f t="shared" si="5"/>
        <v>2327.0250000000001</v>
      </c>
    </row>
    <row r="144" spans="1:7">
      <c r="A144" s="1708" t="s">
        <v>857</v>
      </c>
      <c r="B144" t="s">
        <v>537</v>
      </c>
      <c r="C144" s="1308">
        <v>0</v>
      </c>
      <c r="D144" s="1308">
        <v>30529</v>
      </c>
      <c r="E144" s="1308">
        <f t="shared" si="4"/>
        <v>0</v>
      </c>
      <c r="F144" s="1308">
        <f t="shared" si="5"/>
        <v>30.529</v>
      </c>
    </row>
    <row r="145" spans="1:6">
      <c r="A145" s="1708" t="s">
        <v>858</v>
      </c>
      <c r="B145" t="s">
        <v>539</v>
      </c>
      <c r="C145" s="1308">
        <v>0</v>
      </c>
      <c r="D145" s="1308">
        <v>55556.91</v>
      </c>
      <c r="E145" s="1308">
        <f t="shared" si="4"/>
        <v>0</v>
      </c>
      <c r="F145" s="1308">
        <f t="shared" si="5"/>
        <v>55.556910000000002</v>
      </c>
    </row>
    <row r="146" spans="1:6">
      <c r="A146" s="1708" t="s">
        <v>1603</v>
      </c>
      <c r="B146" t="s">
        <v>541</v>
      </c>
      <c r="C146" s="1308">
        <v>0</v>
      </c>
      <c r="D146" s="1308">
        <v>49</v>
      </c>
      <c r="E146" s="1308">
        <f t="shared" si="4"/>
        <v>0</v>
      </c>
      <c r="F146" s="1308">
        <f t="shared" si="5"/>
        <v>4.9000000000000002E-2</v>
      </c>
    </row>
    <row r="147" spans="1:6">
      <c r="A147" s="1708" t="s">
        <v>2029</v>
      </c>
      <c r="B147" t="s">
        <v>2030</v>
      </c>
      <c r="C147" s="1308">
        <v>0</v>
      </c>
      <c r="D147" s="1308">
        <v>219</v>
      </c>
      <c r="E147" s="1308">
        <f t="shared" si="4"/>
        <v>0</v>
      </c>
      <c r="F147" s="1308">
        <f t="shared" si="5"/>
        <v>0.219</v>
      </c>
    </row>
    <row r="148" spans="1:6">
      <c r="A148" s="1708" t="s">
        <v>859</v>
      </c>
      <c r="B148" t="s">
        <v>548</v>
      </c>
      <c r="C148" s="1308">
        <v>0</v>
      </c>
      <c r="D148" s="1308">
        <v>24691</v>
      </c>
      <c r="E148" s="1308">
        <f t="shared" si="4"/>
        <v>0</v>
      </c>
      <c r="F148" s="1308">
        <f t="shared" si="5"/>
        <v>24.690999999999999</v>
      </c>
    </row>
    <row r="149" spans="1:6">
      <c r="A149" s="1708" t="s">
        <v>860</v>
      </c>
      <c r="B149" t="s">
        <v>550</v>
      </c>
      <c r="C149" s="1308">
        <v>0</v>
      </c>
      <c r="D149" s="1308">
        <v>217</v>
      </c>
      <c r="E149" s="1308">
        <f t="shared" si="4"/>
        <v>0</v>
      </c>
      <c r="F149" s="1308">
        <f t="shared" si="5"/>
        <v>0.217</v>
      </c>
    </row>
    <row r="150" spans="1:6">
      <c r="A150" s="1708" t="s">
        <v>861</v>
      </c>
      <c r="B150" t="s">
        <v>552</v>
      </c>
      <c r="C150" s="1308">
        <v>0</v>
      </c>
      <c r="D150" s="1308">
        <v>120.63</v>
      </c>
      <c r="E150" s="1308">
        <f t="shared" si="4"/>
        <v>0</v>
      </c>
      <c r="F150" s="1308">
        <f t="shared" si="5"/>
        <v>0.12063</v>
      </c>
    </row>
    <row r="151" spans="1:6">
      <c r="A151" s="1708" t="s">
        <v>862</v>
      </c>
      <c r="B151" t="s">
        <v>554</v>
      </c>
      <c r="C151" s="1308">
        <v>0</v>
      </c>
      <c r="D151" s="1308">
        <v>271</v>
      </c>
      <c r="E151" s="1308">
        <f t="shared" si="4"/>
        <v>0</v>
      </c>
      <c r="F151" s="1308">
        <f t="shared" si="5"/>
        <v>0.27100000000000002</v>
      </c>
    </row>
    <row r="152" spans="1:6">
      <c r="A152" s="1708" t="s">
        <v>863</v>
      </c>
      <c r="B152" t="s">
        <v>556</v>
      </c>
      <c r="C152" s="1308">
        <v>0</v>
      </c>
      <c r="D152" s="1308">
        <v>95</v>
      </c>
      <c r="E152" s="1308">
        <f t="shared" si="4"/>
        <v>0</v>
      </c>
      <c r="F152" s="1308">
        <f t="shared" si="5"/>
        <v>9.5000000000000001E-2</v>
      </c>
    </row>
    <row r="153" spans="1:6">
      <c r="A153" s="1708" t="s">
        <v>864</v>
      </c>
      <c r="B153" t="s">
        <v>558</v>
      </c>
      <c r="C153" s="1308">
        <v>0</v>
      </c>
      <c r="D153" s="1308">
        <v>21703469</v>
      </c>
      <c r="E153" s="1308">
        <f t="shared" si="4"/>
        <v>0</v>
      </c>
      <c r="F153" s="1308">
        <f t="shared" si="5"/>
        <v>21703.469000000001</v>
      </c>
    </row>
    <row r="154" spans="1:6">
      <c r="A154" s="1708" t="s">
        <v>1792</v>
      </c>
      <c r="B154" t="s">
        <v>559</v>
      </c>
      <c r="C154" s="1308">
        <v>0</v>
      </c>
      <c r="D154" s="1308">
        <v>43</v>
      </c>
      <c r="E154" s="1308">
        <f t="shared" si="4"/>
        <v>0</v>
      </c>
      <c r="F154" s="1308">
        <f t="shared" si="5"/>
        <v>4.2999999999999997E-2</v>
      </c>
    </row>
    <row r="155" spans="1:6">
      <c r="A155" s="1708" t="s">
        <v>1793</v>
      </c>
      <c r="B155" t="s">
        <v>560</v>
      </c>
      <c r="C155" s="1308">
        <v>0</v>
      </c>
      <c r="D155" s="1308">
        <v>90.92</v>
      </c>
      <c r="E155" s="1308">
        <f t="shared" si="4"/>
        <v>0</v>
      </c>
      <c r="F155" s="1308">
        <f t="shared" si="5"/>
        <v>9.0920000000000001E-2</v>
      </c>
    </row>
    <row r="156" spans="1:6">
      <c r="A156" s="1708" t="s">
        <v>1794</v>
      </c>
      <c r="B156" t="s">
        <v>1550</v>
      </c>
      <c r="C156" s="1308">
        <v>0</v>
      </c>
      <c r="D156" s="1308">
        <v>123</v>
      </c>
      <c r="E156" s="1308">
        <f t="shared" si="4"/>
        <v>0</v>
      </c>
      <c r="F156" s="1308">
        <f t="shared" si="5"/>
        <v>0.123</v>
      </c>
    </row>
    <row r="157" spans="1:6">
      <c r="A157" s="1708" t="s">
        <v>2031</v>
      </c>
      <c r="B157" t="s">
        <v>2032</v>
      </c>
      <c r="C157" s="1308">
        <v>0</v>
      </c>
      <c r="D157" s="1308">
        <v>38527.919999999998</v>
      </c>
      <c r="E157" s="1308">
        <f t="shared" si="4"/>
        <v>0</v>
      </c>
      <c r="F157" s="1308">
        <f t="shared" si="5"/>
        <v>38.527920000000002</v>
      </c>
    </row>
    <row r="158" spans="1:6">
      <c r="A158" s="1708" t="s">
        <v>1795</v>
      </c>
      <c r="B158" t="s">
        <v>561</v>
      </c>
      <c r="C158" s="1308">
        <v>0</v>
      </c>
      <c r="D158" s="1308">
        <v>718</v>
      </c>
      <c r="E158" s="1308">
        <f t="shared" si="4"/>
        <v>0</v>
      </c>
      <c r="F158" s="1308">
        <f t="shared" si="5"/>
        <v>0.71799999999999997</v>
      </c>
    </row>
    <row r="159" spans="1:6">
      <c r="A159" s="1708" t="s">
        <v>1796</v>
      </c>
      <c r="B159" t="s">
        <v>562</v>
      </c>
      <c r="C159" s="1308">
        <v>0</v>
      </c>
      <c r="D159" s="1308">
        <v>21636465.199999999</v>
      </c>
      <c r="E159" s="1308">
        <f t="shared" si="4"/>
        <v>0</v>
      </c>
      <c r="F159" s="1308">
        <f t="shared" si="5"/>
        <v>21636.465199999999</v>
      </c>
    </row>
    <row r="160" spans="1:6">
      <c r="A160" s="1708" t="s">
        <v>1797</v>
      </c>
      <c r="B160" t="s">
        <v>1798</v>
      </c>
      <c r="C160" s="1308">
        <v>0</v>
      </c>
      <c r="D160" s="1308">
        <v>32019.75</v>
      </c>
      <c r="E160" s="1308">
        <f t="shared" si="4"/>
        <v>0</v>
      </c>
      <c r="F160" s="1308">
        <f t="shared" si="5"/>
        <v>32.019750000000002</v>
      </c>
    </row>
    <row r="161" spans="1:7">
      <c r="A161" s="1708" t="s">
        <v>1799</v>
      </c>
      <c r="B161" t="s">
        <v>563</v>
      </c>
      <c r="C161" s="1308">
        <v>0</v>
      </c>
      <c r="D161" s="1308">
        <v>49</v>
      </c>
      <c r="E161" s="1308">
        <f t="shared" si="4"/>
        <v>0</v>
      </c>
      <c r="F161" s="1308">
        <f t="shared" si="5"/>
        <v>4.9000000000000002E-2</v>
      </c>
      <c r="G161" s="1673">
        <f>SUM(F140:F163)</f>
        <v>60189.129639999999</v>
      </c>
    </row>
    <row r="162" spans="1:7">
      <c r="A162" s="1708" t="s">
        <v>2033</v>
      </c>
      <c r="B162" t="s">
        <v>2034</v>
      </c>
      <c r="C162" s="1308">
        <v>0</v>
      </c>
      <c r="D162" s="1308">
        <v>3388784.39</v>
      </c>
      <c r="E162" s="1308">
        <f t="shared" si="4"/>
        <v>0</v>
      </c>
      <c r="F162" s="1308">
        <f t="shared" si="5"/>
        <v>3388.7843900000003</v>
      </c>
    </row>
    <row r="163" spans="1:7">
      <c r="A163" s="1708" t="s">
        <v>2035</v>
      </c>
      <c r="B163" t="s">
        <v>2036</v>
      </c>
      <c r="C163" s="1308">
        <v>0</v>
      </c>
      <c r="D163" s="1308">
        <v>41</v>
      </c>
      <c r="E163" s="1308">
        <f t="shared" si="4"/>
        <v>0</v>
      </c>
      <c r="F163" s="1308">
        <f t="shared" si="5"/>
        <v>4.1000000000000002E-2</v>
      </c>
    </row>
    <row r="164" spans="1:7">
      <c r="A164" s="1708" t="s">
        <v>866</v>
      </c>
      <c r="B164" t="s">
        <v>467</v>
      </c>
      <c r="C164" s="1308">
        <v>0</v>
      </c>
      <c r="D164" s="1308">
        <v>7016023.1799999997</v>
      </c>
      <c r="E164" s="1308">
        <f t="shared" si="4"/>
        <v>0</v>
      </c>
      <c r="F164" s="1308">
        <f t="shared" si="5"/>
        <v>7016.0231800000001</v>
      </c>
    </row>
    <row r="165" spans="1:7">
      <c r="A165" s="1708" t="s">
        <v>867</v>
      </c>
      <c r="B165" t="s">
        <v>467</v>
      </c>
      <c r="C165" s="1308">
        <v>0</v>
      </c>
      <c r="D165" s="1308">
        <v>244110</v>
      </c>
      <c r="E165" s="1308">
        <f t="shared" si="4"/>
        <v>0</v>
      </c>
      <c r="F165" s="1308">
        <f t="shared" si="5"/>
        <v>244.11</v>
      </c>
      <c r="G165" s="1673">
        <f>SUM(F164:F173)-F170</f>
        <v>75585.839539999986</v>
      </c>
    </row>
    <row r="166" spans="1:7">
      <c r="A166" s="1708" t="s">
        <v>868</v>
      </c>
      <c r="B166" t="s">
        <v>479</v>
      </c>
      <c r="C166" s="1308">
        <v>0</v>
      </c>
      <c r="D166" s="1308">
        <v>14277100.300000001</v>
      </c>
      <c r="E166" s="1308">
        <f t="shared" si="4"/>
        <v>0</v>
      </c>
      <c r="F166" s="1308">
        <f t="shared" si="5"/>
        <v>14277.1003</v>
      </c>
    </row>
    <row r="167" spans="1:7">
      <c r="A167" s="1708" t="s">
        <v>869</v>
      </c>
      <c r="B167" t="s">
        <v>470</v>
      </c>
      <c r="C167" s="1308">
        <v>0</v>
      </c>
      <c r="D167" s="1308">
        <v>382459.02</v>
      </c>
      <c r="E167" s="1308">
        <f t="shared" si="4"/>
        <v>0</v>
      </c>
      <c r="F167" s="1308">
        <f t="shared" si="5"/>
        <v>382.45902000000001</v>
      </c>
    </row>
    <row r="168" spans="1:7">
      <c r="A168" s="1708" t="s">
        <v>870</v>
      </c>
      <c r="B168" t="s">
        <v>485</v>
      </c>
      <c r="C168" s="1308">
        <v>0</v>
      </c>
      <c r="D168" s="1308">
        <v>1758842.05</v>
      </c>
      <c r="E168" s="1308">
        <f t="shared" si="4"/>
        <v>0</v>
      </c>
      <c r="F168" s="1308">
        <f t="shared" si="5"/>
        <v>1758.84205</v>
      </c>
    </row>
    <row r="169" spans="1:7">
      <c r="A169" s="1708" t="s">
        <v>871</v>
      </c>
      <c r="B169" t="s">
        <v>487</v>
      </c>
      <c r="C169" s="1308">
        <v>0</v>
      </c>
      <c r="D169" s="1308">
        <v>17884956.75</v>
      </c>
      <c r="E169" s="1308">
        <f t="shared" si="4"/>
        <v>0</v>
      </c>
      <c r="F169" s="1308">
        <f t="shared" si="5"/>
        <v>17884.956750000001</v>
      </c>
    </row>
    <row r="170" spans="1:7">
      <c r="A170" s="1708" t="s">
        <v>872</v>
      </c>
      <c r="B170" t="s">
        <v>461</v>
      </c>
      <c r="C170" s="1308">
        <v>0</v>
      </c>
      <c r="D170" s="1308">
        <v>190469906.40000001</v>
      </c>
      <c r="E170" s="1308">
        <f t="shared" si="4"/>
        <v>0</v>
      </c>
      <c r="F170" s="1308">
        <f t="shared" si="5"/>
        <v>190469.90640000001</v>
      </c>
    </row>
    <row r="171" spans="1:7">
      <c r="A171" s="1708" t="s">
        <v>1599</v>
      </c>
      <c r="B171" t="s">
        <v>491</v>
      </c>
      <c r="C171" s="1308">
        <v>0</v>
      </c>
      <c r="D171" s="1308">
        <v>23232615.469999999</v>
      </c>
      <c r="E171" s="1308">
        <f t="shared" si="4"/>
        <v>0</v>
      </c>
      <c r="F171" s="1308">
        <f t="shared" si="5"/>
        <v>23232.615469999997</v>
      </c>
    </row>
    <row r="172" spans="1:7">
      <c r="A172" s="1708" t="s">
        <v>1600</v>
      </c>
      <c r="B172" t="s">
        <v>493</v>
      </c>
      <c r="C172" s="1308">
        <v>0</v>
      </c>
      <c r="D172" s="1308">
        <v>818177.77</v>
      </c>
      <c r="E172" s="1308">
        <f t="shared" si="4"/>
        <v>0</v>
      </c>
      <c r="F172" s="1308">
        <f t="shared" si="5"/>
        <v>818.17777000000001</v>
      </c>
    </row>
    <row r="173" spans="1:7">
      <c r="A173" s="1708" t="s">
        <v>2037</v>
      </c>
      <c r="B173" t="s">
        <v>2038</v>
      </c>
      <c r="C173" s="1308">
        <v>0</v>
      </c>
      <c r="D173" s="1308">
        <v>9971555</v>
      </c>
      <c r="E173" s="1308">
        <f t="shared" si="4"/>
        <v>0</v>
      </c>
      <c r="F173" s="1308">
        <f t="shared" si="5"/>
        <v>9971.5550000000003</v>
      </c>
    </row>
    <row r="174" spans="1:7">
      <c r="A174" s="1708" t="s">
        <v>873</v>
      </c>
      <c r="B174" t="s">
        <v>517</v>
      </c>
      <c r="C174" s="1308">
        <v>0</v>
      </c>
      <c r="D174" s="1308">
        <v>1140094</v>
      </c>
      <c r="E174" s="1308">
        <f t="shared" si="4"/>
        <v>0</v>
      </c>
      <c r="F174" s="1308">
        <f t="shared" si="5"/>
        <v>1140.0940000000001</v>
      </c>
    </row>
    <row r="175" spans="1:7">
      <c r="A175" s="1708" t="s">
        <v>898</v>
      </c>
      <c r="B175" t="s">
        <v>747</v>
      </c>
      <c r="C175" s="1308">
        <v>42913183.289999999</v>
      </c>
      <c r="D175" s="1308">
        <v>0</v>
      </c>
      <c r="E175" s="1308">
        <f t="shared" si="4"/>
        <v>42913.183290000001</v>
      </c>
      <c r="F175" s="1308">
        <f t="shared" si="5"/>
        <v>0</v>
      </c>
    </row>
    <row r="176" spans="1:7">
      <c r="A176" s="1708" t="s">
        <v>899</v>
      </c>
      <c r="B176" t="s">
        <v>753</v>
      </c>
      <c r="C176" s="1308">
        <v>110819801.08</v>
      </c>
      <c r="D176" s="1308">
        <v>0</v>
      </c>
      <c r="E176" s="1308">
        <f t="shared" si="4"/>
        <v>110819.80108</v>
      </c>
      <c r="F176" s="1308">
        <f t="shared" si="5"/>
        <v>0</v>
      </c>
    </row>
    <row r="177" spans="1:7">
      <c r="A177" s="1708" t="s">
        <v>874</v>
      </c>
      <c r="B177" t="s">
        <v>524</v>
      </c>
      <c r="C177" s="1308">
        <v>0</v>
      </c>
      <c r="D177" s="1308">
        <v>3419703.06</v>
      </c>
      <c r="E177" s="1308">
        <f t="shared" si="4"/>
        <v>0</v>
      </c>
      <c r="F177" s="1308">
        <f t="shared" si="5"/>
        <v>3419.7030600000003</v>
      </c>
    </row>
    <row r="178" spans="1:7">
      <c r="A178" s="1708" t="s">
        <v>877</v>
      </c>
      <c r="B178" t="s">
        <v>596</v>
      </c>
      <c r="C178" s="1308">
        <v>24204025</v>
      </c>
      <c r="D178" s="1308">
        <v>0</v>
      </c>
      <c r="E178" s="1308">
        <f t="shared" si="4"/>
        <v>24204.025000000001</v>
      </c>
      <c r="F178" s="1308">
        <f t="shared" si="5"/>
        <v>0</v>
      </c>
    </row>
    <row r="179" spans="1:7">
      <c r="A179" s="1708" t="s">
        <v>878</v>
      </c>
      <c r="B179" t="s">
        <v>598</v>
      </c>
      <c r="C179" s="1308">
        <v>3146523.25</v>
      </c>
      <c r="D179" s="1308">
        <v>0</v>
      </c>
      <c r="E179" s="1308">
        <f t="shared" si="4"/>
        <v>3146.5232500000002</v>
      </c>
      <c r="F179" s="1308">
        <f t="shared" si="5"/>
        <v>0</v>
      </c>
    </row>
    <row r="180" spans="1:7">
      <c r="A180" s="1708" t="s">
        <v>880</v>
      </c>
      <c r="B180" t="s">
        <v>606</v>
      </c>
      <c r="C180" s="1308">
        <v>1952610</v>
      </c>
      <c r="D180" s="1308">
        <v>0</v>
      </c>
      <c r="E180" s="1308">
        <f t="shared" si="4"/>
        <v>1952.61</v>
      </c>
      <c r="F180" s="1308">
        <f t="shared" si="5"/>
        <v>0</v>
      </c>
    </row>
    <row r="181" spans="1:7">
      <c r="A181" s="1708" t="s">
        <v>881</v>
      </c>
      <c r="B181" t="s">
        <v>733</v>
      </c>
      <c r="C181" s="1308">
        <v>253840</v>
      </c>
      <c r="D181" s="1308">
        <v>0</v>
      </c>
      <c r="E181" s="1308">
        <f t="shared" si="4"/>
        <v>253.84</v>
      </c>
      <c r="F181" s="1308">
        <f t="shared" si="5"/>
        <v>0</v>
      </c>
    </row>
    <row r="182" spans="1:7">
      <c r="A182" s="1708" t="s">
        <v>882</v>
      </c>
      <c r="B182" t="s">
        <v>612</v>
      </c>
      <c r="C182" s="1308">
        <v>519827</v>
      </c>
      <c r="D182" s="1308">
        <v>0</v>
      </c>
      <c r="E182" s="1308">
        <f t="shared" si="4"/>
        <v>519.827</v>
      </c>
      <c r="F182" s="1308">
        <f t="shared" si="5"/>
        <v>0</v>
      </c>
    </row>
    <row r="183" spans="1:7">
      <c r="A183" s="1708" t="s">
        <v>883</v>
      </c>
      <c r="B183" t="s">
        <v>739</v>
      </c>
      <c r="C183" s="1308">
        <v>2603536.5499999998</v>
      </c>
      <c r="D183" s="1308">
        <v>0</v>
      </c>
      <c r="E183" s="1308">
        <f t="shared" si="4"/>
        <v>2603.5365499999998</v>
      </c>
      <c r="F183" s="1308">
        <f t="shared" si="5"/>
        <v>0</v>
      </c>
    </row>
    <row r="184" spans="1:7">
      <c r="A184" s="1708" t="s">
        <v>1626</v>
      </c>
      <c r="B184" t="s">
        <v>1625</v>
      </c>
      <c r="C184" s="1308">
        <v>2328794</v>
      </c>
      <c r="D184" s="1308">
        <v>0</v>
      </c>
      <c r="E184" s="1308">
        <f t="shared" si="4"/>
        <v>2328.7939999999999</v>
      </c>
      <c r="F184" s="1308">
        <f t="shared" si="5"/>
        <v>0</v>
      </c>
    </row>
    <row r="185" spans="1:7">
      <c r="A185" s="1708" t="s">
        <v>885</v>
      </c>
      <c r="B185" t="s">
        <v>618</v>
      </c>
      <c r="C185" s="1308">
        <v>16666444.939999999</v>
      </c>
      <c r="D185" s="1308">
        <v>0</v>
      </c>
      <c r="E185" s="1308">
        <f t="shared" si="4"/>
        <v>16666.444940000001</v>
      </c>
      <c r="F185" s="1308">
        <f t="shared" si="5"/>
        <v>0</v>
      </c>
    </row>
    <row r="186" spans="1:7">
      <c r="A186" s="1708" t="s">
        <v>886</v>
      </c>
      <c r="B186" t="s">
        <v>620</v>
      </c>
      <c r="C186" s="1308">
        <v>370182.05</v>
      </c>
      <c r="D186" s="1308">
        <v>0</v>
      </c>
      <c r="E186" s="1308">
        <f t="shared" si="4"/>
        <v>370.18205</v>
      </c>
      <c r="F186" s="1308">
        <f t="shared" si="5"/>
        <v>0</v>
      </c>
    </row>
    <row r="187" spans="1:7">
      <c r="A187" s="1708" t="s">
        <v>887</v>
      </c>
      <c r="B187" t="s">
        <v>621</v>
      </c>
      <c r="C187" s="1308">
        <v>749494</v>
      </c>
      <c r="D187" s="1308">
        <v>0</v>
      </c>
      <c r="E187" s="1308">
        <f t="shared" si="4"/>
        <v>749.49400000000003</v>
      </c>
      <c r="F187" s="1308">
        <f t="shared" si="5"/>
        <v>0</v>
      </c>
      <c r="G187" s="1673">
        <f>+E187+E188+E189</f>
        <v>1965.982</v>
      </c>
    </row>
    <row r="188" spans="1:7">
      <c r="A188" s="1708" t="s">
        <v>1612</v>
      </c>
      <c r="B188" t="s">
        <v>622</v>
      </c>
      <c r="C188" s="1308">
        <v>467338</v>
      </c>
      <c r="D188" s="1308">
        <v>0</v>
      </c>
      <c r="E188" s="1308">
        <f t="shared" si="4"/>
        <v>467.33800000000002</v>
      </c>
      <c r="F188" s="1308">
        <f t="shared" si="5"/>
        <v>0</v>
      </c>
      <c r="G188" s="1673">
        <f>SUM(E198:E209)</f>
        <v>206.00483999999997</v>
      </c>
    </row>
    <row r="189" spans="1:7">
      <c r="A189" s="1708" t="s">
        <v>888</v>
      </c>
      <c r="B189" t="s">
        <v>623</v>
      </c>
      <c r="C189" s="1308">
        <v>749150</v>
      </c>
      <c r="D189" s="1308">
        <v>0</v>
      </c>
      <c r="E189" s="1308">
        <f t="shared" si="4"/>
        <v>749.15</v>
      </c>
      <c r="F189" s="1308">
        <f t="shared" si="5"/>
        <v>0</v>
      </c>
      <c r="G189" s="1673">
        <f>SUM(G187:G188)</f>
        <v>2171.98684</v>
      </c>
    </row>
    <row r="190" spans="1:7">
      <c r="A190" s="1708" t="s">
        <v>889</v>
      </c>
      <c r="B190" t="s">
        <v>679</v>
      </c>
      <c r="C190" s="1308">
        <v>334232.07</v>
      </c>
      <c r="D190" s="1308">
        <v>0</v>
      </c>
      <c r="E190" s="1308">
        <f t="shared" si="4"/>
        <v>334.23207000000002</v>
      </c>
      <c r="F190" s="1308">
        <f t="shared" si="5"/>
        <v>0</v>
      </c>
    </row>
    <row r="191" spans="1:7">
      <c r="A191" s="1708" t="s">
        <v>890</v>
      </c>
      <c r="B191" t="s">
        <v>725</v>
      </c>
      <c r="C191" s="1308">
        <v>0</v>
      </c>
      <c r="D191" s="1308">
        <v>0.47000000000000003</v>
      </c>
      <c r="E191" s="1308">
        <f t="shared" si="4"/>
        <v>0</v>
      </c>
      <c r="F191" s="1308">
        <f t="shared" si="5"/>
        <v>4.7000000000000004E-4</v>
      </c>
    </row>
    <row r="192" spans="1:7">
      <c r="A192" s="1708" t="s">
        <v>1617</v>
      </c>
      <c r="B192" t="s">
        <v>727</v>
      </c>
      <c r="C192" s="1308">
        <v>0</v>
      </c>
      <c r="D192" s="1308">
        <v>18571377.91</v>
      </c>
      <c r="E192" s="1308">
        <f t="shared" si="4"/>
        <v>0</v>
      </c>
      <c r="F192" s="1308">
        <f t="shared" si="5"/>
        <v>18571.377909999999</v>
      </c>
    </row>
    <row r="193" spans="1:7">
      <c r="A193" s="1708" t="s">
        <v>891</v>
      </c>
      <c r="B193" t="s">
        <v>699</v>
      </c>
      <c r="C193" s="1308">
        <v>153272</v>
      </c>
      <c r="D193" s="1308">
        <v>0</v>
      </c>
      <c r="E193" s="1308">
        <f t="shared" si="4"/>
        <v>153.27199999999999</v>
      </c>
      <c r="F193" s="1308">
        <f t="shared" si="5"/>
        <v>0</v>
      </c>
    </row>
    <row r="194" spans="1:7">
      <c r="A194" s="1708" t="s">
        <v>893</v>
      </c>
      <c r="B194" t="s">
        <v>661</v>
      </c>
      <c r="C194" s="1308">
        <v>435048</v>
      </c>
      <c r="D194" s="1308">
        <v>0</v>
      </c>
      <c r="E194" s="1308">
        <f t="shared" si="4"/>
        <v>435.048</v>
      </c>
      <c r="F194" s="1308">
        <f t="shared" si="5"/>
        <v>0</v>
      </c>
    </row>
    <row r="195" spans="1:7">
      <c r="A195" s="1708" t="s">
        <v>894</v>
      </c>
      <c r="B195" t="s">
        <v>665</v>
      </c>
      <c r="C195" s="1308">
        <v>206724</v>
      </c>
      <c r="D195" s="1308">
        <v>0</v>
      </c>
      <c r="E195" s="1308">
        <f t="shared" si="4"/>
        <v>206.72399999999999</v>
      </c>
      <c r="F195" s="1308">
        <f t="shared" si="5"/>
        <v>0</v>
      </c>
    </row>
    <row r="196" spans="1:7">
      <c r="A196" s="1708" t="s">
        <v>895</v>
      </c>
      <c r="B196" t="s">
        <v>669</v>
      </c>
      <c r="C196" s="1308">
        <v>6900</v>
      </c>
      <c r="D196" s="1308">
        <v>0</v>
      </c>
      <c r="E196" s="1308">
        <f t="shared" ref="E196:E209" si="6">+C196/1000</f>
        <v>6.9</v>
      </c>
      <c r="F196" s="1308">
        <f t="shared" si="5"/>
        <v>0</v>
      </c>
    </row>
    <row r="197" spans="1:7">
      <c r="A197" s="1708" t="s">
        <v>897</v>
      </c>
      <c r="B197" t="s">
        <v>689</v>
      </c>
      <c r="C197" s="1308">
        <v>25208</v>
      </c>
      <c r="D197" s="1308">
        <v>0</v>
      </c>
      <c r="E197" s="1308">
        <f t="shared" si="6"/>
        <v>25.207999999999998</v>
      </c>
      <c r="F197" s="1308">
        <f t="shared" si="5"/>
        <v>0</v>
      </c>
    </row>
    <row r="198" spans="1:7">
      <c r="A198" s="1708" t="s">
        <v>1800</v>
      </c>
      <c r="B198" t="s">
        <v>637</v>
      </c>
      <c r="C198" s="1308">
        <v>46864.1</v>
      </c>
      <c r="D198" s="1308">
        <v>0</v>
      </c>
      <c r="E198" s="1308">
        <f t="shared" si="6"/>
        <v>46.864100000000001</v>
      </c>
      <c r="F198" s="1308">
        <f t="shared" ref="F198:F206" si="7">+D198/1000</f>
        <v>0</v>
      </c>
    </row>
    <row r="199" spans="1:7">
      <c r="A199" s="1708" t="s">
        <v>1801</v>
      </c>
      <c r="B199" t="s">
        <v>640</v>
      </c>
      <c r="C199" s="1308">
        <v>1865</v>
      </c>
      <c r="D199" s="1308">
        <v>0</v>
      </c>
      <c r="E199" s="1308">
        <f t="shared" si="6"/>
        <v>1.865</v>
      </c>
      <c r="F199" s="1308">
        <f t="shared" si="7"/>
        <v>0</v>
      </c>
    </row>
    <row r="200" spans="1:7">
      <c r="A200" s="1708" t="s">
        <v>1802</v>
      </c>
      <c r="B200" t="s">
        <v>642</v>
      </c>
      <c r="C200" s="1308">
        <v>1260.97</v>
      </c>
      <c r="D200" s="1308">
        <v>0</v>
      </c>
      <c r="E200" s="1308">
        <f t="shared" si="6"/>
        <v>1.2609699999999999</v>
      </c>
      <c r="F200" s="1308">
        <f t="shared" si="7"/>
        <v>0</v>
      </c>
    </row>
    <row r="201" spans="1:7">
      <c r="A201" s="1708" t="s">
        <v>1803</v>
      </c>
      <c r="B201" t="s">
        <v>644</v>
      </c>
      <c r="C201" s="1308">
        <v>145434</v>
      </c>
      <c r="D201" s="1308">
        <v>0</v>
      </c>
      <c r="E201" s="1308">
        <f t="shared" si="6"/>
        <v>145.434</v>
      </c>
      <c r="F201" s="1308">
        <f t="shared" si="7"/>
        <v>0</v>
      </c>
    </row>
    <row r="202" spans="1:7">
      <c r="A202" s="1708" t="s">
        <v>1804</v>
      </c>
      <c r="B202" t="s">
        <v>646</v>
      </c>
      <c r="C202" s="1308">
        <v>10028</v>
      </c>
      <c r="D202" s="1308">
        <v>0</v>
      </c>
      <c r="E202" s="1308">
        <f t="shared" si="6"/>
        <v>10.028</v>
      </c>
      <c r="F202" s="1308">
        <f t="shared" si="7"/>
        <v>0</v>
      </c>
    </row>
    <row r="203" spans="1:7">
      <c r="A203" s="1708" t="s">
        <v>2039</v>
      </c>
      <c r="B203" t="s">
        <v>2040</v>
      </c>
      <c r="C203" s="1308">
        <v>11</v>
      </c>
      <c r="D203" s="1308">
        <v>0</v>
      </c>
      <c r="E203" s="1308">
        <f t="shared" si="6"/>
        <v>1.0999999999999999E-2</v>
      </c>
      <c r="F203" s="1308">
        <f t="shared" si="7"/>
        <v>0</v>
      </c>
    </row>
    <row r="204" spans="1:7">
      <c r="A204" s="1708" t="s">
        <v>2041</v>
      </c>
      <c r="B204" t="s">
        <v>2042</v>
      </c>
      <c r="C204" s="1308">
        <v>79.11</v>
      </c>
      <c r="D204" s="1308">
        <v>0</v>
      </c>
      <c r="E204" s="1308">
        <f t="shared" si="6"/>
        <v>7.911E-2</v>
      </c>
      <c r="F204" s="1308">
        <f t="shared" si="7"/>
        <v>0</v>
      </c>
    </row>
    <row r="205" spans="1:7">
      <c r="A205" s="1708" t="s">
        <v>2043</v>
      </c>
      <c r="B205" t="s">
        <v>2044</v>
      </c>
      <c r="C205" s="1308">
        <v>17</v>
      </c>
      <c r="D205" s="1308">
        <v>0</v>
      </c>
      <c r="E205" s="1308">
        <f t="shared" si="6"/>
        <v>1.7000000000000001E-2</v>
      </c>
      <c r="F205" s="1308">
        <f t="shared" si="7"/>
        <v>0</v>
      </c>
    </row>
    <row r="206" spans="1:7">
      <c r="A206" s="1708" t="s">
        <v>2045</v>
      </c>
      <c r="B206" t="s">
        <v>2046</v>
      </c>
      <c r="C206" s="1308">
        <v>28.85</v>
      </c>
      <c r="D206" s="1308">
        <v>0</v>
      </c>
      <c r="E206" s="1308">
        <f t="shared" si="6"/>
        <v>2.8850000000000001E-2</v>
      </c>
      <c r="F206" s="1308">
        <f t="shared" si="7"/>
        <v>0</v>
      </c>
      <c r="G206" s="1673">
        <f>SUM(E195:E206)</f>
        <v>444.42003000000005</v>
      </c>
    </row>
    <row r="207" spans="1:7">
      <c r="A207" t="s">
        <v>1805</v>
      </c>
      <c r="B207" t="s">
        <v>650</v>
      </c>
      <c r="C207" s="1308">
        <v>353.26</v>
      </c>
      <c r="D207" s="1308">
        <v>0</v>
      </c>
      <c r="E207" s="1308">
        <f t="shared" si="6"/>
        <v>0.35326000000000002</v>
      </c>
      <c r="F207" s="1308">
        <f t="shared" ref="F207:F209" si="8">+D207/1000</f>
        <v>0</v>
      </c>
    </row>
    <row r="208" spans="1:7">
      <c r="A208" t="s">
        <v>1806</v>
      </c>
      <c r="B208" t="s">
        <v>651</v>
      </c>
      <c r="C208" s="1308">
        <v>45.2</v>
      </c>
      <c r="D208" s="1308">
        <v>0</v>
      </c>
      <c r="E208" s="1308">
        <f t="shared" si="6"/>
        <v>4.5200000000000004E-2</v>
      </c>
      <c r="F208" s="1308">
        <f t="shared" si="8"/>
        <v>0</v>
      </c>
    </row>
    <row r="209" spans="1:6">
      <c r="A209" t="s">
        <v>1807</v>
      </c>
      <c r="B209" t="s">
        <v>652</v>
      </c>
      <c r="C209" s="1308">
        <v>18.350000000000001</v>
      </c>
      <c r="D209" s="1308">
        <v>0</v>
      </c>
      <c r="E209" s="1308">
        <f t="shared" si="6"/>
        <v>1.8350000000000002E-2</v>
      </c>
      <c r="F209" s="1308">
        <f t="shared" si="8"/>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T80"/>
  <sheetViews>
    <sheetView showGridLines="0" view="pageBreakPreview" topLeftCell="D4" zoomScale="90" zoomScaleSheetLayoutView="90" workbookViewId="0">
      <selection activeCell="I4" sqref="I1:XFD1048576"/>
    </sheetView>
  </sheetViews>
  <sheetFormatPr defaultColWidth="0" defaultRowHeight="12.75"/>
  <cols>
    <col min="1" max="1" width="5.85546875" style="763" customWidth="1"/>
    <col min="2" max="2" width="4.140625" style="763" customWidth="1"/>
    <col min="3" max="3" width="53.7109375" style="763" customWidth="1"/>
    <col min="4" max="4" width="5.42578125" style="763" customWidth="1"/>
    <col min="5" max="5" width="6.42578125" style="763" customWidth="1"/>
    <col min="6" max="6" width="14.140625" style="764" customWidth="1"/>
    <col min="7" max="7" width="1.140625" style="765" customWidth="1"/>
    <col min="8" max="8" width="14.140625" style="763" customWidth="1"/>
    <col min="9" max="9" width="15" style="763" hidden="1"/>
    <col min="10" max="10" width="10.5703125" style="763" hidden="1"/>
    <col min="11" max="11" width="15" style="763" hidden="1"/>
    <col min="12" max="13" width="9.28515625" style="763" hidden="1"/>
    <col min="14" max="14" width="13.7109375" style="763" hidden="1"/>
    <col min="15" max="15" width="11.7109375" style="763" hidden="1"/>
    <col min="16" max="16" width="11.28515625" style="763" hidden="1"/>
    <col min="17" max="17" width="10.7109375" style="763" hidden="1"/>
    <col min="18" max="18" width="11.140625" style="763" hidden="1"/>
    <col min="19" max="19" width="11" style="763" hidden="1"/>
    <col min="20" max="20" width="0" style="763" hidden="1"/>
    <col min="21" max="16384" width="9.140625" style="763" hidden="1"/>
  </cols>
  <sheetData>
    <row r="1" spans="1:19">
      <c r="A1" s="83" t="s">
        <v>908</v>
      </c>
      <c r="B1" s="565"/>
      <c r="C1" s="565"/>
      <c r="D1" s="565"/>
      <c r="I1" s="768"/>
      <c r="J1" s="768">
        <v>7260133</v>
      </c>
      <c r="K1" s="768">
        <v>-5573873</v>
      </c>
      <c r="L1" s="768">
        <v>-218027904</v>
      </c>
    </row>
    <row r="2" spans="1:19">
      <c r="A2" s="565" t="s">
        <v>1814</v>
      </c>
      <c r="C2" s="565"/>
      <c r="D2" s="565"/>
      <c r="I2" s="768"/>
      <c r="J2" s="768">
        <v>14277100</v>
      </c>
      <c r="K2" s="768">
        <v>84847</v>
      </c>
      <c r="L2" s="768">
        <v>117494928</v>
      </c>
    </row>
    <row r="3" spans="1:19">
      <c r="A3" s="565" t="s">
        <v>1954</v>
      </c>
      <c r="C3" s="565"/>
      <c r="D3" s="565"/>
      <c r="I3" s="768"/>
      <c r="J3" s="768">
        <v>382459</v>
      </c>
      <c r="K3" s="768">
        <v>651058</v>
      </c>
      <c r="L3" s="768">
        <v>1627158</v>
      </c>
    </row>
    <row r="4" spans="1:19">
      <c r="A4" s="158"/>
      <c r="B4" s="565"/>
      <c r="C4" s="565"/>
      <c r="D4" s="565"/>
      <c r="F4" s="766" t="s">
        <v>1809</v>
      </c>
      <c r="G4" s="767"/>
      <c r="H4" s="766" t="s">
        <v>1809</v>
      </c>
      <c r="I4" s="768"/>
      <c r="J4" s="768">
        <v>1758842</v>
      </c>
      <c r="K4" s="768">
        <v>-5987969</v>
      </c>
      <c r="L4" s="763">
        <v>0</v>
      </c>
    </row>
    <row r="5" spans="1:19">
      <c r="E5" s="754" t="s">
        <v>910</v>
      </c>
      <c r="F5" s="93" t="str">
        <f>SOAL!F6</f>
        <v>2021</v>
      </c>
      <c r="G5" s="10"/>
      <c r="H5" s="1335" t="s">
        <v>1535</v>
      </c>
      <c r="I5" s="768"/>
      <c r="J5" s="768">
        <v>17884957</v>
      </c>
      <c r="K5" s="768">
        <v>868532</v>
      </c>
      <c r="L5" s="763">
        <v>-455</v>
      </c>
    </row>
    <row r="6" spans="1:19">
      <c r="F6" s="1903" t="s">
        <v>1310</v>
      </c>
      <c r="G6" s="1903"/>
      <c r="H6" s="1903"/>
      <c r="I6" s="768"/>
      <c r="J6" s="768">
        <v>23232615</v>
      </c>
      <c r="K6" s="788">
        <f>SUM(K1:K5)</f>
        <v>-9957405</v>
      </c>
      <c r="L6" s="768">
        <v>-376834</v>
      </c>
    </row>
    <row r="7" spans="1:19">
      <c r="A7" s="565" t="s">
        <v>938</v>
      </c>
      <c r="E7" s="754"/>
      <c r="F7" s="754"/>
      <c r="G7" s="769"/>
      <c r="H7" s="769"/>
      <c r="I7" s="768"/>
      <c r="J7" s="768">
        <v>818178</v>
      </c>
      <c r="K7" s="788"/>
    </row>
    <row r="8" spans="1:19">
      <c r="A8" s="565"/>
      <c r="E8" s="754"/>
      <c r="F8" s="754"/>
      <c r="G8" s="769"/>
      <c r="H8" s="769"/>
      <c r="I8" s="768"/>
      <c r="J8" s="768">
        <v>9971555</v>
      </c>
      <c r="K8" s="768"/>
    </row>
    <row r="9" spans="1:19">
      <c r="A9" s="763" t="s">
        <v>1688</v>
      </c>
      <c r="E9" s="769"/>
      <c r="F9" s="1051">
        <v>75585.839539999986</v>
      </c>
      <c r="G9" s="46"/>
      <c r="H9" s="1336">
        <v>30697</v>
      </c>
      <c r="I9" s="768"/>
      <c r="J9" s="768"/>
      <c r="O9" s="46"/>
      <c r="P9" s="770"/>
      <c r="R9" s="768"/>
      <c r="S9" s="768"/>
    </row>
    <row r="10" spans="1:19">
      <c r="A10" s="763" t="s">
        <v>2138</v>
      </c>
      <c r="E10" s="754"/>
      <c r="F10" s="1052">
        <v>-9957.4048600000006</v>
      </c>
      <c r="G10" s="46"/>
      <c r="H10" s="1337">
        <v>2729.33907</v>
      </c>
      <c r="I10" s="1553"/>
      <c r="J10" s="768"/>
      <c r="K10" s="768"/>
      <c r="O10" s="46"/>
      <c r="P10" s="770"/>
      <c r="R10" s="768"/>
      <c r="S10" s="768"/>
    </row>
    <row r="11" spans="1:19">
      <c r="A11" s="763" t="s">
        <v>1312</v>
      </c>
      <c r="E11" s="754"/>
      <c r="F11" s="1052">
        <v>60189.129639999999</v>
      </c>
      <c r="G11" s="46"/>
      <c r="H11" s="1337">
        <v>9908.5035200000002</v>
      </c>
      <c r="I11" s="1553"/>
      <c r="J11" s="768"/>
      <c r="O11" s="46"/>
      <c r="P11" s="770"/>
      <c r="R11" s="768"/>
      <c r="S11" s="768"/>
    </row>
    <row r="12" spans="1:19" ht="12.75" customHeight="1">
      <c r="A12" s="763" t="s">
        <v>940</v>
      </c>
      <c r="E12" s="754"/>
      <c r="F12" s="1052">
        <v>27358.75</v>
      </c>
      <c r="G12" s="46"/>
      <c r="H12" s="1337">
        <v>1395</v>
      </c>
      <c r="I12" s="1553"/>
      <c r="J12" s="768"/>
      <c r="K12" s="768"/>
      <c r="L12" s="768"/>
      <c r="M12" s="768"/>
      <c r="N12" s="1063"/>
      <c r="O12" s="46"/>
      <c r="P12" s="770"/>
      <c r="R12" s="768"/>
      <c r="S12" s="768"/>
    </row>
    <row r="13" spans="1:19" ht="12.75" customHeight="1">
      <c r="A13" s="763" t="s">
        <v>2091</v>
      </c>
      <c r="E13" s="1464"/>
      <c r="F13" s="1052">
        <v>3419.7030600000003</v>
      </c>
      <c r="G13" s="46"/>
      <c r="H13" s="1337">
        <v>1653.1659500000001</v>
      </c>
      <c r="I13" s="1553"/>
      <c r="J13" s="768"/>
      <c r="K13" s="768"/>
      <c r="L13" s="768"/>
      <c r="M13" s="768"/>
      <c r="N13" s="1063"/>
      <c r="O13" s="46"/>
      <c r="P13" s="770"/>
      <c r="R13" s="768"/>
      <c r="S13" s="768"/>
    </row>
    <row r="14" spans="1:19">
      <c r="A14" s="763" t="s">
        <v>2092</v>
      </c>
      <c r="E14" s="754"/>
      <c r="F14" s="1052"/>
      <c r="G14" s="46"/>
      <c r="H14" s="1337"/>
      <c r="I14" s="1553"/>
      <c r="J14" s="1063"/>
      <c r="K14" s="1063"/>
      <c r="L14" s="1063"/>
      <c r="M14" s="1063"/>
      <c r="N14" s="768"/>
      <c r="O14" s="46"/>
      <c r="P14" s="770"/>
      <c r="R14" s="768"/>
      <c r="S14" s="768"/>
    </row>
    <row r="15" spans="1:19">
      <c r="A15" s="782" t="s">
        <v>939</v>
      </c>
      <c r="E15" s="769"/>
      <c r="F15" s="1052">
        <v>-99283.107529999994</v>
      </c>
      <c r="G15" s="46"/>
      <c r="H15" s="1337">
        <v>-2139</v>
      </c>
      <c r="I15" s="770"/>
      <c r="M15" s="770"/>
      <c r="N15" s="768"/>
      <c r="O15" s="46"/>
      <c r="P15" s="770"/>
      <c r="R15" s="768"/>
    </row>
    <row r="16" spans="1:19">
      <c r="A16" s="772" t="s">
        <v>2052</v>
      </c>
      <c r="E16" s="754"/>
      <c r="F16" s="1052">
        <v>190469.90640000001</v>
      </c>
      <c r="G16" s="46"/>
      <c r="H16" s="1337">
        <v>7329.0059499999998</v>
      </c>
      <c r="N16" s="768"/>
      <c r="O16" s="46"/>
      <c r="P16" s="770"/>
      <c r="R16" s="768"/>
    </row>
    <row r="17" spans="1:18">
      <c r="A17" s="763" t="s">
        <v>942</v>
      </c>
      <c r="E17" s="754"/>
      <c r="F17" s="1060">
        <v>1140.0940000000001</v>
      </c>
      <c r="G17" s="46"/>
      <c r="H17" s="1338">
        <v>54.162999999999997</v>
      </c>
      <c r="N17" s="788"/>
      <c r="O17" s="46"/>
      <c r="P17" s="770"/>
      <c r="R17" s="768"/>
    </row>
    <row r="18" spans="1:18">
      <c r="A18" s="565" t="s">
        <v>943</v>
      </c>
      <c r="E18" s="754"/>
      <c r="F18" s="774">
        <v>248922.91025000004</v>
      </c>
      <c r="G18" s="46"/>
      <c r="H18" s="775">
        <v>51627.177490000002</v>
      </c>
      <c r="J18" s="770"/>
      <c r="O18" s="775"/>
      <c r="P18" s="770"/>
      <c r="R18" s="768"/>
    </row>
    <row r="19" spans="1:18">
      <c r="A19" s="565"/>
      <c r="E19" s="754"/>
      <c r="F19" s="1050"/>
      <c r="G19" s="46"/>
      <c r="H19" s="46"/>
      <c r="R19" s="768"/>
    </row>
    <row r="20" spans="1:18">
      <c r="A20" s="565" t="s">
        <v>1503</v>
      </c>
      <c r="E20" s="754"/>
      <c r="F20" s="753"/>
      <c r="G20" s="46"/>
      <c r="H20" s="46"/>
      <c r="R20" s="768"/>
    </row>
    <row r="21" spans="1:18">
      <c r="A21" s="565"/>
      <c r="E21" s="754"/>
      <c r="F21" s="753"/>
      <c r="G21" s="46"/>
      <c r="H21" s="46"/>
      <c r="R21" s="768"/>
    </row>
    <row r="22" spans="1:18" ht="27.75" customHeight="1">
      <c r="A22" s="1908" t="s">
        <v>1531</v>
      </c>
      <c r="B22" s="1909"/>
      <c r="C22" s="1909"/>
      <c r="E22" s="769"/>
      <c r="F22" s="1051">
        <v>24204.025000000001</v>
      </c>
      <c r="G22" s="46"/>
      <c r="H22" s="1336">
        <v>5931</v>
      </c>
      <c r="I22" s="788"/>
      <c r="R22" s="768"/>
    </row>
    <row r="23" spans="1:18">
      <c r="A23" s="763" t="s">
        <v>944</v>
      </c>
      <c r="E23" s="769"/>
      <c r="F23" s="1052">
        <v>3146.5232500000002</v>
      </c>
      <c r="G23" s="46"/>
      <c r="H23" s="1337">
        <v>771</v>
      </c>
      <c r="J23" s="763">
        <v>5862</v>
      </c>
      <c r="K23" s="770"/>
      <c r="L23" s="776">
        <f>F22*0.13</f>
        <v>3146.5232500000002</v>
      </c>
      <c r="M23" s="776"/>
      <c r="N23" s="776"/>
    </row>
    <row r="24" spans="1:18">
      <c r="A24" s="763" t="s">
        <v>1736</v>
      </c>
      <c r="E24" s="769"/>
      <c r="F24" s="1052">
        <v>2603.5365499999998</v>
      </c>
      <c r="G24" s="46"/>
      <c r="H24" s="1337">
        <v>492.42942999999997</v>
      </c>
      <c r="K24" s="770"/>
      <c r="L24" s="776"/>
      <c r="M24" s="776"/>
      <c r="N24" s="776"/>
    </row>
    <row r="25" spans="1:18">
      <c r="A25" s="763" t="s">
        <v>1619</v>
      </c>
      <c r="E25" s="769"/>
      <c r="F25" s="1052">
        <v>2328.7939999999999</v>
      </c>
      <c r="G25" s="46"/>
      <c r="H25" s="1337">
        <v>633</v>
      </c>
      <c r="K25" s="770"/>
      <c r="L25" s="776"/>
      <c r="M25" s="776"/>
      <c r="N25" s="776"/>
    </row>
    <row r="26" spans="1:18">
      <c r="A26" s="763" t="s">
        <v>1422</v>
      </c>
      <c r="E26" s="769"/>
      <c r="F26" s="1052">
        <v>1952.61</v>
      </c>
      <c r="G26" s="46"/>
      <c r="H26" s="1337">
        <v>365.35</v>
      </c>
      <c r="I26" s="1039"/>
      <c r="L26" s="776"/>
      <c r="M26" s="776"/>
      <c r="N26" s="776"/>
    </row>
    <row r="27" spans="1:18">
      <c r="A27" s="763" t="s">
        <v>1489</v>
      </c>
      <c r="E27" s="769"/>
      <c r="F27" s="1052">
        <v>253.84</v>
      </c>
      <c r="G27" s="46"/>
      <c r="H27" s="1337">
        <v>47</v>
      </c>
      <c r="I27" s="1039"/>
      <c r="L27" s="776">
        <f>F26*0.13</f>
        <v>253.83930000000001</v>
      </c>
      <c r="M27" s="776"/>
      <c r="N27" s="776">
        <f>H26*0.14</f>
        <v>51.149000000000008</v>
      </c>
    </row>
    <row r="28" spans="1:18">
      <c r="A28" s="763" t="s">
        <v>1313</v>
      </c>
      <c r="E28" s="769"/>
      <c r="F28" s="1052">
        <v>519.827</v>
      </c>
      <c r="G28" s="46"/>
      <c r="H28" s="1337">
        <v>97</v>
      </c>
    </row>
    <row r="29" spans="1:18">
      <c r="A29" s="763" t="s">
        <v>951</v>
      </c>
      <c r="E29" s="769"/>
      <c r="F29" s="1052">
        <v>0</v>
      </c>
      <c r="G29" s="46"/>
      <c r="H29" s="1337">
        <v>0</v>
      </c>
      <c r="I29" s="770"/>
      <c r="J29" s="770">
        <f>1471940+190188</f>
        <v>1662128</v>
      </c>
    </row>
    <row r="30" spans="1:18">
      <c r="A30" s="763" t="s">
        <v>946</v>
      </c>
      <c r="E30" s="769"/>
      <c r="F30" s="1052">
        <v>17036.626990000001</v>
      </c>
      <c r="G30" s="46"/>
      <c r="H30" s="1337">
        <v>2401.67355</v>
      </c>
      <c r="O30" s="1553"/>
    </row>
    <row r="31" spans="1:18" ht="15">
      <c r="A31" s="763" t="s">
        <v>947</v>
      </c>
      <c r="E31" s="769"/>
      <c r="F31" s="1052">
        <v>769.28007000000002</v>
      </c>
      <c r="G31" s="46"/>
      <c r="H31" s="1337">
        <v>34</v>
      </c>
      <c r="O31" s="1742">
        <v>1965982</v>
      </c>
    </row>
    <row r="32" spans="1:18" ht="15">
      <c r="A32" s="763" t="s">
        <v>948</v>
      </c>
      <c r="E32" s="769"/>
      <c r="F32" s="1052">
        <v>2171.98684</v>
      </c>
      <c r="G32" s="46"/>
      <c r="H32" s="1337">
        <v>189.13991999999999</v>
      </c>
      <c r="O32" s="1742">
        <v>206005</v>
      </c>
    </row>
    <row r="33" spans="1:15">
      <c r="A33" s="763" t="s">
        <v>949</v>
      </c>
      <c r="E33" s="769"/>
      <c r="F33" s="1052">
        <v>213.624</v>
      </c>
      <c r="G33" s="46"/>
      <c r="H33" s="1337">
        <v>171.64558</v>
      </c>
      <c r="K33" s="770">
        <f>F37-F23-F27-F28-'5.2 - 25'!J85-F29-'Lead - 2020'!K357*0</f>
        <v>51111.065710000003</v>
      </c>
      <c r="M33" s="1103"/>
      <c r="O33" s="1553">
        <f>+O31-O32</f>
        <v>1759977</v>
      </c>
    </row>
    <row r="34" spans="1:15">
      <c r="A34" s="763" t="s">
        <v>950</v>
      </c>
      <c r="E34" s="777"/>
      <c r="F34" s="1052">
        <v>153.27199999999999</v>
      </c>
      <c r="G34" s="46"/>
      <c r="H34" s="1337">
        <v>152</v>
      </c>
    </row>
    <row r="35" spans="1:15" hidden="1">
      <c r="A35" s="763" t="s">
        <v>952</v>
      </c>
      <c r="E35" s="769" t="str">
        <f>'5 - 5.1.2'!A83</f>
        <v>7.2</v>
      </c>
      <c r="F35" s="1052">
        <v>0</v>
      </c>
      <c r="G35" s="46"/>
      <c r="H35" s="1337">
        <v>0</v>
      </c>
      <c r="I35" s="770"/>
      <c r="J35" s="770"/>
    </row>
    <row r="36" spans="1:15">
      <c r="A36" s="763" t="s">
        <v>953</v>
      </c>
      <c r="E36" s="769"/>
      <c r="F36" s="1060">
        <v>25.207999999999998</v>
      </c>
      <c r="G36" s="46"/>
      <c r="H36" s="1338">
        <v>31</v>
      </c>
    </row>
    <row r="37" spans="1:15">
      <c r="A37" s="565" t="s">
        <v>954</v>
      </c>
      <c r="E37" s="769"/>
      <c r="F37" s="1049">
        <v>55379.153699999995</v>
      </c>
      <c r="G37" s="46"/>
      <c r="H37" s="46">
        <v>11316.23848</v>
      </c>
      <c r="I37" s="776">
        <v>33533567</v>
      </c>
      <c r="J37" s="776">
        <f>I37/1000</f>
        <v>33533.567000000003</v>
      </c>
      <c r="K37" s="776">
        <f>F37-J37</f>
        <v>21845.586699999993</v>
      </c>
    </row>
    <row r="38" spans="1:15">
      <c r="A38" s="565"/>
      <c r="E38" s="769"/>
      <c r="F38" s="1860"/>
      <c r="G38" s="46"/>
      <c r="H38" s="46"/>
      <c r="I38" s="776"/>
      <c r="J38" s="776"/>
      <c r="K38" s="776"/>
    </row>
    <row r="39" spans="1:15">
      <c r="A39" s="763" t="s">
        <v>2136</v>
      </c>
      <c r="E39" s="763">
        <f>+'5.2 - 25'!A183</f>
        <v>8.1</v>
      </c>
      <c r="F39" s="1860">
        <v>18571.377909999999</v>
      </c>
      <c r="G39" s="46"/>
      <c r="H39" s="46">
        <v>-806</v>
      </c>
      <c r="I39" s="776"/>
      <c r="J39" s="776"/>
      <c r="K39" s="776"/>
    </row>
    <row r="40" spans="1:15" ht="12" customHeight="1">
      <c r="A40" s="565"/>
      <c r="E40" s="754"/>
      <c r="F40" s="753"/>
      <c r="G40" s="46"/>
      <c r="H40" s="46"/>
      <c r="I40" s="770"/>
    </row>
    <row r="41" spans="1:15" hidden="1">
      <c r="A41" s="111" t="s">
        <v>955</v>
      </c>
      <c r="E41" s="754"/>
      <c r="F41" s="753"/>
      <c r="G41" s="46"/>
      <c r="H41" s="46"/>
    </row>
    <row r="42" spans="1:15" hidden="1">
      <c r="A42" s="778" t="s">
        <v>956</v>
      </c>
      <c r="E42" s="769"/>
      <c r="F42" s="774">
        <v>193543.75655000005</v>
      </c>
      <c r="G42" s="46"/>
      <c r="H42" s="775">
        <v>40310.939010000002</v>
      </c>
    </row>
    <row r="43" spans="1:15" ht="6" hidden="1" customHeight="1">
      <c r="A43" s="565"/>
      <c r="E43" s="769"/>
      <c r="F43" s="779"/>
      <c r="G43" s="46"/>
      <c r="H43" s="773"/>
    </row>
    <row r="44" spans="1:15" hidden="1">
      <c r="A44" s="763" t="s">
        <v>957</v>
      </c>
      <c r="E44" s="769"/>
      <c r="F44" s="780"/>
      <c r="G44" s="775"/>
      <c r="H44" s="1339"/>
    </row>
    <row r="45" spans="1:15" hidden="1">
      <c r="A45" s="771" t="s">
        <v>958</v>
      </c>
      <c r="E45" s="769"/>
      <c r="F45" s="781"/>
      <c r="H45" s="1340"/>
    </row>
    <row r="46" spans="1:15" hidden="1">
      <c r="A46" s="782" t="s">
        <v>959</v>
      </c>
      <c r="E46" s="769"/>
      <c r="F46" s="783"/>
      <c r="G46" s="773"/>
      <c r="H46" s="1341"/>
    </row>
    <row r="47" spans="1:15" hidden="1">
      <c r="A47" s="782" t="s">
        <v>960</v>
      </c>
      <c r="E47" s="769"/>
      <c r="F47" s="784"/>
      <c r="G47" s="785"/>
      <c r="H47" s="1342"/>
    </row>
    <row r="48" spans="1:15" hidden="1">
      <c r="A48" s="782"/>
      <c r="E48" s="769"/>
      <c r="F48" s="779"/>
      <c r="G48" s="46"/>
      <c r="H48" s="773"/>
    </row>
    <row r="49" spans="1:17" ht="6" hidden="1" customHeight="1">
      <c r="E49" s="769"/>
      <c r="F49" s="753"/>
      <c r="G49" s="46"/>
      <c r="H49" s="46"/>
    </row>
    <row r="50" spans="1:17">
      <c r="A50" s="565" t="s">
        <v>1961</v>
      </c>
      <c r="E50" s="769"/>
      <c r="F50" s="774">
        <v>212115.13446000006</v>
      </c>
      <c r="G50" s="46"/>
      <c r="H50" s="775">
        <v>39504.939010000002</v>
      </c>
      <c r="K50" s="763">
        <v>185</v>
      </c>
    </row>
    <row r="51" spans="1:17">
      <c r="A51" s="565"/>
      <c r="E51" s="769"/>
      <c r="F51" s="779"/>
      <c r="G51" s="46"/>
      <c r="H51" s="773"/>
    </row>
    <row r="52" spans="1:17">
      <c r="A52" s="763" t="s">
        <v>961</v>
      </c>
      <c r="E52" s="777">
        <v>11</v>
      </c>
      <c r="F52" s="1062">
        <v>0</v>
      </c>
      <c r="G52" s="46"/>
      <c r="H52" s="46">
        <v>0</v>
      </c>
    </row>
    <row r="53" spans="1:17" ht="12" customHeight="1">
      <c r="E53" s="769"/>
      <c r="F53" s="1062"/>
      <c r="G53" s="46"/>
      <c r="H53" s="46"/>
    </row>
    <row r="54" spans="1:17" s="1002" customFormat="1" ht="21" customHeight="1" thickBot="1">
      <c r="A54" s="1001" t="s">
        <v>1962</v>
      </c>
      <c r="E54" s="1003"/>
      <c r="F54" s="155">
        <v>212115.13446000006</v>
      </c>
      <c r="G54" s="156"/>
      <c r="H54" s="1343">
        <v>39504.939010000002</v>
      </c>
      <c r="I54" s="1004">
        <f>F54-SOCI!F17</f>
        <v>0</v>
      </c>
      <c r="J54" s="1004">
        <f>I54*2</f>
        <v>0</v>
      </c>
      <c r="L54" s="1005">
        <v>67597</v>
      </c>
      <c r="M54" s="1005">
        <v>59679</v>
      </c>
    </row>
    <row r="55" spans="1:17" ht="13.5" hidden="1" thickTop="1">
      <c r="A55" s="565"/>
      <c r="B55" s="565"/>
      <c r="C55" s="565"/>
      <c r="D55" s="565"/>
      <c r="E55" s="786"/>
      <c r="L55" s="770">
        <f>F54-L54</f>
        <v>144518.13446000006</v>
      </c>
      <c r="M55" s="770">
        <f>H54-M54</f>
        <v>-20174.060989999998</v>
      </c>
    </row>
    <row r="56" spans="1:17" hidden="1">
      <c r="A56" s="565" t="s">
        <v>962</v>
      </c>
      <c r="B56" s="565"/>
      <c r="C56" s="565"/>
      <c r="D56" s="565"/>
      <c r="E56" s="786" t="e">
        <f>'1 - 4.2'!#REF!</f>
        <v>#REF!</v>
      </c>
      <c r="L56" s="770"/>
      <c r="M56" s="770"/>
    </row>
    <row r="57" spans="1:17" ht="6" customHeight="1" thickTop="1">
      <c r="A57" s="565"/>
      <c r="B57" s="565"/>
      <c r="C57" s="565"/>
      <c r="D57" s="565"/>
      <c r="E57" s="786"/>
      <c r="L57" s="770"/>
      <c r="M57" s="770"/>
    </row>
    <row r="58" spans="1:17" ht="12" customHeight="1">
      <c r="A58" s="565"/>
      <c r="B58" s="565"/>
      <c r="C58" s="565"/>
      <c r="D58" s="565"/>
      <c r="E58" s="786"/>
      <c r="L58" s="770"/>
      <c r="M58" s="770"/>
    </row>
    <row r="59" spans="1:17">
      <c r="A59" s="565" t="s">
        <v>1963</v>
      </c>
      <c r="B59" s="565"/>
      <c r="C59" s="565"/>
      <c r="D59" s="565"/>
      <c r="E59" s="786"/>
      <c r="L59" s="770"/>
      <c r="M59" s="770"/>
    </row>
    <row r="60" spans="1:17">
      <c r="A60" s="771" t="s">
        <v>1962</v>
      </c>
      <c r="B60" s="565"/>
      <c r="C60" s="565"/>
      <c r="D60" s="565"/>
      <c r="E60" s="786"/>
      <c r="F60" s="787">
        <v>212115.13446000006</v>
      </c>
      <c r="H60" s="1344">
        <v>39504.939010000002</v>
      </c>
      <c r="I60" s="770"/>
      <c r="L60" s="770"/>
      <c r="M60" s="770">
        <f>F60*0.9</f>
        <v>190903.62101400006</v>
      </c>
      <c r="O60" s="1910" t="s">
        <v>1644</v>
      </c>
      <c r="P60" s="1910"/>
      <c r="Q60" s="1910"/>
    </row>
    <row r="61" spans="1:17">
      <c r="A61" s="771" t="s">
        <v>963</v>
      </c>
      <c r="B61" s="565"/>
      <c r="C61" s="565"/>
      <c r="D61" s="565"/>
      <c r="E61" s="786"/>
      <c r="F61" s="787">
        <v>-66993.288</v>
      </c>
      <c r="H61" s="1344">
        <v>-3639</v>
      </c>
      <c r="I61" s="1118" t="s">
        <v>1648</v>
      </c>
      <c r="L61" s="770"/>
      <c r="M61" s="770">
        <v>-76620.97868</v>
      </c>
      <c r="O61" s="1116" t="s">
        <v>1645</v>
      </c>
      <c r="P61" s="1116" t="s">
        <v>1646</v>
      </c>
      <c r="Q61" s="1116" t="s">
        <v>1647</v>
      </c>
    </row>
    <row r="62" spans="1:17" s="1002" customFormat="1" ht="21" customHeight="1" thickBot="1">
      <c r="A62" s="1001"/>
      <c r="B62" s="1001"/>
      <c r="C62" s="1001"/>
      <c r="D62" s="1001"/>
      <c r="E62" s="1006"/>
      <c r="F62" s="1120">
        <v>145121.84646000006</v>
      </c>
      <c r="G62" s="1007"/>
      <c r="H62" s="1345">
        <v>35865.939010000002</v>
      </c>
      <c r="L62" s="1004"/>
      <c r="M62" s="1004">
        <f>F61</f>
        <v>-66993.288</v>
      </c>
      <c r="O62" s="1117">
        <v>0</v>
      </c>
      <c r="P62" s="1117">
        <v>-7194720</v>
      </c>
      <c r="Q62" s="1117">
        <v>74188008</v>
      </c>
    </row>
    <row r="63" spans="1:17" ht="13.5" thickTop="1">
      <c r="A63" s="565"/>
      <c r="B63" s="565"/>
      <c r="C63" s="565"/>
      <c r="D63" s="565"/>
      <c r="E63" s="786"/>
      <c r="F63" s="787"/>
      <c r="H63" s="1346"/>
      <c r="L63" s="770"/>
      <c r="M63" s="770"/>
    </row>
    <row r="64" spans="1:17">
      <c r="A64" s="565" t="s">
        <v>964</v>
      </c>
      <c r="B64" s="565"/>
      <c r="C64" s="565"/>
      <c r="D64" s="565"/>
      <c r="E64" s="786"/>
      <c r="L64" s="770"/>
      <c r="M64" s="770"/>
      <c r="P64" s="770">
        <f>F10+F15</f>
        <v>-109240.51238999999</v>
      </c>
    </row>
    <row r="65" spans="1:20">
      <c r="A65" s="771" t="s">
        <v>1504</v>
      </c>
      <c r="B65" s="565"/>
      <c r="C65" s="565"/>
      <c r="D65" s="565"/>
      <c r="E65" s="786"/>
      <c r="F65" s="1121">
        <v>0</v>
      </c>
      <c r="H65" s="1347">
        <v>590</v>
      </c>
      <c r="L65" s="770"/>
      <c r="M65" s="770"/>
      <c r="P65" s="788">
        <f>P62/1000</f>
        <v>-7194.72</v>
      </c>
    </row>
    <row r="66" spans="1:20">
      <c r="A66" s="771" t="s">
        <v>1505</v>
      </c>
      <c r="B66" s="565"/>
      <c r="C66" s="565"/>
      <c r="D66" s="565"/>
      <c r="E66" s="786"/>
      <c r="F66" s="1122">
        <v>145121.84646000006</v>
      </c>
      <c r="H66" s="1348">
        <v>35275.939010000002</v>
      </c>
      <c r="K66" s="788">
        <f>F66*0.9</f>
        <v>130609.66181400005</v>
      </c>
      <c r="P66" s="788">
        <f>P64-P65</f>
        <v>-102045.79238999999</v>
      </c>
    </row>
    <row r="67" spans="1:20" s="1002" customFormat="1" ht="21" customHeight="1" thickBot="1">
      <c r="A67" s="1001"/>
      <c r="B67" s="1001"/>
      <c r="C67" s="1001"/>
      <c r="D67" s="1001"/>
      <c r="E67" s="1006"/>
      <c r="F67" s="1120">
        <v>145121.84646000006</v>
      </c>
      <c r="G67" s="1007"/>
      <c r="H67" s="1349">
        <v>35865.939010000002</v>
      </c>
    </row>
    <row r="68" spans="1:20" ht="13.5" thickTop="1">
      <c r="A68" s="565"/>
      <c r="B68" s="565"/>
      <c r="C68" s="565"/>
      <c r="D68" s="565"/>
      <c r="E68" s="786"/>
      <c r="F68" s="787"/>
    </row>
    <row r="69" spans="1:20" s="10" customFormat="1" ht="13.5" hidden="1" customHeight="1">
      <c r="A69" s="157" t="s">
        <v>1303</v>
      </c>
      <c r="B69" s="610"/>
      <c r="C69" s="610"/>
      <c r="D69" s="611"/>
      <c r="E69" s="777" t="e">
        <f>'1 - 4.2'!#REF!</f>
        <v>#REF!</v>
      </c>
      <c r="F69" s="612"/>
      <c r="G69" s="613"/>
      <c r="H69" s="614"/>
      <c r="I69" s="615"/>
      <c r="J69" s="612"/>
      <c r="K69" s="615"/>
      <c r="L69" s="614"/>
    </row>
    <row r="70" spans="1:20">
      <c r="A70" s="763" t="s">
        <v>2121</v>
      </c>
      <c r="B70" s="565"/>
      <c r="C70" s="565"/>
      <c r="D70" s="565"/>
      <c r="E70" s="1828">
        <f>+'5.2 - 25'!A290</f>
        <v>12</v>
      </c>
      <c r="F70" s="787"/>
    </row>
    <row r="71" spans="1:20">
      <c r="A71" s="565"/>
      <c r="B71" s="565"/>
      <c r="C71" s="565"/>
      <c r="D71" s="565"/>
      <c r="E71" s="786"/>
      <c r="F71" s="787"/>
    </row>
    <row r="72" spans="1:20" ht="13.5" thickBot="1">
      <c r="A72" s="763" t="str">
        <f>SOAL!A48</f>
        <v>The annexed notes 1 to 17 form an integral part of these financial statements.</v>
      </c>
    </row>
    <row r="73" spans="1:20">
      <c r="A73" s="109"/>
      <c r="B73" s="109"/>
      <c r="C73" s="109"/>
      <c r="D73" s="109"/>
      <c r="E73" s="109"/>
      <c r="F73" s="115"/>
      <c r="G73" s="109"/>
      <c r="H73" s="109"/>
      <c r="P73" s="1649" t="s">
        <v>1886</v>
      </c>
      <c r="Q73" s="1650" t="s">
        <v>1887</v>
      </c>
      <c r="R73" s="1651" t="s">
        <v>1888</v>
      </c>
      <c r="S73" s="1651" t="s">
        <v>942</v>
      </c>
      <c r="T73" s="1652" t="s">
        <v>783</v>
      </c>
    </row>
    <row r="74" spans="1:20" s="565" customFormat="1">
      <c r="B74" s="114"/>
      <c r="C74" s="114"/>
      <c r="D74" s="114"/>
      <c r="E74" s="114"/>
      <c r="F74" s="114"/>
      <c r="G74" s="114"/>
      <c r="H74" s="114"/>
      <c r="P74" s="1653">
        <v>44013</v>
      </c>
      <c r="Q74" s="1654">
        <v>44104</v>
      </c>
      <c r="R74" s="1655">
        <v>-207378</v>
      </c>
      <c r="S74" s="1655">
        <v>3845951</v>
      </c>
      <c r="T74" s="1656">
        <f>R74+S74</f>
        <v>3638573</v>
      </c>
    </row>
    <row r="75" spans="1:20" s="565" customFormat="1">
      <c r="B75" s="114"/>
      <c r="C75" s="114"/>
      <c r="D75" s="114"/>
      <c r="E75" s="114"/>
      <c r="F75" s="114"/>
      <c r="G75" s="114"/>
      <c r="H75" s="114"/>
      <c r="P75" s="1653"/>
      <c r="Q75" s="1654"/>
      <c r="R75" s="1655"/>
      <c r="S75" s="1655"/>
      <c r="T75" s="1656">
        <f>R75+S75</f>
        <v>0</v>
      </c>
    </row>
    <row r="76" spans="1:20" s="565" customFormat="1">
      <c r="A76" s="45"/>
      <c r="B76" s="45"/>
      <c r="C76" s="45"/>
      <c r="D76" s="45"/>
      <c r="E76" s="45"/>
      <c r="F76" s="115"/>
      <c r="G76" s="45"/>
      <c r="H76" s="45"/>
      <c r="P76" s="1653"/>
      <c r="Q76" s="1654"/>
      <c r="R76" s="1655"/>
      <c r="S76" s="1655"/>
      <c r="T76" s="1657">
        <f>R76+S76</f>
        <v>0</v>
      </c>
    </row>
    <row r="77" spans="1:20" s="565" customFormat="1">
      <c r="A77" s="45"/>
      <c r="B77" s="45"/>
      <c r="C77" s="45"/>
      <c r="D77" s="45"/>
      <c r="E77" s="45"/>
      <c r="F77" s="115"/>
      <c r="G77" s="45"/>
      <c r="H77" s="45" t="s">
        <v>765</v>
      </c>
      <c r="P77" s="1658"/>
      <c r="Q77" s="1659"/>
      <c r="R77" s="1660">
        <f>R74+R76+R75</f>
        <v>-207378</v>
      </c>
      <c r="S77" s="1660">
        <f>S74+S76+S75</f>
        <v>3845951</v>
      </c>
      <c r="T77" s="1661">
        <f>R77+S77</f>
        <v>3638573</v>
      </c>
    </row>
    <row r="78" spans="1:20" s="565" customFormat="1" ht="13.5" thickBot="1">
      <c r="A78" s="45"/>
      <c r="B78" s="45"/>
      <c r="C78" s="45"/>
      <c r="D78" s="45"/>
      <c r="E78" s="45"/>
      <c r="F78" s="115"/>
      <c r="G78" s="45"/>
      <c r="H78" s="45"/>
      <c r="P78" s="1658" t="s">
        <v>1889</v>
      </c>
      <c r="Q78" s="1659"/>
      <c r="R78" s="1662">
        <f>ROUND(R77/1000,0)</f>
        <v>-207</v>
      </c>
      <c r="S78" s="1662">
        <f>ROUND(S77/1000,0)</f>
        <v>3846</v>
      </c>
      <c r="T78" s="1663">
        <f>R78+S78</f>
        <v>3639</v>
      </c>
    </row>
    <row r="79" spans="1:20" s="9" customFormat="1" ht="14.25" thickTop="1" thickBot="1">
      <c r="A79" s="565"/>
      <c r="B79" s="72"/>
      <c r="C79" s="754"/>
      <c r="F79" s="754"/>
      <c r="G79" s="754"/>
      <c r="P79" s="1664"/>
      <c r="Q79" s="1665"/>
      <c r="R79" s="1665"/>
      <c r="S79" s="1665"/>
      <c r="T79" s="1666"/>
    </row>
    <row r="80" spans="1:20" s="565" customFormat="1">
      <c r="F80" s="764"/>
      <c r="G80" s="789"/>
    </row>
  </sheetData>
  <mergeCells count="3">
    <mergeCell ref="F6:H6"/>
    <mergeCell ref="A22:C22"/>
    <mergeCell ref="O60:Q60"/>
  </mergeCells>
  <pageMargins left="0.63" right="0.5" top="0.69" bottom="0.2" header="0.34" footer="0.16"/>
  <pageSetup scale="79" orientation="portrait" r:id="rId1"/>
  <headerFooter alignWithMargins="0"/>
  <rowBreaks count="1" manualBreakCount="1">
    <brk id="79"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117"/>
  <sheetViews>
    <sheetView showGridLines="0" view="pageBreakPreview" zoomScaleSheetLayoutView="100" workbookViewId="0">
      <selection activeCell="M10" sqref="M10"/>
    </sheetView>
  </sheetViews>
  <sheetFormatPr defaultColWidth="9.140625" defaultRowHeight="12"/>
  <cols>
    <col min="1" max="1" width="5.85546875" style="90" customWidth="1"/>
    <col min="2" max="2" width="4.140625" style="90" customWidth="1"/>
    <col min="3" max="3" width="51.85546875" style="90" customWidth="1"/>
    <col min="4" max="5" width="6.42578125" style="90" customWidth="1"/>
    <col min="6" max="6" width="14.140625" style="118" customWidth="1"/>
    <col min="7" max="7" width="1.28515625" style="90" customWidth="1"/>
    <col min="8" max="8" width="14.140625" style="90" customWidth="1"/>
    <col min="9" max="16384" width="9.140625" style="90"/>
  </cols>
  <sheetData>
    <row r="1" spans="1:10" s="86" customFormat="1" ht="12.75">
      <c r="A1" s="83" t="s">
        <v>908</v>
      </c>
      <c r="B1" s="84"/>
      <c r="C1" s="84"/>
      <c r="D1" s="84"/>
      <c r="E1" s="84"/>
      <c r="F1" s="85"/>
      <c r="G1" s="84"/>
      <c r="H1" s="84"/>
    </row>
    <row r="2" spans="1:10" ht="12.75">
      <c r="A2" s="87" t="s">
        <v>1815</v>
      </c>
      <c r="B2" s="88"/>
      <c r="C2" s="88"/>
      <c r="D2" s="88"/>
      <c r="E2" s="88"/>
      <c r="F2" s="89"/>
      <c r="G2" s="88"/>
      <c r="H2" s="89"/>
    </row>
    <row r="3" spans="1:10" ht="12.75">
      <c r="A3" s="565" t="s">
        <v>1954</v>
      </c>
      <c r="B3" s="89"/>
      <c r="C3" s="89"/>
      <c r="D3" s="89"/>
      <c r="E3" s="89"/>
      <c r="F3" s="89"/>
      <c r="G3" s="89"/>
      <c r="H3" s="89"/>
    </row>
    <row r="4" spans="1:10" ht="12.75">
      <c r="A4" s="92"/>
      <c r="B4" s="89"/>
      <c r="C4" s="89"/>
      <c r="D4" s="89"/>
      <c r="E4" s="89"/>
      <c r="F4" s="752" t="s">
        <v>1809</v>
      </c>
      <c r="G4" s="89"/>
      <c r="H4" s="752" t="str">
        <f>IS!H4</f>
        <v>September 30,</v>
      </c>
    </row>
    <row r="5" spans="1:10" ht="12" customHeight="1">
      <c r="A5" s="92"/>
      <c r="B5" s="89"/>
      <c r="C5" s="89"/>
      <c r="D5" s="89"/>
      <c r="F5" s="93" t="str">
        <f>SOAL!F6</f>
        <v>2021</v>
      </c>
      <c r="G5" s="10"/>
      <c r="H5" s="752" t="str">
        <f>IS!H5</f>
        <v>2020</v>
      </c>
    </row>
    <row r="6" spans="1:10" ht="12.75">
      <c r="A6" s="89"/>
      <c r="B6" s="89"/>
      <c r="C6" s="89"/>
      <c r="D6" s="89"/>
      <c r="E6" s="93"/>
      <c r="F6" s="1903" t="s">
        <v>1310</v>
      </c>
      <c r="G6" s="1911"/>
      <c r="H6" s="1911"/>
    </row>
    <row r="7" spans="1:10" ht="12.75">
      <c r="A7" s="89"/>
      <c r="B7" s="89"/>
      <c r="C7" s="89"/>
      <c r="D7" s="89"/>
      <c r="E7" s="94"/>
      <c r="F7" s="95"/>
      <c r="G7" s="96"/>
      <c r="H7" s="89"/>
    </row>
    <row r="8" spans="1:10" ht="12.75">
      <c r="A8" s="97" t="s">
        <v>1962</v>
      </c>
      <c r="B8" s="89"/>
      <c r="C8" s="89"/>
      <c r="D8" s="89"/>
      <c r="E8" s="94"/>
      <c r="F8" s="1072">
        <v>212115.13446000006</v>
      </c>
      <c r="G8" s="89"/>
      <c r="H8" s="85">
        <v>39504.939010000002</v>
      </c>
    </row>
    <row r="9" spans="1:10" ht="12.75">
      <c r="A9" s="89"/>
      <c r="B9" s="89"/>
      <c r="C9" s="89"/>
      <c r="D9" s="89"/>
      <c r="E9" s="94"/>
      <c r="F9" s="1072"/>
      <c r="G9" s="89"/>
      <c r="H9" s="85"/>
    </row>
    <row r="10" spans="1:10" ht="12.75">
      <c r="A10" s="89" t="s">
        <v>1689</v>
      </c>
      <c r="B10" s="89"/>
      <c r="C10" s="89"/>
      <c r="D10" s="89"/>
      <c r="E10" s="94"/>
      <c r="F10" s="1073">
        <v>0</v>
      </c>
      <c r="G10" s="94"/>
      <c r="H10" s="1688">
        <v>0</v>
      </c>
    </row>
    <row r="11" spans="1:10" ht="12.75" hidden="1">
      <c r="A11" s="98"/>
      <c r="B11" s="89"/>
      <c r="C11" s="89"/>
      <c r="D11" s="89"/>
      <c r="E11" s="94"/>
      <c r="F11" s="1073"/>
      <c r="G11" s="94"/>
      <c r="H11" s="1688"/>
    </row>
    <row r="12" spans="1:10" ht="12.75" hidden="1">
      <c r="A12" s="88" t="s">
        <v>967</v>
      </c>
      <c r="B12" s="89"/>
      <c r="C12" s="89"/>
      <c r="D12" s="89"/>
      <c r="E12" s="94"/>
      <c r="F12" s="1073"/>
      <c r="G12" s="94"/>
      <c r="H12" s="1688"/>
    </row>
    <row r="13" spans="1:10" ht="12.75" hidden="1">
      <c r="A13" s="89"/>
      <c r="B13" s="89"/>
      <c r="C13" s="89"/>
      <c r="D13" s="89"/>
      <c r="E13" s="94"/>
      <c r="F13" s="1073"/>
      <c r="G13" s="94"/>
      <c r="H13" s="1688"/>
    </row>
    <row r="14" spans="1:10" ht="12.75" hidden="1">
      <c r="A14" s="99" t="s">
        <v>1423</v>
      </c>
      <c r="B14" s="89"/>
      <c r="C14" s="89"/>
      <c r="D14" s="89"/>
      <c r="E14" s="100"/>
      <c r="F14" s="1073">
        <v>0</v>
      </c>
      <c r="G14" s="94"/>
      <c r="H14" s="1688">
        <v>0</v>
      </c>
      <c r="J14" s="101"/>
    </row>
    <row r="15" spans="1:10" ht="12.75" hidden="1">
      <c r="A15" s="89"/>
      <c r="B15" s="89"/>
      <c r="C15" s="89"/>
      <c r="D15" s="89"/>
      <c r="E15" s="89"/>
      <c r="F15" s="1072"/>
      <c r="G15" s="89"/>
      <c r="H15" s="89"/>
    </row>
    <row r="16" spans="1:10" ht="12.75">
      <c r="A16" s="89"/>
      <c r="B16" s="89"/>
      <c r="C16" s="89"/>
      <c r="D16" s="89"/>
      <c r="E16" s="89"/>
      <c r="F16" s="1072"/>
      <c r="G16" s="89"/>
      <c r="H16" s="89"/>
    </row>
    <row r="17" spans="1:8" s="104" customFormat="1" ht="21" customHeight="1" thickBot="1">
      <c r="A17" s="102" t="s">
        <v>1956</v>
      </c>
      <c r="B17" s="103"/>
      <c r="C17" s="103"/>
      <c r="D17" s="103"/>
      <c r="E17" s="103"/>
      <c r="F17" s="1074">
        <v>212115.13446000006</v>
      </c>
      <c r="G17" s="103"/>
      <c r="H17" s="1689">
        <v>39504.939010000002</v>
      </c>
    </row>
    <row r="18" spans="1:8" ht="13.5" thickTop="1">
      <c r="A18" s="89"/>
      <c r="B18" s="89"/>
      <c r="C18" s="89"/>
      <c r="D18" s="89"/>
      <c r="E18" s="89"/>
      <c r="F18" s="85"/>
      <c r="G18" s="89"/>
      <c r="H18" s="89"/>
    </row>
    <row r="19" spans="1:8" ht="12.75">
      <c r="A19" s="89"/>
      <c r="B19" s="89"/>
      <c r="C19" s="89"/>
      <c r="D19" s="89"/>
      <c r="E19" s="89"/>
      <c r="F19" s="85"/>
      <c r="G19" s="89"/>
      <c r="H19" s="89"/>
    </row>
    <row r="20" spans="1:8" s="108" customFormat="1" ht="12.75">
      <c r="A20" s="105" t="str">
        <f>IS!A72</f>
        <v>The annexed notes 1 to 17 form an integral part of these financial statements.</v>
      </c>
      <c r="B20" s="105"/>
      <c r="C20" s="105"/>
      <c r="D20" s="105"/>
      <c r="E20" s="105"/>
      <c r="F20" s="106"/>
      <c r="G20" s="107"/>
      <c r="H20" s="763"/>
    </row>
    <row r="21" spans="1:8" s="108" customFormat="1" ht="12.75">
      <c r="A21" s="105"/>
      <c r="B21" s="105"/>
      <c r="C21" s="105"/>
      <c r="D21" s="105"/>
      <c r="E21" s="105"/>
      <c r="F21" s="106"/>
      <c r="G21" s="107"/>
      <c r="H21" s="763"/>
    </row>
    <row r="22" spans="1:8" s="108" customFormat="1" ht="12.75">
      <c r="A22" s="109"/>
      <c r="B22" s="109"/>
      <c r="C22" s="109"/>
      <c r="D22" s="109"/>
      <c r="E22" s="109"/>
      <c r="F22" s="110"/>
      <c r="G22" s="109"/>
      <c r="H22" s="109"/>
    </row>
    <row r="23" spans="1:8" s="113" customFormat="1" ht="12.75">
      <c r="A23" s="111"/>
      <c r="B23" s="112"/>
      <c r="C23" s="112"/>
      <c r="D23" s="112"/>
      <c r="E23" s="112"/>
      <c r="F23" s="112"/>
      <c r="G23" s="112"/>
      <c r="H23" s="114"/>
    </row>
    <row r="24" spans="1:8" s="113" customFormat="1" ht="12.75">
      <c r="A24" s="111"/>
      <c r="B24" s="114"/>
      <c r="C24" s="114"/>
      <c r="D24" s="114"/>
      <c r="E24" s="114"/>
      <c r="F24" s="114"/>
      <c r="G24" s="114"/>
      <c r="H24" s="114"/>
    </row>
    <row r="25" spans="1:8" s="113" customFormat="1" ht="12.75">
      <c r="A25" s="45"/>
      <c r="B25" s="45"/>
      <c r="C25" s="45"/>
      <c r="D25" s="45"/>
      <c r="E25" s="45"/>
      <c r="F25" s="115"/>
      <c r="G25" s="45"/>
      <c r="H25" s="45"/>
    </row>
    <row r="26" spans="1:8" s="113" customFormat="1" ht="12.75">
      <c r="A26" s="45"/>
      <c r="B26" s="45"/>
      <c r="C26" s="45"/>
      <c r="D26" s="45"/>
      <c r="E26" s="45"/>
      <c r="F26" s="115"/>
      <c r="G26" s="45"/>
      <c r="H26" s="45"/>
    </row>
    <row r="27" spans="1:8" s="113" customFormat="1" ht="12.75">
      <c r="A27" s="45"/>
      <c r="B27" s="45"/>
      <c r="C27" s="45"/>
      <c r="D27" s="45"/>
      <c r="E27" s="45"/>
      <c r="F27" s="115"/>
      <c r="G27" s="45"/>
      <c r="H27" s="45"/>
    </row>
    <row r="28" spans="1:8" s="113" customFormat="1" ht="12.75">
      <c r="A28" s="111"/>
      <c r="B28" s="45"/>
      <c r="C28" s="45"/>
      <c r="D28" s="45"/>
      <c r="E28" s="45"/>
      <c r="F28" s="115"/>
      <c r="G28" s="45"/>
      <c r="H28" s="45"/>
    </row>
    <row r="29" spans="1:8" s="20" customFormat="1" ht="12.75">
      <c r="A29" s="111"/>
      <c r="B29" s="72"/>
      <c r="C29" s="73"/>
      <c r="D29" s="9"/>
      <c r="E29" s="9"/>
      <c r="F29" s="73"/>
      <c r="G29" s="73"/>
      <c r="H29" s="9"/>
    </row>
    <row r="30" spans="1:8" s="113" customFormat="1" ht="12.75">
      <c r="A30" s="111"/>
      <c r="B30" s="111"/>
      <c r="C30" s="111"/>
      <c r="D30" s="111"/>
      <c r="E30" s="111"/>
      <c r="F30" s="116"/>
      <c r="G30" s="117"/>
      <c r="H30" s="565"/>
    </row>
    <row r="31" spans="1:8" ht="12.75">
      <c r="A31" s="84"/>
      <c r="B31" s="84"/>
      <c r="C31" s="84"/>
      <c r="D31" s="84"/>
      <c r="E31" s="98"/>
      <c r="F31" s="85"/>
      <c r="G31" s="98"/>
      <c r="H31" s="98"/>
    </row>
    <row r="32" spans="1:8" ht="12.75">
      <c r="A32" s="98"/>
      <c r="B32" s="98"/>
      <c r="C32" s="98"/>
      <c r="D32" s="98"/>
      <c r="E32" s="98"/>
      <c r="F32" s="85"/>
      <c r="G32" s="98"/>
      <c r="H32" s="98"/>
    </row>
    <row r="33" spans="1:8" ht="12.75">
      <c r="A33" s="98"/>
      <c r="B33" s="98"/>
      <c r="C33" s="98"/>
      <c r="D33" s="98"/>
      <c r="E33" s="98"/>
      <c r="F33" s="85"/>
      <c r="G33" s="98"/>
      <c r="H33" s="98"/>
    </row>
    <row r="34" spans="1:8" ht="12.75">
      <c r="A34" s="98"/>
      <c r="B34" s="98"/>
      <c r="C34" s="98"/>
      <c r="D34" s="98"/>
      <c r="E34" s="98"/>
      <c r="F34" s="85"/>
      <c r="G34" s="98"/>
      <c r="H34" s="98"/>
    </row>
    <row r="116" spans="8:8">
      <c r="H116" s="1350" t="s">
        <v>968</v>
      </c>
    </row>
    <row r="117" spans="8:8">
      <c r="H117" s="1350" t="s">
        <v>969</v>
      </c>
    </row>
  </sheetData>
  <mergeCells count="1">
    <mergeCell ref="F6:H6"/>
  </mergeCells>
  <pageMargins left="0.63" right="0.5" top="0.75" bottom="0.65" header="0.5" footer="0.5"/>
  <pageSetup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BP401"/>
  <sheetViews>
    <sheetView showGridLines="0" view="pageBreakPreview" topLeftCell="D1" zoomScale="90" zoomScaleNormal="100" zoomScaleSheetLayoutView="90" workbookViewId="0">
      <selection activeCell="AD1" sqref="AD1:XFD1048576"/>
    </sheetView>
  </sheetViews>
  <sheetFormatPr defaultColWidth="0" defaultRowHeight="12.75"/>
  <cols>
    <col min="1" max="1" width="5.85546875" style="121" customWidth="1"/>
    <col min="2" max="2" width="4.140625" style="121" customWidth="1"/>
    <col min="3" max="3" width="42.28515625" style="121" customWidth="1"/>
    <col min="4" max="4" width="0.7109375" style="121" customWidth="1"/>
    <col min="5" max="5" width="11.5703125" style="129" customWidth="1"/>
    <col min="6" max="6" width="13.42578125" style="129" customWidth="1"/>
    <col min="7" max="7" width="11.7109375" style="121" customWidth="1"/>
    <col min="8" max="8" width="0.7109375" style="121" customWidth="1"/>
    <col min="9" max="9" width="11.5703125" style="121" bestFit="1" customWidth="1"/>
    <col min="10" max="11" width="11.7109375" style="121" customWidth="1"/>
    <col min="12" max="13" width="11.85546875" style="121" hidden="1" customWidth="1"/>
    <col min="14" max="14" width="1.85546875" style="121" hidden="1" customWidth="1"/>
    <col min="15" max="19" width="11.85546875" style="121" hidden="1" customWidth="1"/>
    <col min="20" max="20" width="14.42578125" style="139" hidden="1" customWidth="1"/>
    <col min="21" max="21" width="8.140625" style="121" hidden="1" customWidth="1"/>
    <col min="22" max="22" width="10.28515625" style="121" hidden="1" customWidth="1"/>
    <col min="23" max="23" width="14.42578125" style="121" hidden="1" customWidth="1"/>
    <col min="24" max="24" width="10.85546875" style="121" hidden="1" customWidth="1"/>
    <col min="25" max="25" width="14.5703125" style="121" hidden="1" customWidth="1"/>
    <col min="26" max="26" width="12" style="121" hidden="1" customWidth="1"/>
    <col min="27" max="27" width="10.28515625" style="121" hidden="1" customWidth="1"/>
    <col min="28" max="29" width="15.85546875" style="121" hidden="1" customWidth="1"/>
    <col min="30" max="32" width="15.85546875" style="121" hidden="1"/>
    <col min="33" max="33" width="32.7109375" style="121" hidden="1"/>
    <col min="34" max="34" width="15.7109375" style="121" hidden="1"/>
    <col min="35" max="36" width="15.85546875" style="121" hidden="1"/>
    <col min="37" max="37" width="18.7109375" style="121" hidden="1"/>
    <col min="38" max="38" width="23.85546875" style="121" hidden="1"/>
    <col min="39" max="39" width="9.28515625" style="121" hidden="1"/>
    <col min="40" max="40" width="12.140625" style="121" hidden="1"/>
    <col min="41" max="41" width="12.85546875" style="121" hidden="1"/>
    <col min="42" max="42" width="12.42578125" style="121" hidden="1"/>
    <col min="43" max="54" width="10.28515625" style="121" hidden="1"/>
    <col min="55" max="55" width="15.42578125" style="121" hidden="1"/>
    <col min="56" max="56" width="10.28515625" style="121" hidden="1"/>
    <col min="57" max="57" width="13.85546875" style="121" hidden="1"/>
    <col min="58" max="58" width="10.28515625" style="121" hidden="1"/>
    <col min="59" max="59" width="15" style="121" hidden="1"/>
    <col min="60" max="60" width="10.28515625" style="121" hidden="1"/>
    <col min="61" max="61" width="13.42578125" style="121" hidden="1"/>
    <col min="62" max="62" width="12.7109375" style="121" hidden="1"/>
    <col min="63" max="63" width="15.7109375" style="121" hidden="1"/>
    <col min="64" max="64" width="21.5703125" style="121" hidden="1"/>
    <col min="65" max="65" width="11.7109375" style="121" hidden="1"/>
    <col min="66" max="66" width="16.5703125" style="121" hidden="1"/>
    <col min="67" max="67" width="14" style="121" hidden="1"/>
    <col min="68" max="68" width="15.7109375" style="121" hidden="1"/>
    <col min="69" max="16384" width="10.28515625" style="121" hidden="1"/>
  </cols>
  <sheetData>
    <row r="1" spans="1:45" s="119" customFormat="1">
      <c r="A1" s="790" t="s">
        <v>908</v>
      </c>
      <c r="T1" s="120"/>
      <c r="U1" s="120"/>
      <c r="V1" s="120"/>
      <c r="W1" s="120"/>
      <c r="X1" s="120"/>
      <c r="Y1" s="120"/>
      <c r="Z1" s="120"/>
      <c r="AA1" s="120"/>
      <c r="AB1" s="120"/>
      <c r="AC1" s="120"/>
      <c r="AD1" s="120"/>
      <c r="AE1" s="120"/>
      <c r="AF1" s="616" t="s">
        <v>1304</v>
      </c>
      <c r="AG1" s="616" t="s">
        <v>1305</v>
      </c>
      <c r="AH1" s="616" t="s">
        <v>1306</v>
      </c>
      <c r="AI1" s="616" t="s">
        <v>1307</v>
      </c>
      <c r="AJ1" s="616" t="s">
        <v>1308</v>
      </c>
      <c r="AK1" s="120"/>
    </row>
    <row r="2" spans="1:45" s="119" customFormat="1">
      <c r="A2" s="791" t="s">
        <v>1816</v>
      </c>
      <c r="T2" s="120"/>
      <c r="U2" s="120"/>
      <c r="V2" s="121" t="s">
        <v>970</v>
      </c>
      <c r="W2" s="120"/>
      <c r="X2" s="120"/>
      <c r="Y2" s="122"/>
      <c r="Z2" s="122"/>
      <c r="AA2" s="122"/>
      <c r="AB2" s="122"/>
      <c r="AC2" s="122"/>
      <c r="AD2" s="122" t="s">
        <v>1640</v>
      </c>
      <c r="AE2" s="121" t="s">
        <v>974</v>
      </c>
      <c r="AF2" s="1100">
        <f>SOAL!H39</f>
        <v>176766181</v>
      </c>
      <c r="AK2" s="120"/>
    </row>
    <row r="3" spans="1:45" s="119" customFormat="1">
      <c r="A3" s="565" t="s">
        <v>1954</v>
      </c>
      <c r="T3" s="120"/>
      <c r="U3" s="120"/>
      <c r="V3" s="120"/>
      <c r="W3" s="120"/>
      <c r="X3" s="120"/>
      <c r="Y3" s="122"/>
      <c r="Z3" s="122"/>
      <c r="AA3" s="122"/>
      <c r="AB3" s="122"/>
      <c r="AC3" s="122"/>
      <c r="AD3" s="122">
        <v>46317913</v>
      </c>
      <c r="AE3" s="121" t="s">
        <v>1637</v>
      </c>
      <c r="AF3" s="1098">
        <f>+AH23</f>
        <v>89973213.552299976</v>
      </c>
      <c r="AG3" s="1100">
        <f>+AG23</f>
        <v>4927414873.1300011</v>
      </c>
      <c r="AH3" s="1101">
        <f>SOAL!H43</f>
        <v>54.282753328251175</v>
      </c>
      <c r="AI3" s="1100">
        <f>AF3*AH3</f>
        <v>4883993757.409565</v>
      </c>
      <c r="AJ3" s="141">
        <f>AG3-AI3</f>
        <v>43421115.720436096</v>
      </c>
      <c r="AK3" s="120"/>
    </row>
    <row r="4" spans="1:45" s="119" customFormat="1">
      <c r="T4" s="120"/>
      <c r="U4" s="120"/>
      <c r="V4" s="120"/>
      <c r="W4" s="120"/>
      <c r="X4" s="120"/>
      <c r="Y4" s="122"/>
      <c r="Z4" s="122"/>
      <c r="AA4" s="122"/>
      <c r="AB4" s="122"/>
      <c r="AC4" s="122"/>
      <c r="AD4" s="122"/>
      <c r="AE4" s="121"/>
      <c r="AF4" s="1104"/>
      <c r="AG4" s="122">
        <f>ROUND(AG3/1000,0)</f>
        <v>4927415</v>
      </c>
      <c r="AH4" s="122"/>
      <c r="AI4" s="122">
        <f>ROUND(AI3/1000,0)</f>
        <v>4883994</v>
      </c>
      <c r="AJ4" s="122">
        <f>ROUND(AJ3/1000,0)</f>
        <v>43421</v>
      </c>
      <c r="AK4" s="120"/>
    </row>
    <row r="5" spans="1:45">
      <c r="A5" s="792"/>
      <c r="B5" s="793"/>
      <c r="C5" s="793"/>
      <c r="E5" s="1916"/>
      <c r="F5" s="1916"/>
      <c r="G5" s="1916"/>
      <c r="H5" s="879"/>
      <c r="I5" s="1916"/>
      <c r="J5" s="1916"/>
      <c r="K5" s="1916"/>
      <c r="L5" s="805"/>
      <c r="M5" s="1917"/>
      <c r="N5" s="1917"/>
      <c r="O5" s="1917"/>
      <c r="P5" s="805"/>
      <c r="Q5" s="805"/>
      <c r="R5" s="805"/>
      <c r="S5" s="805"/>
      <c r="T5" s="133"/>
      <c r="U5" s="132"/>
      <c r="V5" s="132"/>
      <c r="W5" s="132"/>
      <c r="X5" s="132"/>
      <c r="Y5" s="122"/>
      <c r="Z5" s="122"/>
      <c r="AA5" s="122"/>
      <c r="AB5" s="122"/>
      <c r="AC5" s="122"/>
      <c r="AD5" s="122">
        <v>-33870288</v>
      </c>
      <c r="AE5" s="121" t="s">
        <v>1638</v>
      </c>
      <c r="AF5" s="1098">
        <f>AH42</f>
        <v>-115780492.49760002</v>
      </c>
      <c r="AG5" s="1100">
        <f>+AG42</f>
        <v>-6371199669.3599997</v>
      </c>
      <c r="AH5" s="1101">
        <f>SOAL!H43</f>
        <v>54.282753328251175</v>
      </c>
      <c r="AI5" s="1100">
        <f>AF5*AH5</f>
        <v>-6284883914.4706573</v>
      </c>
      <c r="AJ5" s="141">
        <f>AG5-AI5</f>
        <v>-86315754.889342308</v>
      </c>
      <c r="AK5" s="132"/>
    </row>
    <row r="6" spans="1:45">
      <c r="A6" s="792"/>
      <c r="B6" s="793"/>
      <c r="C6" s="793"/>
      <c r="E6" s="1918" t="s">
        <v>1955</v>
      </c>
      <c r="F6" s="1918"/>
      <c r="G6" s="1918"/>
      <c r="H6" s="1918"/>
      <c r="I6" s="1918"/>
      <c r="J6" s="1918"/>
      <c r="K6" s="1918"/>
      <c r="L6" s="795"/>
      <c r="M6" s="795"/>
      <c r="N6" s="795"/>
      <c r="O6" s="795"/>
      <c r="P6" s="795"/>
      <c r="Q6" s="795"/>
      <c r="R6" s="795"/>
      <c r="S6" s="795"/>
      <c r="T6" s="133"/>
      <c r="U6" s="132"/>
      <c r="V6" s="132"/>
      <c r="W6" s="132"/>
      <c r="X6" s="132"/>
      <c r="Y6" s="122"/>
      <c r="Z6" s="122"/>
      <c r="AA6" s="122"/>
      <c r="AB6" s="122"/>
      <c r="AC6" s="122"/>
      <c r="AD6" s="122"/>
      <c r="AE6" s="121" t="s">
        <v>975</v>
      </c>
      <c r="AF6" s="1105">
        <f>SUM(AF2:AF5)</f>
        <v>150958902.05469996</v>
      </c>
      <c r="AG6" s="122"/>
      <c r="AH6" s="619"/>
      <c r="AI6" s="1107">
        <f>AI5/1000</f>
        <v>-6284883.9144706577</v>
      </c>
      <c r="AJ6" s="618">
        <f>AJ5/1000</f>
        <v>-86315.754889342308</v>
      </c>
      <c r="AK6" s="132"/>
    </row>
    <row r="7" spans="1:45">
      <c r="A7" s="792"/>
      <c r="B7" s="793"/>
      <c r="C7" s="793"/>
      <c r="E7" s="1918" t="str">
        <f>SOAL!F6</f>
        <v>2021</v>
      </c>
      <c r="F7" s="1918"/>
      <c r="G7" s="1918"/>
      <c r="H7" s="876"/>
      <c r="I7" s="1914">
        <v>2020</v>
      </c>
      <c r="J7" s="1914"/>
      <c r="K7" s="1914"/>
      <c r="L7" s="795"/>
      <c r="M7" s="795"/>
      <c r="N7" s="795"/>
      <c r="O7" s="795"/>
      <c r="P7" s="795"/>
      <c r="Q7" s="795"/>
      <c r="R7" s="795"/>
      <c r="S7" s="795"/>
      <c r="T7" s="133"/>
      <c r="U7" s="132"/>
      <c r="V7" s="132"/>
      <c r="W7" s="132"/>
      <c r="X7" s="132"/>
      <c r="Y7" s="122"/>
      <c r="Z7" s="122"/>
      <c r="AA7" s="122"/>
      <c r="AB7" s="122"/>
      <c r="AC7" s="122"/>
      <c r="AD7" s="122"/>
      <c r="AE7" s="121" t="s">
        <v>1639</v>
      </c>
      <c r="AF7" s="122">
        <v>150958902.46880001</v>
      </c>
      <c r="AG7" s="122"/>
      <c r="AH7" s="619"/>
      <c r="AI7" s="617"/>
      <c r="AJ7" s="618"/>
      <c r="AK7" s="132"/>
    </row>
    <row r="8" spans="1:45" ht="13.5" thickBot="1">
      <c r="A8" s="792"/>
      <c r="B8" s="793"/>
      <c r="C8" s="793"/>
      <c r="E8" s="1915" t="s">
        <v>1424</v>
      </c>
      <c r="F8" s="1915"/>
      <c r="G8" s="1915"/>
      <c r="H8" s="1915"/>
      <c r="I8" s="1915"/>
      <c r="J8" s="1915"/>
      <c r="K8" s="1915"/>
      <c r="L8" s="795"/>
      <c r="M8" s="795"/>
      <c r="N8" s="795"/>
      <c r="O8" s="795"/>
      <c r="P8" s="795"/>
      <c r="Q8" s="795"/>
      <c r="R8" s="795"/>
      <c r="S8" s="795"/>
      <c r="T8" s="133"/>
      <c r="U8" s="132"/>
      <c r="V8" s="132"/>
      <c r="W8" s="132"/>
      <c r="X8" s="132"/>
      <c r="Y8" s="122"/>
      <c r="Z8" s="122"/>
      <c r="AA8" s="122"/>
      <c r="AB8" s="122"/>
      <c r="AC8" s="122"/>
      <c r="AD8" s="122"/>
      <c r="AE8" s="853" t="s">
        <v>1</v>
      </c>
      <c r="AF8" s="1106">
        <f>AF6-AF7</f>
        <v>-0.4141000509262085</v>
      </c>
      <c r="AG8" s="122"/>
      <c r="AH8" s="619"/>
      <c r="AI8" s="617"/>
      <c r="AJ8" s="618"/>
      <c r="AK8" s="132"/>
    </row>
    <row r="9" spans="1:45" ht="37.5" thickTop="1" thickBot="1">
      <c r="A9" s="792"/>
      <c r="B9" s="793"/>
      <c r="C9" s="793"/>
      <c r="E9" s="877" t="s">
        <v>972</v>
      </c>
      <c r="F9" s="877" t="s">
        <v>973</v>
      </c>
      <c r="G9" s="877" t="s">
        <v>783</v>
      </c>
      <c r="H9" s="878"/>
      <c r="I9" s="1554" t="s">
        <v>972</v>
      </c>
      <c r="J9" s="1554" t="s">
        <v>973</v>
      </c>
      <c r="K9" s="1554" t="s">
        <v>783</v>
      </c>
      <c r="L9" s="795"/>
      <c r="M9" s="795"/>
      <c r="N9" s="795"/>
      <c r="O9" s="795"/>
      <c r="P9" s="795"/>
      <c r="Q9" s="795"/>
      <c r="R9" s="795"/>
      <c r="S9" s="795"/>
      <c r="T9" s="133"/>
      <c r="U9" s="132"/>
      <c r="V9" s="132"/>
      <c r="W9" s="132"/>
      <c r="X9" s="132"/>
      <c r="Y9" s="122"/>
      <c r="Z9" s="122"/>
      <c r="AA9" s="122"/>
      <c r="AB9" s="122"/>
      <c r="AC9" s="122"/>
      <c r="AD9" s="122"/>
      <c r="AE9" s="122"/>
      <c r="AF9" s="122"/>
      <c r="AG9" s="122"/>
      <c r="AH9" s="619"/>
      <c r="AI9" s="617"/>
      <c r="AJ9" s="618"/>
      <c r="AK9" s="132"/>
    </row>
    <row r="10" spans="1:45">
      <c r="A10" s="792"/>
      <c r="B10" s="793"/>
      <c r="C10" s="793"/>
      <c r="E10" s="1465"/>
      <c r="F10" s="1465"/>
      <c r="G10" s="1465"/>
      <c r="H10" s="794"/>
      <c r="I10" s="1465"/>
      <c r="J10" s="1465"/>
      <c r="K10" s="1465"/>
      <c r="L10" s="795"/>
      <c r="M10" s="795"/>
      <c r="N10" s="795"/>
      <c r="O10" s="795"/>
      <c r="P10" s="795"/>
      <c r="Q10" s="795"/>
      <c r="R10" s="795"/>
      <c r="S10" s="795"/>
      <c r="T10" s="133"/>
      <c r="U10" s="132"/>
      <c r="V10" s="132"/>
      <c r="W10" s="132"/>
      <c r="X10" s="132"/>
      <c r="Y10" s="122"/>
      <c r="Z10" s="122"/>
      <c r="AA10" s="122"/>
      <c r="AB10" s="122"/>
      <c r="AC10" s="122"/>
      <c r="AD10" s="122"/>
      <c r="AE10" s="122">
        <f>+SOAL!F39-SOAL!H39</f>
        <v>-25807278.531199992</v>
      </c>
      <c r="AF10" s="1089"/>
      <c r="AG10" s="122"/>
      <c r="AH10" s="619"/>
      <c r="AI10" s="617"/>
      <c r="AJ10" s="618"/>
      <c r="AK10" s="132"/>
    </row>
    <row r="11" spans="1:45" s="119" customFormat="1">
      <c r="A11" s="791"/>
      <c r="E11" s="1466"/>
      <c r="F11" s="1466"/>
      <c r="G11" s="1466"/>
      <c r="H11" s="795"/>
      <c r="I11" s="1466"/>
      <c r="J11" s="1466"/>
      <c r="K11" s="1466"/>
      <c r="L11" s="796"/>
      <c r="O11" s="796"/>
      <c r="P11" s="796"/>
      <c r="Q11" s="796"/>
      <c r="R11" s="796"/>
      <c r="S11" s="796"/>
      <c r="T11" s="797"/>
      <c r="U11" s="120"/>
      <c r="V11" s="120"/>
      <c r="W11" s="798"/>
      <c r="X11" s="798"/>
      <c r="Y11" s="799"/>
      <c r="Z11" s="120"/>
      <c r="AA11" s="120"/>
      <c r="AB11" s="120"/>
      <c r="AC11" s="120"/>
      <c r="AD11" s="120"/>
      <c r="AE11" s="120">
        <f>89973213-115780492</f>
        <v>-25807279</v>
      </c>
      <c r="AF11" s="132"/>
      <c r="AG11" s="122">
        <v>2060816432.97</v>
      </c>
      <c r="AH11" s="1710">
        <v>37573582.226400003</v>
      </c>
      <c r="AI11" s="122"/>
      <c r="AJ11" s="122"/>
      <c r="AK11" s="132"/>
    </row>
    <row r="12" spans="1:45">
      <c r="A12" s="123" t="s">
        <v>1957</v>
      </c>
      <c r="B12" s="123"/>
      <c r="C12" s="123"/>
      <c r="D12" s="123"/>
      <c r="E12" s="1083">
        <v>9456517</v>
      </c>
      <c r="F12" s="1083">
        <v>138838</v>
      </c>
      <c r="G12" s="1083">
        <v>9595355</v>
      </c>
      <c r="H12" s="806">
        <v>9595355</v>
      </c>
      <c r="I12" s="806">
        <v>1944178.0009999999</v>
      </c>
      <c r="J12" s="806">
        <v>132016.80345143616</v>
      </c>
      <c r="K12" s="806">
        <v>2076194.8044514363</v>
      </c>
      <c r="L12" s="139"/>
      <c r="M12" s="807">
        <v>457263</v>
      </c>
      <c r="N12" s="807"/>
      <c r="O12" s="139">
        <v>321114</v>
      </c>
      <c r="P12" s="139"/>
      <c r="Q12" s="139"/>
      <c r="R12" s="139"/>
      <c r="S12" s="139"/>
      <c r="T12" s="133">
        <v>0</v>
      </c>
      <c r="U12" s="132"/>
      <c r="V12" s="142"/>
      <c r="W12" s="808"/>
      <c r="X12" s="808"/>
      <c r="Y12" s="142"/>
      <c r="Z12" s="808"/>
      <c r="AA12" s="132"/>
      <c r="AB12" s="132"/>
      <c r="AC12" s="120"/>
      <c r="AD12" s="120"/>
      <c r="AE12" s="120"/>
      <c r="AF12" s="120"/>
      <c r="AG12" s="1710">
        <v>47005150.259999998</v>
      </c>
      <c r="AH12" s="1710">
        <v>861047.66769999999</v>
      </c>
      <c r="AI12" s="120"/>
      <c r="AJ12" s="120"/>
      <c r="AK12" s="120"/>
      <c r="AL12" s="119"/>
      <c r="AM12" s="119"/>
      <c r="AN12" s="119"/>
      <c r="AO12" s="119"/>
      <c r="AP12" s="119"/>
      <c r="AQ12" s="119"/>
      <c r="AR12" s="119"/>
      <c r="AS12" s="119"/>
    </row>
    <row r="13" spans="1:45">
      <c r="A13" s="629"/>
      <c r="B13" s="123"/>
      <c r="C13" s="123"/>
      <c r="D13" s="123"/>
      <c r="E13" s="1083"/>
      <c r="F13" s="1083"/>
      <c r="G13" s="1083"/>
      <c r="H13" s="806"/>
      <c r="I13" s="806"/>
      <c r="J13" s="806"/>
      <c r="K13" s="806"/>
      <c r="L13" s="139"/>
      <c r="M13" s="807"/>
      <c r="N13" s="807"/>
      <c r="O13" s="139"/>
      <c r="P13" s="139"/>
      <c r="Q13" s="139"/>
      <c r="R13" s="139"/>
      <c r="S13" s="139"/>
      <c r="T13" s="133"/>
      <c r="U13" s="132"/>
      <c r="V13" s="142"/>
      <c r="W13" s="808"/>
      <c r="X13" s="808"/>
      <c r="Y13" s="142"/>
      <c r="Z13" s="808"/>
      <c r="AA13" s="132"/>
      <c r="AB13" s="132"/>
      <c r="AC13" s="120"/>
      <c r="AD13" s="800"/>
      <c r="AE13" s="800"/>
      <c r="AF13" s="800"/>
      <c r="AG13" s="801">
        <v>25787249.98</v>
      </c>
      <c r="AH13" s="1710">
        <v>471802.59580000001</v>
      </c>
      <c r="AI13" s="120"/>
      <c r="AJ13" s="120"/>
      <c r="AK13" s="120"/>
      <c r="AL13" s="119"/>
      <c r="AM13" s="119"/>
      <c r="AN13" s="119"/>
      <c r="AO13" s="119"/>
      <c r="AP13" s="119"/>
      <c r="AQ13" s="119"/>
      <c r="AR13" s="119"/>
      <c r="AS13" s="119"/>
    </row>
    <row r="14" spans="1:45" ht="9" customHeight="1">
      <c r="E14" s="1084"/>
      <c r="F14" s="1084"/>
      <c r="G14" s="813"/>
      <c r="H14" s="814"/>
      <c r="I14" s="814"/>
      <c r="J14" s="814"/>
      <c r="K14" s="814"/>
      <c r="L14" s="133"/>
      <c r="M14" s="132"/>
      <c r="N14" s="132"/>
      <c r="O14" s="133"/>
      <c r="P14" s="133"/>
      <c r="Q14" s="133"/>
      <c r="R14" s="133"/>
      <c r="S14" s="133"/>
      <c r="T14" s="133"/>
      <c r="U14" s="132"/>
      <c r="V14" s="142"/>
      <c r="W14" s="142"/>
      <c r="Y14" s="142"/>
      <c r="Z14" s="815"/>
      <c r="AA14" s="132"/>
      <c r="AB14" s="132"/>
      <c r="AC14" s="120"/>
      <c r="AD14" s="802"/>
      <c r="AE14" s="802"/>
      <c r="AF14" s="802"/>
      <c r="AG14" s="801">
        <v>1744386146.5999999</v>
      </c>
      <c r="AH14" s="1710">
        <v>31898257.612500001</v>
      </c>
      <c r="AI14" s="120"/>
      <c r="AJ14" s="120"/>
      <c r="AK14" s="119"/>
      <c r="AL14" s="803"/>
      <c r="AM14" s="119"/>
      <c r="AN14" s="119"/>
      <c r="AO14" s="119"/>
      <c r="AP14" s="119"/>
      <c r="AQ14" s="119"/>
      <c r="AR14" s="119"/>
      <c r="AS14" s="119"/>
    </row>
    <row r="15" spans="1:45">
      <c r="A15" s="121" t="s">
        <v>2137</v>
      </c>
      <c r="E15" s="1084"/>
      <c r="F15" s="1084"/>
      <c r="G15" s="1094"/>
      <c r="H15" s="814"/>
      <c r="I15" s="817"/>
      <c r="J15" s="817"/>
      <c r="K15" s="818"/>
      <c r="L15" s="133"/>
      <c r="M15" s="132"/>
      <c r="N15" s="132"/>
      <c r="O15" s="133"/>
      <c r="P15" s="133"/>
      <c r="Q15" s="133"/>
      <c r="R15" s="133"/>
      <c r="S15" s="133"/>
      <c r="T15" s="133"/>
      <c r="U15" s="132"/>
      <c r="V15" s="142"/>
      <c r="W15" s="142"/>
      <c r="Y15" s="142"/>
      <c r="Z15" s="815"/>
      <c r="AA15" s="132"/>
      <c r="AB15" s="132"/>
      <c r="AC15" s="120"/>
      <c r="AD15" s="802"/>
      <c r="AE15" s="802"/>
      <c r="AF15" s="804"/>
      <c r="AG15" s="801">
        <v>56558.61</v>
      </c>
      <c r="AH15" s="1710">
        <v>1020.6681</v>
      </c>
      <c r="AI15" s="120"/>
      <c r="AJ15" s="120"/>
      <c r="AK15" s="119"/>
      <c r="AL15" s="803"/>
      <c r="AM15" s="141"/>
      <c r="AN15" s="119"/>
      <c r="AO15" s="119"/>
      <c r="AP15" s="119"/>
      <c r="AQ15" s="119"/>
      <c r="AR15" s="119"/>
      <c r="AS15" s="119"/>
    </row>
    <row r="16" spans="1:45">
      <c r="A16" s="882" t="s">
        <v>1430</v>
      </c>
      <c r="E16" s="1092">
        <v>4883994</v>
      </c>
      <c r="F16" s="1092">
        <v>0</v>
      </c>
      <c r="G16" s="1092">
        <v>4883994</v>
      </c>
      <c r="H16" s="814"/>
      <c r="I16" s="1555">
        <v>865609</v>
      </c>
      <c r="J16" s="1555">
        <v>0</v>
      </c>
      <c r="K16" s="1555">
        <v>865609</v>
      </c>
      <c r="L16" s="133"/>
      <c r="M16" s="820">
        <v>140205</v>
      </c>
      <c r="N16" s="132"/>
      <c r="O16" s="821">
        <v>0</v>
      </c>
      <c r="P16" s="133"/>
      <c r="Q16" s="133"/>
      <c r="R16" s="133"/>
      <c r="S16" s="133"/>
      <c r="T16" s="133"/>
      <c r="U16" s="132"/>
      <c r="V16" s="822">
        <v>238064</v>
      </c>
      <c r="W16" s="823">
        <v>181642</v>
      </c>
      <c r="X16" s="824" t="s">
        <v>976</v>
      </c>
      <c r="Y16" s="142"/>
      <c r="Z16" s="815"/>
      <c r="AA16" s="132"/>
      <c r="AB16" s="132"/>
      <c r="AC16" s="120"/>
      <c r="AD16" s="804"/>
      <c r="AE16" s="804"/>
      <c r="AF16" s="801"/>
      <c r="AG16" s="801">
        <v>766036629.25999999</v>
      </c>
      <c r="AH16" s="1710">
        <v>14017118.5075</v>
      </c>
      <c r="AI16" s="120"/>
      <c r="AJ16" s="120"/>
      <c r="AK16" s="119"/>
      <c r="AL16" s="803"/>
      <c r="AM16" s="119"/>
      <c r="AN16" s="119"/>
      <c r="AO16" s="119"/>
      <c r="AP16" s="119"/>
      <c r="AQ16" s="119"/>
      <c r="AR16" s="119"/>
      <c r="AS16" s="119"/>
    </row>
    <row r="17" spans="1:68">
      <c r="A17" s="883" t="s">
        <v>1967</v>
      </c>
      <c r="E17" s="1091"/>
      <c r="F17" s="1091"/>
      <c r="G17" s="1091"/>
      <c r="H17" s="814"/>
      <c r="I17" s="1556"/>
      <c r="J17" s="1556"/>
      <c r="K17" s="1556"/>
      <c r="L17" s="133"/>
      <c r="M17" s="828"/>
      <c r="N17" s="132"/>
      <c r="O17" s="829"/>
      <c r="P17" s="133"/>
      <c r="Q17" s="133"/>
      <c r="R17" s="133"/>
      <c r="S17" s="133"/>
      <c r="T17" s="133"/>
      <c r="U17" s="132"/>
      <c r="V17" s="830"/>
      <c r="W17" s="133"/>
      <c r="X17" s="824"/>
      <c r="Y17" s="142"/>
      <c r="Z17" s="815"/>
      <c r="AA17" s="132"/>
      <c r="AB17" s="132"/>
      <c r="AC17" s="120"/>
      <c r="AD17" s="801"/>
      <c r="AE17" s="801"/>
      <c r="AF17" s="801"/>
      <c r="AG17" s="801">
        <v>185776355.77000001</v>
      </c>
      <c r="AH17" s="1710">
        <v>3372337.5084000002</v>
      </c>
      <c r="AI17" s="120"/>
      <c r="AJ17" s="120"/>
      <c r="AK17" s="119"/>
      <c r="AL17" s="803"/>
      <c r="AM17" s="119"/>
      <c r="AN17" s="119"/>
      <c r="AO17" s="119"/>
      <c r="AP17" s="119"/>
      <c r="AQ17" s="119"/>
      <c r="AR17" s="119"/>
      <c r="AS17" s="119"/>
    </row>
    <row r="18" spans="1:68">
      <c r="A18" s="819" t="s">
        <v>977</v>
      </c>
      <c r="E18" s="1093">
        <v>43421</v>
      </c>
      <c r="F18" s="1093">
        <v>0</v>
      </c>
      <c r="G18" s="1093">
        <v>43421</v>
      </c>
      <c r="H18" s="814"/>
      <c r="I18" s="1557">
        <v>9177</v>
      </c>
      <c r="J18" s="1557">
        <v>0</v>
      </c>
      <c r="K18" s="1557">
        <v>9177</v>
      </c>
      <c r="L18" s="133"/>
      <c r="M18" s="828"/>
      <c r="N18" s="132"/>
      <c r="O18" s="829"/>
      <c r="P18" s="133"/>
      <c r="Q18" s="133"/>
      <c r="R18" s="133"/>
      <c r="S18" s="133"/>
      <c r="T18" s="133"/>
      <c r="U18" s="132"/>
      <c r="V18" s="830"/>
      <c r="W18" s="133"/>
      <c r="X18" s="824"/>
      <c r="Y18" s="142"/>
      <c r="Z18" s="815"/>
      <c r="AA18" s="132"/>
      <c r="AB18" s="132"/>
      <c r="AC18" s="120"/>
      <c r="AD18" s="801"/>
      <c r="AE18" s="801"/>
      <c r="AF18" s="801"/>
      <c r="AG18" s="801">
        <v>1600000</v>
      </c>
      <c r="AH18" s="1710">
        <v>28992.033800000001</v>
      </c>
      <c r="AI18" s="120"/>
      <c r="AJ18" s="120"/>
      <c r="AK18" s="119"/>
      <c r="AL18" s="803"/>
      <c r="AM18" s="141"/>
      <c r="AN18" s="141"/>
      <c r="AO18" s="119"/>
      <c r="AP18" s="119"/>
      <c r="AQ18" s="119"/>
      <c r="AR18" s="119"/>
      <c r="AS18" s="119"/>
    </row>
    <row r="19" spans="1:68">
      <c r="A19" s="832"/>
      <c r="E19" s="813">
        <v>4927415</v>
      </c>
      <c r="F19" s="813">
        <v>0</v>
      </c>
      <c r="G19" s="813">
        <v>4927415</v>
      </c>
      <c r="H19" s="814"/>
      <c r="I19" s="806">
        <v>874786</v>
      </c>
      <c r="J19" s="806">
        <v>0</v>
      </c>
      <c r="K19" s="806">
        <v>874786</v>
      </c>
      <c r="L19" s="833"/>
      <c r="M19" s="834" t="e">
        <v>#REF!</v>
      </c>
      <c r="N19" s="132"/>
      <c r="O19" s="834">
        <v>0</v>
      </c>
      <c r="P19" s="833"/>
      <c r="Q19" s="833"/>
      <c r="R19" s="833"/>
      <c r="S19" s="833"/>
      <c r="T19" s="133" t="e">
        <v>#REF!</v>
      </c>
      <c r="U19" s="132"/>
      <c r="V19" s="142"/>
      <c r="W19" s="142"/>
      <c r="X19" s="142"/>
      <c r="Y19" s="142"/>
      <c r="Z19" s="815"/>
      <c r="AA19" s="132"/>
      <c r="AB19" s="132"/>
      <c r="AC19" s="132"/>
      <c r="AD19" s="803"/>
      <c r="AE19" s="809"/>
      <c r="AF19" s="809"/>
      <c r="AG19" s="809">
        <v>3395268.28</v>
      </c>
      <c r="AH19" s="1710">
        <v>61662.699399999998</v>
      </c>
      <c r="AI19" s="801"/>
      <c r="AJ19" s="801"/>
      <c r="AK19" s="810"/>
      <c r="AL19" s="810"/>
      <c r="AM19" s="810"/>
      <c r="AN19" s="810"/>
      <c r="AO19" s="811"/>
      <c r="AP19" s="812"/>
    </row>
    <row r="20" spans="1:68">
      <c r="E20" s="1084"/>
      <c r="F20" s="1084"/>
      <c r="G20" s="1084"/>
      <c r="H20" s="817"/>
      <c r="I20" s="817"/>
      <c r="J20" s="817"/>
      <c r="K20" s="818"/>
      <c r="L20" s="833"/>
      <c r="M20" s="833"/>
      <c r="N20" s="132"/>
      <c r="O20" s="833"/>
      <c r="P20" s="833"/>
      <c r="Q20" s="833"/>
      <c r="R20" s="833"/>
      <c r="S20" s="833"/>
      <c r="T20" s="133"/>
      <c r="U20" s="132"/>
      <c r="V20" s="142"/>
      <c r="W20" s="142"/>
      <c r="X20" s="142"/>
      <c r="Y20" s="142"/>
      <c r="Z20" s="815"/>
      <c r="AA20" s="132"/>
      <c r="AB20" s="132"/>
      <c r="AC20" s="132"/>
      <c r="AD20" s="803">
        <f>+G19+G26</f>
        <v>-1443785</v>
      </c>
      <c r="AE20" s="809"/>
      <c r="AF20" s="809"/>
      <c r="AG20" s="809">
        <v>92095627.129999995</v>
      </c>
      <c r="AH20" s="1710">
        <v>1679008.2794999999</v>
      </c>
      <c r="AI20" s="801"/>
      <c r="AJ20" s="801"/>
      <c r="AK20" s="810"/>
      <c r="AL20" s="810"/>
      <c r="AM20" s="810"/>
      <c r="AN20" s="810"/>
      <c r="AO20" s="811"/>
      <c r="AP20" s="812"/>
      <c r="BD20" s="121" t="s">
        <v>1634</v>
      </c>
      <c r="BE20" s="1100">
        <v>1391531.0809269999</v>
      </c>
      <c r="BG20" s="1100">
        <f>38301258.0715</f>
        <v>38301258.071500003</v>
      </c>
      <c r="BI20" s="1208" t="s">
        <v>1691</v>
      </c>
      <c r="BJ20" s="121" t="s">
        <v>1634</v>
      </c>
      <c r="BK20" s="1100">
        <f>BG22</f>
        <v>25853633.079300001</v>
      </c>
    </row>
    <row r="21" spans="1:68">
      <c r="A21" s="121" t="s">
        <v>2066</v>
      </c>
      <c r="E21" s="1085"/>
      <c r="F21" s="1085"/>
      <c r="G21" s="813"/>
      <c r="H21" s="814"/>
      <c r="I21" s="814"/>
      <c r="J21" s="814"/>
      <c r="K21" s="814"/>
      <c r="L21" s="133"/>
      <c r="M21" s="838" t="e">
        <v>#REF!</v>
      </c>
      <c r="N21" s="132"/>
      <c r="O21" s="133">
        <v>0</v>
      </c>
      <c r="P21" s="133"/>
      <c r="Q21" s="133"/>
      <c r="R21" s="133"/>
      <c r="S21" s="133"/>
      <c r="T21" s="133"/>
      <c r="U21" s="132"/>
      <c r="V21" s="142"/>
      <c r="W21" s="142"/>
      <c r="X21" s="142"/>
      <c r="Y21" s="142"/>
      <c r="Z21" s="815"/>
      <c r="AA21" s="132"/>
      <c r="AB21" s="132"/>
      <c r="AC21" s="132"/>
      <c r="AD21" s="803"/>
      <c r="AE21" s="803"/>
      <c r="AF21" s="803"/>
      <c r="AG21" s="803">
        <v>459454.27</v>
      </c>
      <c r="AH21" s="1710">
        <v>8383.7531999999992</v>
      </c>
      <c r="AI21" s="132"/>
      <c r="AJ21" s="132"/>
      <c r="AK21" s="816"/>
      <c r="AL21" s="816"/>
      <c r="AM21" s="816"/>
      <c r="AN21" s="816"/>
      <c r="AO21" s="816"/>
      <c r="AP21" s="810"/>
      <c r="BC21" s="1097">
        <v>1041775764.76</v>
      </c>
      <c r="BD21" s="121" t="s">
        <v>1635</v>
      </c>
      <c r="BE21" s="1100">
        <f>SUM(BC21:BC47)/1000</f>
        <v>693619.77587000025</v>
      </c>
      <c r="BG21" s="1100">
        <f>SUM(BI21:BI51)-BM24</f>
        <v>13432973.101299999</v>
      </c>
      <c r="BI21" s="1097">
        <v>17827137.2656</v>
      </c>
      <c r="BJ21" s="121" t="s">
        <v>1637</v>
      </c>
      <c r="BK21" s="1100">
        <v>46317913.364700012</v>
      </c>
      <c r="BL21" s="1100">
        <f>2616695794.73+89956815.9700001</f>
        <v>2706652610.7000003</v>
      </c>
      <c r="BM21" s="1101">
        <v>53.823399999999999</v>
      </c>
      <c r="BN21" s="1100">
        <f>BK21*BM21</f>
        <v>2492987578.1935945</v>
      </c>
      <c r="BO21" s="141">
        <f>BL21-BN21</f>
        <v>213665032.50640583</v>
      </c>
      <c r="BP21" s="141">
        <f>SUM(BN21:BO21)</f>
        <v>2706652610.7000003</v>
      </c>
    </row>
    <row r="22" spans="1:68">
      <c r="A22" s="882" t="s">
        <v>1431</v>
      </c>
      <c r="E22" s="1092">
        <v>-6284884</v>
      </c>
      <c r="F22" s="1092">
        <v>0</v>
      </c>
      <c r="G22" s="1092">
        <v>-6284884</v>
      </c>
      <c r="H22" s="818"/>
      <c r="I22" s="1555">
        <v>-789568</v>
      </c>
      <c r="J22" s="1555">
        <v>0</v>
      </c>
      <c r="K22" s="1555">
        <v>-789568</v>
      </c>
      <c r="T22" s="133"/>
      <c r="U22" s="132"/>
      <c r="V22" s="839"/>
      <c r="W22" s="132"/>
      <c r="X22" s="132"/>
      <c r="Y22" s="132"/>
      <c r="Z22" s="840"/>
      <c r="AA22" s="132"/>
      <c r="AB22" s="132"/>
      <c r="AC22" s="132"/>
      <c r="AD22" s="132"/>
      <c r="AE22" s="132"/>
      <c r="AF22" s="132"/>
      <c r="AG22" s="132"/>
      <c r="AH22" s="132"/>
      <c r="AI22" s="132"/>
      <c r="AJ22" s="132"/>
      <c r="AK22" s="810"/>
      <c r="AL22" s="810"/>
      <c r="AM22" s="810"/>
      <c r="AN22" s="811"/>
      <c r="AO22" s="810"/>
      <c r="AP22" s="812"/>
      <c r="BC22" s="1097">
        <v>180790066.38</v>
      </c>
      <c r="BE22" s="1100">
        <f>SUM(BE20:BE21)</f>
        <v>2085150.8567970002</v>
      </c>
      <c r="BG22" s="1100">
        <v>25853633.079300001</v>
      </c>
      <c r="BI22" s="1097">
        <v>2172668.8388</v>
      </c>
      <c r="BJ22" s="121" t="s">
        <v>1638</v>
      </c>
      <c r="BK22" s="1100">
        <v>-33870288.372299999</v>
      </c>
      <c r="BL22" s="1100">
        <v>-1987913620.25</v>
      </c>
      <c r="BM22" s="1101">
        <v>53.823399999999999</v>
      </c>
      <c r="BN22" s="1100">
        <f>BK22*BM22</f>
        <v>-1823014079.1776516</v>
      </c>
      <c r="BO22" s="141">
        <f>BL22-BN22</f>
        <v>-164899541.07234836</v>
      </c>
      <c r="BP22" s="141">
        <f>SUM(BN22:BO22)</f>
        <v>-1987913620.25</v>
      </c>
    </row>
    <row r="23" spans="1:68">
      <c r="A23" s="883" t="s">
        <v>1968</v>
      </c>
      <c r="E23" s="1091"/>
      <c r="F23" s="1091"/>
      <c r="G23" s="1091"/>
      <c r="H23" s="818"/>
      <c r="I23" s="1556"/>
      <c r="J23" s="1556"/>
      <c r="K23" s="1556"/>
      <c r="T23" s="133"/>
      <c r="U23" s="132"/>
      <c r="V23" s="839"/>
      <c r="W23" s="132"/>
      <c r="X23" s="132"/>
      <c r="Y23" s="132"/>
      <c r="Z23" s="840"/>
      <c r="AA23" s="132"/>
      <c r="AB23" s="132"/>
      <c r="AC23" s="132"/>
      <c r="AD23" s="132"/>
      <c r="AE23" s="132"/>
      <c r="AF23" s="132"/>
      <c r="AG23" s="1089">
        <f>SUM(AG11:AG22)</f>
        <v>4927414873.1300011</v>
      </c>
      <c r="AH23" s="1089">
        <f>SUM(AH11:AH22)</f>
        <v>89973213.552299976</v>
      </c>
      <c r="AI23" s="132"/>
      <c r="AJ23" s="132"/>
      <c r="AK23" s="810"/>
      <c r="AL23" s="810"/>
      <c r="AM23" s="810"/>
      <c r="AN23" s="811"/>
      <c r="AO23" s="810"/>
      <c r="AP23" s="812"/>
      <c r="BC23" s="1097">
        <v>7984336.9699999997</v>
      </c>
      <c r="BD23" s="121" t="s">
        <v>1636</v>
      </c>
      <c r="BE23" s="1100">
        <f>2076194507/1000</f>
        <v>2076194.507</v>
      </c>
      <c r="BG23" s="1100"/>
      <c r="BI23" s="1097">
        <v>3341427.2758999998</v>
      </c>
      <c r="BJ23" s="121" t="s">
        <v>1633</v>
      </c>
      <c r="BK23" s="1100">
        <f>SUM(BK20:BK22)</f>
        <v>38301258.071700007</v>
      </c>
      <c r="BM23" s="1097"/>
      <c r="BP23" s="1102">
        <f>SUM(BP21:BP22)/1000</f>
        <v>718738.99045000027</v>
      </c>
    </row>
    <row r="24" spans="1:68">
      <c r="A24" s="819" t="s">
        <v>1309</v>
      </c>
      <c r="E24" s="1091"/>
      <c r="F24" s="1091"/>
      <c r="G24" s="1091"/>
      <c r="H24" s="818"/>
      <c r="I24" s="1556"/>
      <c r="J24" s="1556"/>
      <c r="K24" s="1556"/>
      <c r="T24" s="133"/>
      <c r="U24" s="132"/>
      <c r="V24" s="839"/>
      <c r="W24" s="132"/>
      <c r="X24" s="132"/>
      <c r="Y24" s="132"/>
      <c r="Z24" s="840"/>
      <c r="AA24" s="132"/>
      <c r="AB24" s="132"/>
      <c r="AC24" s="825">
        <v>20715907</v>
      </c>
      <c r="AD24" s="803"/>
      <c r="AE24" s="132"/>
      <c r="AF24" s="132"/>
      <c r="AG24" s="801"/>
      <c r="AH24" s="132"/>
      <c r="AI24" s="132"/>
      <c r="AJ24" s="803"/>
      <c r="AK24" s="816"/>
      <c r="AL24" s="816"/>
      <c r="AM24" s="826"/>
      <c r="AN24" s="816"/>
      <c r="AO24" s="816"/>
      <c r="AP24" s="827"/>
      <c r="BC24" s="1097">
        <v>39431988.82</v>
      </c>
      <c r="BE24" s="1100">
        <f>BE22-BE23</f>
        <v>8956.3497970001772</v>
      </c>
      <c r="BG24" s="1100">
        <f>BG22+BG21</f>
        <v>39286606.180600002</v>
      </c>
      <c r="BI24" s="1097">
        <v>136327.08059999999</v>
      </c>
      <c r="BM24" s="1097"/>
    </row>
    <row r="25" spans="1:68">
      <c r="B25" s="841" t="s">
        <v>1969</v>
      </c>
      <c r="E25" s="1093">
        <v>-19322.712</v>
      </c>
      <c r="F25" s="1093">
        <v>-66993.288</v>
      </c>
      <c r="G25" s="1093">
        <v>-86316</v>
      </c>
      <c r="H25" s="814"/>
      <c r="I25" s="1557">
        <v>-1135</v>
      </c>
      <c r="J25" s="1557">
        <v>-3639</v>
      </c>
      <c r="K25" s="1557">
        <v>-4774</v>
      </c>
      <c r="L25" s="838"/>
      <c r="M25" s="820">
        <v>228506</v>
      </c>
      <c r="O25" s="820">
        <v>0</v>
      </c>
      <c r="P25" s="838"/>
      <c r="Q25" s="838"/>
      <c r="R25" s="838"/>
      <c r="S25" s="838"/>
      <c r="T25" s="133"/>
      <c r="U25" s="132"/>
      <c r="V25" s="132"/>
      <c r="W25" s="132"/>
      <c r="X25" s="132"/>
      <c r="Y25" s="132"/>
      <c r="Z25" s="840"/>
      <c r="AA25" s="132"/>
      <c r="AB25" s="132"/>
      <c r="AC25" s="825">
        <v>25780811</v>
      </c>
      <c r="AD25" s="803"/>
      <c r="AE25" s="803"/>
      <c r="AF25" s="803"/>
      <c r="AG25" s="803"/>
      <c r="AH25" s="132"/>
      <c r="AI25" s="132"/>
      <c r="AJ25" s="803"/>
      <c r="AK25" s="132"/>
      <c r="AN25" s="831"/>
      <c r="BC25" s="1097">
        <v>1024748172.64</v>
      </c>
      <c r="BG25" s="1100"/>
      <c r="BI25" s="1097">
        <v>663773.16760000004</v>
      </c>
    </row>
    <row r="26" spans="1:68">
      <c r="A26" s="842"/>
      <c r="E26" s="1085">
        <v>-6304206.7120000003</v>
      </c>
      <c r="F26" s="1085">
        <v>-66993.288</v>
      </c>
      <c r="G26" s="1085">
        <v>-6371200</v>
      </c>
      <c r="H26" s="814"/>
      <c r="I26" s="814">
        <v>-790703</v>
      </c>
      <c r="J26" s="814">
        <v>-3639</v>
      </c>
      <c r="K26" s="814">
        <v>-794342</v>
      </c>
      <c r="L26" s="838"/>
      <c r="M26" s="828"/>
      <c r="O26" s="828"/>
      <c r="P26" s="838"/>
      <c r="Q26" s="838"/>
      <c r="R26" s="838"/>
      <c r="S26" s="838"/>
      <c r="T26" s="133"/>
      <c r="U26" s="132"/>
      <c r="V26" s="132"/>
      <c r="W26" s="132"/>
      <c r="X26" s="132"/>
      <c r="Y26" s="132"/>
      <c r="Z26" s="840"/>
      <c r="AA26" s="132"/>
      <c r="AB26" s="132"/>
      <c r="AC26" s="132"/>
      <c r="AD26" s="132"/>
      <c r="AE26" s="803"/>
      <c r="AF26" s="803"/>
      <c r="AG26" s="1088">
        <v>-2909190070.04</v>
      </c>
      <c r="AH26" s="803">
        <v>-52920581.6417</v>
      </c>
      <c r="AI26" s="132"/>
      <c r="AJ26" s="803"/>
      <c r="AK26" s="801"/>
      <c r="AN26" s="835"/>
      <c r="AO26" s="141"/>
      <c r="AP26" s="836"/>
      <c r="BC26" s="1097">
        <v>12668702.33</v>
      </c>
      <c r="BG26" s="1100"/>
      <c r="BI26" s="1097">
        <v>17323988.526999999</v>
      </c>
    </row>
    <row r="27" spans="1:68">
      <c r="A27" s="819"/>
      <c r="E27" s="1085"/>
      <c r="F27" s="813"/>
      <c r="G27" s="1085"/>
      <c r="H27" s="814"/>
      <c r="I27" s="814"/>
      <c r="J27" s="814"/>
      <c r="K27" s="814"/>
      <c r="L27" s="838"/>
      <c r="M27" s="828"/>
      <c r="O27" s="828"/>
      <c r="P27" s="838"/>
      <c r="Q27" s="838"/>
      <c r="R27" s="838"/>
      <c r="S27" s="838"/>
      <c r="T27" s="133"/>
      <c r="U27" s="132"/>
      <c r="V27" s="132"/>
      <c r="W27" s="132"/>
      <c r="X27" s="132"/>
      <c r="Y27" s="132"/>
      <c r="Z27" s="840"/>
      <c r="AA27" s="132"/>
      <c r="AB27" s="132"/>
      <c r="AC27" s="132"/>
      <c r="AD27" s="132"/>
      <c r="AE27" s="803"/>
      <c r="AF27" s="803"/>
      <c r="AG27" s="803">
        <v>-1988536</v>
      </c>
      <c r="AH27" s="803">
        <v>-35885.4401</v>
      </c>
      <c r="AI27" s="132"/>
      <c r="AJ27" s="132"/>
      <c r="AK27" s="837"/>
      <c r="BC27" s="1097">
        <v>673850.08</v>
      </c>
      <c r="BG27" s="1100">
        <f>BG24-BG26</f>
        <v>39286606.180600002</v>
      </c>
      <c r="BI27" s="1097">
        <v>219017.31969999999</v>
      </c>
      <c r="BN27" s="141">
        <f>SUM(BN21:BN23)</f>
        <v>669973499.01594281</v>
      </c>
      <c r="BO27" s="141">
        <f>SUM(BO21:BO23)</f>
        <v>48765491.434057474</v>
      </c>
      <c r="BP27" s="141">
        <f>SUM(BN27:BO27)</f>
        <v>718738990.45000029</v>
      </c>
    </row>
    <row r="28" spans="1:68" ht="12.75" hidden="1" customHeight="1">
      <c r="E28" s="1084"/>
      <c r="F28" s="1084"/>
      <c r="G28" s="1084"/>
      <c r="H28" s="817"/>
      <c r="I28" s="817"/>
      <c r="J28" s="817"/>
      <c r="K28" s="817"/>
      <c r="L28" s="844"/>
      <c r="M28" s="844">
        <v>228506</v>
      </c>
      <c r="N28" s="844"/>
      <c r="O28" s="844">
        <v>0</v>
      </c>
      <c r="P28" s="844"/>
      <c r="Q28" s="844"/>
      <c r="R28" s="844"/>
      <c r="S28" s="844"/>
      <c r="T28" s="133"/>
      <c r="U28" s="132"/>
      <c r="V28" s="132"/>
      <c r="W28" s="132"/>
      <c r="X28" s="132"/>
      <c r="Y28" s="132"/>
      <c r="Z28" s="840"/>
      <c r="AA28" s="132"/>
      <c r="AB28" s="132"/>
      <c r="AC28" s="132"/>
      <c r="AD28" s="132"/>
      <c r="AE28" s="835"/>
      <c r="AF28" s="835"/>
      <c r="AG28" s="835">
        <v>-71033.440000000002</v>
      </c>
      <c r="AH28" s="803">
        <v>-1291.1902</v>
      </c>
      <c r="AI28" s="132"/>
      <c r="AJ28" s="825"/>
      <c r="AK28" s="811"/>
      <c r="AL28" s="141"/>
      <c r="AM28" s="810"/>
      <c r="AN28" s="811"/>
      <c r="BC28" s="1097">
        <v>312893844.55000001</v>
      </c>
      <c r="BI28" s="1097">
        <v>11787.692499999999</v>
      </c>
    </row>
    <row r="29" spans="1:68" ht="12.75" hidden="1" customHeight="1">
      <c r="A29" s="121" t="s">
        <v>979</v>
      </c>
      <c r="E29" s="1084"/>
      <c r="F29" s="1084"/>
      <c r="G29" s="1084"/>
      <c r="H29" s="817"/>
      <c r="I29" s="817"/>
      <c r="J29" s="817"/>
      <c r="K29" s="817"/>
      <c r="L29" s="844"/>
      <c r="M29" s="844"/>
      <c r="N29" s="844"/>
      <c r="O29" s="844"/>
      <c r="P29" s="844"/>
      <c r="Q29" s="844"/>
      <c r="R29" s="844"/>
      <c r="S29" s="844"/>
      <c r="T29" s="133"/>
      <c r="U29" s="132"/>
      <c r="V29" s="132"/>
      <c r="W29" s="132"/>
      <c r="X29" s="132"/>
      <c r="Y29" s="132"/>
      <c r="Z29" s="840"/>
      <c r="AA29" s="132"/>
      <c r="AB29" s="132"/>
      <c r="AC29" s="132"/>
      <c r="AD29" s="132"/>
      <c r="AE29" s="803"/>
      <c r="AF29" s="803"/>
      <c r="AG29" s="803">
        <v>-185961448.77000001</v>
      </c>
      <c r="AH29" s="803">
        <v>-3375694.5380000002</v>
      </c>
      <c r="AI29" s="132"/>
      <c r="AJ29" s="835"/>
      <c r="AK29" s="132"/>
      <c r="AM29" s="826"/>
      <c r="AN29" s="816"/>
      <c r="BC29" s="1097">
        <v>17090950.039999999</v>
      </c>
      <c r="BI29" s="1097">
        <v>5315537.9041999998</v>
      </c>
    </row>
    <row r="30" spans="1:68" ht="12.75" hidden="1" customHeight="1">
      <c r="A30" s="845" t="s">
        <v>980</v>
      </c>
      <c r="E30" s="1084">
        <v>0</v>
      </c>
      <c r="F30" s="1084">
        <v>0</v>
      </c>
      <c r="G30" s="1084">
        <v>0</v>
      </c>
      <c r="H30" s="814"/>
      <c r="I30" s="817">
        <v>0</v>
      </c>
      <c r="J30" s="817">
        <v>0</v>
      </c>
      <c r="K30" s="806">
        <v>0</v>
      </c>
      <c r="L30" s="844"/>
      <c r="M30" s="844"/>
      <c r="N30" s="844"/>
      <c r="O30" s="844"/>
      <c r="P30" s="844"/>
      <c r="Q30" s="844"/>
      <c r="R30" s="844"/>
      <c r="S30" s="844"/>
      <c r="T30" s="133"/>
      <c r="U30" s="132"/>
      <c r="V30" s="132"/>
      <c r="W30" s="132"/>
      <c r="X30" s="132"/>
      <c r="Y30" s="132"/>
      <c r="Z30" s="840"/>
      <c r="AA30" s="132"/>
      <c r="AB30" s="132"/>
      <c r="AC30" s="132"/>
      <c r="AD30" s="132"/>
      <c r="AE30" s="803"/>
      <c r="AF30" s="803"/>
      <c r="AG30" s="803">
        <v>-21655.16</v>
      </c>
      <c r="AH30" s="803">
        <v>-395.38909999999998</v>
      </c>
      <c r="AI30" s="132"/>
      <c r="AJ30" s="835"/>
      <c r="AK30" s="132"/>
      <c r="AM30" s="826"/>
      <c r="AN30" s="816"/>
      <c r="BC30" s="1098">
        <v>26521</v>
      </c>
      <c r="BI30" s="1097">
        <v>278308.96799999999</v>
      </c>
    </row>
    <row r="31" spans="1:68" ht="12.75" customHeight="1">
      <c r="E31" s="1084"/>
      <c r="F31" s="1084"/>
      <c r="G31" s="1084"/>
      <c r="H31" s="817"/>
      <c r="I31" s="817"/>
      <c r="J31" s="817"/>
      <c r="K31" s="817"/>
      <c r="L31" s="133"/>
      <c r="M31" s="844"/>
      <c r="N31" s="844"/>
      <c r="O31" s="133"/>
      <c r="P31" s="133"/>
      <c r="Q31" s="133"/>
      <c r="R31" s="133"/>
      <c r="S31" s="133"/>
      <c r="T31" s="133"/>
      <c r="U31" s="132"/>
      <c r="V31" s="132"/>
      <c r="W31" s="132"/>
      <c r="X31" s="132"/>
      <c r="Y31" s="132"/>
      <c r="Z31" s="840"/>
      <c r="AA31" s="132"/>
      <c r="AB31" s="132"/>
      <c r="AC31" s="801">
        <v>5858687</v>
      </c>
      <c r="AD31" s="132"/>
      <c r="AE31" s="803"/>
      <c r="AF31" s="803"/>
      <c r="AG31" s="803">
        <v>-184682782.77000001</v>
      </c>
      <c r="AH31" s="803">
        <v>-3360277.9701999999</v>
      </c>
      <c r="AI31" s="132"/>
      <c r="AJ31" s="803"/>
      <c r="AK31" s="838"/>
      <c r="AN31" s="831"/>
      <c r="AP31" s="141"/>
      <c r="BC31" s="1098">
        <v>315300</v>
      </c>
      <c r="BI31" s="121">
        <v>456.214</v>
      </c>
    </row>
    <row r="32" spans="1:68">
      <c r="E32" s="1084"/>
      <c r="F32" s="1084"/>
      <c r="G32" s="813"/>
      <c r="H32" s="814"/>
      <c r="I32" s="814"/>
      <c r="J32" s="814"/>
      <c r="K32" s="814"/>
      <c r="L32" s="133"/>
      <c r="M32" s="844">
        <v>0</v>
      </c>
      <c r="N32" s="844">
        <v>0</v>
      </c>
      <c r="O32" s="133">
        <v>123</v>
      </c>
      <c r="P32" s="133"/>
      <c r="Q32" s="133"/>
      <c r="R32" s="133"/>
      <c r="S32" s="133"/>
      <c r="T32" s="133" t="e">
        <v>#REF!</v>
      </c>
      <c r="U32" s="132"/>
      <c r="V32" s="132"/>
      <c r="W32" s="132"/>
      <c r="X32" s="132"/>
      <c r="Y32" s="132"/>
      <c r="Z32" s="840"/>
      <c r="AA32" s="132"/>
      <c r="AB32" s="132"/>
      <c r="AC32" s="121" t="s">
        <v>978</v>
      </c>
      <c r="AD32" s="801"/>
      <c r="AE32" s="803"/>
      <c r="AF32" s="803"/>
      <c r="AG32" s="803">
        <v>-31691280.170000002</v>
      </c>
      <c r="AH32" s="803">
        <v>-578463.01850000001</v>
      </c>
      <c r="AI32" s="132"/>
      <c r="AJ32" s="803"/>
      <c r="AK32" s="843"/>
      <c r="AN32" s="835"/>
      <c r="AO32" s="141"/>
      <c r="BC32" s="1097">
        <v>43133898.549999997</v>
      </c>
      <c r="BI32" s="1097">
        <v>5333.3666999999996</v>
      </c>
    </row>
    <row r="33" spans="1:62" ht="41.25" hidden="1" customHeight="1">
      <c r="A33" s="1912" t="s">
        <v>1532</v>
      </c>
      <c r="B33" s="1913"/>
      <c r="C33" s="1913"/>
      <c r="D33" s="123"/>
      <c r="E33" s="1091">
        <v>0</v>
      </c>
      <c r="F33" s="1091">
        <v>0</v>
      </c>
      <c r="G33" s="1091">
        <v>0</v>
      </c>
      <c r="H33" s="818"/>
      <c r="I33" s="1556">
        <v>0</v>
      </c>
      <c r="J33" s="1556">
        <v>0</v>
      </c>
      <c r="K33" s="1556">
        <v>0</v>
      </c>
      <c r="L33" s="838"/>
      <c r="M33" s="847"/>
      <c r="O33" s="828"/>
      <c r="P33" s="838"/>
      <c r="Q33" s="838"/>
      <c r="R33" s="838"/>
      <c r="S33" s="838"/>
      <c r="T33" s="133"/>
      <c r="V33" s="132"/>
      <c r="W33" s="132"/>
      <c r="X33" s="132"/>
      <c r="Y33" s="132"/>
      <c r="Z33" s="132"/>
      <c r="AA33" s="132"/>
      <c r="AB33" s="132"/>
      <c r="AC33" s="132"/>
      <c r="AD33" s="801"/>
      <c r="AE33" s="803"/>
      <c r="AF33" s="803"/>
      <c r="AG33" s="1087">
        <v>-25802808.899999999</v>
      </c>
      <c r="AH33" s="803">
        <v>-472086.4485</v>
      </c>
      <c r="AI33" s="132"/>
      <c r="AJ33" s="838"/>
      <c r="AK33" s="838"/>
      <c r="BC33" s="1097">
        <v>-15876794.390000001</v>
      </c>
      <c r="BI33" s="1097">
        <v>7497.8530000000001</v>
      </c>
      <c r="BJ33" s="1097"/>
    </row>
    <row r="34" spans="1:62" ht="41.25" hidden="1" customHeight="1">
      <c r="A34" s="1912" t="s">
        <v>1724</v>
      </c>
      <c r="B34" s="1913"/>
      <c r="C34" s="1913"/>
      <c r="D34" s="123"/>
      <c r="E34" s="1091"/>
      <c r="F34" s="1091"/>
      <c r="G34" s="1091"/>
      <c r="H34" s="818"/>
      <c r="I34" s="1556"/>
      <c r="J34" s="1556"/>
      <c r="K34" s="1556"/>
      <c r="L34" s="838"/>
      <c r="M34" s="847"/>
      <c r="O34" s="828"/>
      <c r="P34" s="838"/>
      <c r="Q34" s="838"/>
      <c r="R34" s="838"/>
      <c r="S34" s="838"/>
      <c r="T34" s="133"/>
      <c r="V34" s="132"/>
      <c r="W34" s="132"/>
      <c r="X34" s="132"/>
      <c r="Y34" s="132"/>
      <c r="Z34" s="132"/>
      <c r="AA34" s="132"/>
      <c r="AB34" s="132"/>
      <c r="AC34" s="132"/>
      <c r="AD34" s="801"/>
      <c r="AE34" s="803"/>
      <c r="AF34" s="803"/>
      <c r="AG34" s="1087">
        <v>-1817732.9</v>
      </c>
      <c r="AH34" s="803">
        <v>-33084.057399999998</v>
      </c>
      <c r="AI34" s="132"/>
      <c r="AJ34" s="838"/>
      <c r="AK34" s="838"/>
      <c r="BC34" s="1097"/>
      <c r="BI34" s="1097"/>
      <c r="BJ34" s="1097"/>
    </row>
    <row r="35" spans="1:62">
      <c r="A35" s="1218" t="s">
        <v>1956</v>
      </c>
      <c r="B35" s="123"/>
      <c r="C35" s="123"/>
      <c r="D35" s="123"/>
      <c r="E35" s="1092">
        <v>0</v>
      </c>
      <c r="F35" s="1092">
        <v>212115.13446000006</v>
      </c>
      <c r="G35" s="1092">
        <v>212115.13446000006</v>
      </c>
      <c r="H35" s="818"/>
      <c r="I35" s="1555">
        <v>0</v>
      </c>
      <c r="J35" s="1555">
        <v>39504.939010000002</v>
      </c>
      <c r="K35" s="1555">
        <v>39504.939010000002</v>
      </c>
      <c r="L35" s="838"/>
      <c r="M35" s="848">
        <v>16546</v>
      </c>
      <c r="O35" s="820">
        <v>-42466</v>
      </c>
      <c r="P35" s="838"/>
      <c r="Q35" s="838"/>
      <c r="R35" s="838"/>
      <c r="S35" s="838"/>
      <c r="T35" s="133"/>
      <c r="V35" s="132"/>
      <c r="W35" s="132"/>
      <c r="X35" s="132"/>
      <c r="Y35" s="132"/>
      <c r="Z35" s="132"/>
      <c r="AA35" s="132"/>
      <c r="AB35" s="132"/>
      <c r="AC35" s="132"/>
      <c r="AD35" s="132"/>
      <c r="AE35" s="803"/>
      <c r="AF35" s="803"/>
      <c r="AG35" s="803">
        <v>-2439772082.4400001</v>
      </c>
      <c r="AH35" s="1090">
        <v>-44268589.859899998</v>
      </c>
      <c r="AI35" s="132"/>
      <c r="AJ35" s="132"/>
      <c r="AK35" s="801"/>
      <c r="AL35" s="809"/>
      <c r="AM35" s="141"/>
      <c r="BC35" s="1097">
        <v>-537421071.62</v>
      </c>
      <c r="BI35" s="1097">
        <v>-275148.16509999998</v>
      </c>
    </row>
    <row r="36" spans="1:62" ht="6" customHeight="1">
      <c r="A36" s="1912"/>
      <c r="B36" s="1913"/>
      <c r="C36" s="1913"/>
      <c r="D36" s="123"/>
      <c r="E36" s="1093"/>
      <c r="F36" s="1093"/>
      <c r="G36" s="1093"/>
      <c r="H36" s="814"/>
      <c r="I36" s="1557"/>
      <c r="J36" s="1557"/>
      <c r="K36" s="1557"/>
      <c r="L36" s="133"/>
      <c r="M36" s="823">
        <v>0</v>
      </c>
      <c r="O36" s="823">
        <v>0</v>
      </c>
      <c r="P36" s="133"/>
      <c r="Q36" s="133"/>
      <c r="R36" s="133"/>
      <c r="S36" s="133"/>
      <c r="T36" s="133"/>
      <c r="U36" s="838"/>
      <c r="V36" s="132"/>
      <c r="W36" s="132"/>
      <c r="X36" s="132"/>
      <c r="Y36" s="132"/>
      <c r="Z36" s="132"/>
      <c r="AA36" s="132"/>
      <c r="AB36" s="132"/>
      <c r="AC36" s="132"/>
      <c r="AD36" s="801"/>
      <c r="AE36" s="838"/>
      <c r="AF36" s="838"/>
      <c r="AG36" s="838">
        <v>-17.5</v>
      </c>
      <c r="AH36" s="1710">
        <v>-0.31979999999999997</v>
      </c>
      <c r="AI36" s="132"/>
      <c r="AJ36" s="132"/>
      <c r="AK36" s="846"/>
      <c r="AL36" s="141"/>
      <c r="BC36" s="1097">
        <v>-2121.44</v>
      </c>
      <c r="BI36" s="1097">
        <v>-9236214.6367000006</v>
      </c>
    </row>
    <row r="37" spans="1:62">
      <c r="A37" s="850"/>
      <c r="B37" s="123"/>
      <c r="C37" s="123"/>
      <c r="D37" s="123"/>
      <c r="E37" s="813">
        <v>0</v>
      </c>
      <c r="F37" s="813">
        <v>212115.13446000006</v>
      </c>
      <c r="G37" s="813">
        <v>212115.13446000006</v>
      </c>
      <c r="H37" s="814"/>
      <c r="I37" s="814">
        <v>0</v>
      </c>
      <c r="J37" s="814">
        <v>39504.939010000002</v>
      </c>
      <c r="K37" s="814">
        <v>39504.939010000002</v>
      </c>
      <c r="L37" s="851"/>
      <c r="M37" s="851">
        <v>16546</v>
      </c>
      <c r="N37" s="131"/>
      <c r="O37" s="851">
        <v>-42466</v>
      </c>
      <c r="P37" s="851"/>
      <c r="Q37" s="851"/>
      <c r="R37" s="851"/>
      <c r="S37" s="851"/>
      <c r="T37" s="133"/>
      <c r="U37" s="132"/>
      <c r="V37" s="132"/>
      <c r="W37" s="132"/>
      <c r="X37" s="132"/>
      <c r="Y37" s="132"/>
      <c r="Z37" s="132"/>
      <c r="AA37" s="132"/>
      <c r="AB37" s="132"/>
      <c r="AC37" s="132"/>
      <c r="AD37" s="132"/>
      <c r="AE37" s="132"/>
      <c r="AF37" s="132"/>
      <c r="AG37" s="1710">
        <v>-354582212.44999999</v>
      </c>
      <c r="AH37" s="1710">
        <v>-6441403.1557999998</v>
      </c>
      <c r="AI37" s="132"/>
      <c r="AJ37" s="132"/>
      <c r="AK37" s="132"/>
      <c r="BC37" s="1097">
        <v>-17091294.57</v>
      </c>
      <c r="BI37" s="121">
        <v>-35.530299999999997</v>
      </c>
    </row>
    <row r="38" spans="1:62">
      <c r="B38" s="124"/>
      <c r="C38" s="124"/>
      <c r="D38" s="124"/>
      <c r="E38" s="1084"/>
      <c r="F38" s="1084"/>
      <c r="G38" s="813"/>
      <c r="H38" s="814"/>
      <c r="I38" s="814"/>
      <c r="J38" s="814"/>
      <c r="K38" s="814"/>
      <c r="L38" s="134"/>
      <c r="M38" s="131"/>
      <c r="N38" s="131"/>
      <c r="O38" s="134"/>
      <c r="P38" s="134"/>
      <c r="Q38" s="134"/>
      <c r="R38" s="134"/>
      <c r="S38" s="134"/>
      <c r="T38" s="133"/>
      <c r="U38" s="132"/>
      <c r="V38" s="132"/>
      <c r="W38" s="132"/>
      <c r="X38" s="132"/>
      <c r="Y38" s="132"/>
      <c r="Z38" s="132"/>
      <c r="AA38" s="132"/>
      <c r="AB38" s="132"/>
      <c r="AC38" s="132"/>
      <c r="AD38" s="132"/>
      <c r="AE38" s="132"/>
      <c r="AF38" s="132"/>
      <c r="AG38" s="1710">
        <v>-235535659.58000001</v>
      </c>
      <c r="AH38" s="1710">
        <v>-4291243.4968999997</v>
      </c>
      <c r="AI38" s="132"/>
      <c r="AJ38" s="132"/>
      <c r="AK38" s="132"/>
      <c r="BC38" s="1097">
        <v>-67305166.620000005</v>
      </c>
      <c r="BI38" s="1097">
        <v>-278314.57939999999</v>
      </c>
    </row>
    <row r="39" spans="1:62" s="1261" customFormat="1" ht="21" customHeight="1" thickBot="1">
      <c r="A39" s="1255" t="s">
        <v>1958</v>
      </c>
      <c r="B39" s="1256"/>
      <c r="C39" s="1256"/>
      <c r="D39" s="1256"/>
      <c r="E39" s="1257">
        <v>8079725.2879999997</v>
      </c>
      <c r="F39" s="1257">
        <v>283959.84646000003</v>
      </c>
      <c r="G39" s="1257">
        <v>8363685.1344600003</v>
      </c>
      <c r="H39" s="1258"/>
      <c r="I39" s="1558">
        <v>2028261.0010000002</v>
      </c>
      <c r="J39" s="1558">
        <v>167882.74246143617</v>
      </c>
      <c r="K39" s="1558">
        <v>2196143.7434614361</v>
      </c>
      <c r="L39" s="1259"/>
      <c r="M39" s="1260" t="e">
        <v>#REF!</v>
      </c>
      <c r="O39" s="1260" t="e">
        <v>#REF!</v>
      </c>
      <c r="P39" s="1259"/>
      <c r="Q39" s="1259"/>
      <c r="R39" s="1259"/>
      <c r="S39" s="1259"/>
      <c r="T39" s="1259" t="e">
        <v>#REF!</v>
      </c>
      <c r="U39" s="1262"/>
      <c r="V39" s="792"/>
      <c r="W39" s="792"/>
      <c r="X39" s="792"/>
      <c r="Y39" s="792"/>
      <c r="Z39" s="792"/>
      <c r="AA39" s="792"/>
      <c r="AB39" s="792"/>
      <c r="AC39" s="1263">
        <v>-0.19554856372997165</v>
      </c>
      <c r="AD39" s="1264"/>
      <c r="AE39" s="1264"/>
      <c r="AF39" s="1263"/>
      <c r="AG39" s="1711">
        <v>-70385.240000000005</v>
      </c>
      <c r="AH39" s="1724">
        <v>-1278.742</v>
      </c>
      <c r="AI39" s="1264"/>
      <c r="AJ39" s="1264"/>
      <c r="AK39" s="1264"/>
      <c r="AL39" s="1265"/>
      <c r="AM39" s="1265"/>
      <c r="AN39" s="1265"/>
      <c r="AO39" s="1265"/>
      <c r="AP39" s="1265"/>
      <c r="AQ39" s="1265"/>
      <c r="AR39" s="1265"/>
      <c r="AS39" s="1265"/>
      <c r="BC39" s="1266">
        <v>-39487681.82</v>
      </c>
      <c r="BI39" s="1266">
        <v>-1169732.8795</v>
      </c>
    </row>
    <row r="40" spans="1:62" s="853" customFormat="1" ht="13.5" thickTop="1">
      <c r="A40" s="121"/>
      <c r="B40" s="123"/>
      <c r="C40" s="123"/>
      <c r="D40" s="123"/>
      <c r="E40" s="813"/>
      <c r="F40" s="813"/>
      <c r="G40" s="813"/>
      <c r="H40" s="813"/>
      <c r="I40" s="813"/>
      <c r="J40" s="813"/>
      <c r="K40" s="813"/>
      <c r="L40" s="852"/>
      <c r="M40" s="852"/>
      <c r="O40" s="852"/>
      <c r="P40" s="852"/>
      <c r="Q40" s="852"/>
      <c r="R40" s="852"/>
      <c r="S40" s="852"/>
      <c r="T40" s="852"/>
      <c r="U40" s="815"/>
      <c r="V40" s="849"/>
      <c r="W40" s="849"/>
      <c r="X40" s="849"/>
      <c r="Y40" s="849"/>
      <c r="Z40" s="849"/>
      <c r="AA40" s="849"/>
      <c r="AB40" s="849"/>
      <c r="AC40" s="132"/>
      <c r="AD40" s="132"/>
      <c r="AE40" s="132"/>
      <c r="AF40" s="132"/>
      <c r="AG40" s="825">
        <v>-11764</v>
      </c>
      <c r="AH40" s="132">
        <v>-213.60319999999999</v>
      </c>
      <c r="AI40" s="132"/>
      <c r="AJ40" s="132"/>
      <c r="AK40" s="132"/>
      <c r="AL40" s="121"/>
      <c r="AM40" s="121"/>
      <c r="AN40" s="121"/>
      <c r="AO40" s="121"/>
      <c r="AP40" s="121"/>
      <c r="AQ40" s="121"/>
      <c r="AR40" s="121"/>
      <c r="AS40" s="121"/>
      <c r="BC40" s="1099">
        <v>-8423334.4800000004</v>
      </c>
      <c r="BI40" s="1099">
        <v>-664704.86670000001</v>
      </c>
    </row>
    <row r="41" spans="1:62">
      <c r="A41" s="842" t="s">
        <v>1429</v>
      </c>
      <c r="B41" s="123"/>
      <c r="C41" s="123"/>
      <c r="D41" s="123"/>
      <c r="E41" s="1084"/>
      <c r="F41" s="1084"/>
      <c r="G41" s="813"/>
      <c r="H41" s="814"/>
      <c r="I41" s="814"/>
      <c r="J41" s="814"/>
      <c r="L41" s="134"/>
      <c r="M41" s="131"/>
      <c r="N41" s="131"/>
      <c r="O41" s="134"/>
      <c r="P41" s="134"/>
      <c r="Q41" s="134"/>
      <c r="R41" s="134"/>
      <c r="S41" s="134"/>
      <c r="T41" s="133"/>
      <c r="U41" s="132"/>
      <c r="V41" s="132"/>
      <c r="W41" s="132"/>
      <c r="X41" s="132"/>
      <c r="Y41" s="132"/>
      <c r="Z41" s="132"/>
      <c r="AA41" s="132"/>
      <c r="AB41" s="132"/>
      <c r="AC41" s="132"/>
      <c r="AD41" s="132"/>
      <c r="AE41" s="849"/>
      <c r="AF41" s="132"/>
      <c r="AG41" s="1712">
        <v>-200</v>
      </c>
      <c r="AH41" s="1712">
        <v>-3.6263000000000001</v>
      </c>
      <c r="AI41" s="132"/>
      <c r="AJ41" s="132"/>
      <c r="AK41" s="132"/>
      <c r="BC41" s="1097">
        <v>-389926.87</v>
      </c>
      <c r="BI41" s="1097">
        <v>-141459.24230000001</v>
      </c>
    </row>
    <row r="42" spans="1:62">
      <c r="A42" s="856" t="s">
        <v>982</v>
      </c>
      <c r="B42" s="123"/>
      <c r="C42" s="123"/>
      <c r="D42" s="123"/>
      <c r="E42" s="1084"/>
      <c r="F42" s="1084">
        <v>61621</v>
      </c>
      <c r="G42" s="1084"/>
      <c r="H42" s="817"/>
      <c r="I42" s="817"/>
      <c r="J42" s="817">
        <v>138583.80345143616</v>
      </c>
      <c r="L42" s="134"/>
      <c r="M42" s="131"/>
      <c r="N42" s="131"/>
      <c r="O42" s="134"/>
      <c r="P42" s="134"/>
      <c r="Q42" s="134"/>
      <c r="R42" s="134"/>
      <c r="S42" s="134"/>
      <c r="T42" s="133"/>
      <c r="U42" s="132"/>
      <c r="V42" s="132"/>
      <c r="W42" s="132"/>
      <c r="X42" s="132"/>
      <c r="Y42" s="132"/>
      <c r="Z42" s="132"/>
      <c r="AA42" s="132"/>
      <c r="AB42" s="132"/>
      <c r="AC42" s="132"/>
      <c r="AD42" s="132"/>
      <c r="AE42" s="132"/>
      <c r="AF42" s="132"/>
      <c r="AG42" s="1713">
        <f>SUM(AG26:AG41)</f>
        <v>-6371199669.3599997</v>
      </c>
      <c r="AH42" s="1713">
        <f>SUM(AH26:AH41)</f>
        <v>-115780492.49760002</v>
      </c>
      <c r="AI42" s="132"/>
      <c r="AJ42" s="132"/>
      <c r="AK42" s="132"/>
      <c r="BC42" s="1097">
        <v>-945508095.00999999</v>
      </c>
      <c r="BI42" s="1097">
        <v>-6771.4427999999998</v>
      </c>
    </row>
    <row r="43" spans="1:62">
      <c r="A43" s="856" t="s">
        <v>983</v>
      </c>
      <c r="B43" s="123"/>
      <c r="C43" s="123"/>
      <c r="D43" s="123"/>
      <c r="E43" s="1084"/>
      <c r="F43" s="1084">
        <v>77217</v>
      </c>
      <c r="G43" s="1084"/>
      <c r="H43" s="817"/>
      <c r="I43" s="817"/>
      <c r="J43" s="817">
        <v>-6567</v>
      </c>
      <c r="L43" s="857"/>
      <c r="O43" s="857">
        <v>224</v>
      </c>
      <c r="P43" s="857"/>
      <c r="Q43" s="857"/>
      <c r="R43" s="857"/>
      <c r="S43" s="857"/>
      <c r="T43" s="133"/>
      <c r="U43" s="132"/>
      <c r="V43" s="132"/>
      <c r="W43" s="132"/>
      <c r="X43" s="132"/>
      <c r="Y43" s="132"/>
      <c r="Z43" s="132"/>
      <c r="AA43" s="132"/>
      <c r="AB43" s="132"/>
      <c r="AC43" s="132"/>
      <c r="AD43" s="132"/>
      <c r="AE43" s="132"/>
      <c r="AF43" s="132"/>
      <c r="AG43" s="132"/>
      <c r="AH43" s="132"/>
      <c r="AI43" s="132"/>
      <c r="AJ43" s="132"/>
      <c r="AK43" s="132"/>
      <c r="BC43" s="121">
        <v>-16</v>
      </c>
      <c r="BI43" s="1097">
        <v>-16064060.6483</v>
      </c>
    </row>
    <row r="44" spans="1:62">
      <c r="B44" s="123"/>
      <c r="C44" s="123"/>
      <c r="D44" s="123"/>
      <c r="E44" s="1084"/>
      <c r="F44" s="1559">
        <v>138838</v>
      </c>
      <c r="G44" s="1085"/>
      <c r="H44" s="818"/>
      <c r="I44" s="818"/>
      <c r="J44" s="1560">
        <v>132016.80345143616</v>
      </c>
      <c r="L44" s="857"/>
      <c r="O44" s="857">
        <v>22866</v>
      </c>
      <c r="P44" s="857"/>
      <c r="Q44" s="857"/>
      <c r="R44" s="857"/>
      <c r="S44" s="857"/>
      <c r="T44" s="133"/>
      <c r="U44" s="132"/>
      <c r="V44" s="132"/>
      <c r="W44" s="132"/>
      <c r="X44" s="132"/>
      <c r="Y44" s="132"/>
      <c r="Z44" s="132"/>
      <c r="AA44" s="132"/>
      <c r="AB44" s="132"/>
      <c r="AC44" s="132">
        <v>1518878</v>
      </c>
      <c r="AD44" s="132"/>
      <c r="AE44" s="132"/>
      <c r="AF44" s="132"/>
      <c r="AG44" s="1713">
        <f>+AG23+AG42</f>
        <v>-1443784796.2299986</v>
      </c>
      <c r="AH44" s="1713">
        <f>+AH23+AH42</f>
        <v>-25807278.945300043</v>
      </c>
      <c r="AI44" s="132"/>
      <c r="AJ44" s="132"/>
      <c r="AK44" s="132"/>
      <c r="BC44" s="1097">
        <v>-335415118.04000002</v>
      </c>
      <c r="BI44" s="121">
        <v>-0.26390000000000002</v>
      </c>
    </row>
    <row r="45" spans="1:62">
      <c r="B45" s="123"/>
      <c r="C45" s="123"/>
      <c r="D45" s="123"/>
      <c r="E45" s="1084"/>
      <c r="F45" s="1085"/>
      <c r="G45" s="1085"/>
      <c r="H45" s="818"/>
      <c r="I45" s="818"/>
      <c r="J45" s="818"/>
      <c r="L45" s="857"/>
      <c r="O45" s="857"/>
      <c r="P45" s="857"/>
      <c r="Q45" s="857"/>
      <c r="R45" s="857"/>
      <c r="S45" s="857"/>
      <c r="T45" s="133"/>
      <c r="U45" s="132"/>
      <c r="V45" s="132"/>
      <c r="W45" s="132"/>
      <c r="X45" s="132"/>
      <c r="Y45" s="132"/>
      <c r="Z45" s="132"/>
      <c r="AA45" s="132"/>
      <c r="AB45" s="132"/>
      <c r="AC45" s="854">
        <v>-0.19554856372997165</v>
      </c>
      <c r="AD45" s="854"/>
      <c r="AE45" s="849"/>
      <c r="AF45" s="849"/>
      <c r="AG45" s="849"/>
      <c r="AH45" s="854"/>
      <c r="AI45" s="849"/>
      <c r="AJ45" s="849"/>
      <c r="AK45" s="815"/>
      <c r="AL45" s="855"/>
      <c r="AM45" s="853"/>
      <c r="AN45" s="853"/>
      <c r="AO45" s="853"/>
      <c r="AP45" s="853"/>
      <c r="AQ45" s="853"/>
      <c r="AR45" s="853"/>
      <c r="AS45" s="853"/>
      <c r="BC45" s="1097">
        <v>-295036.84000000003</v>
      </c>
      <c r="BI45" s="1097">
        <v>-5680441.0732000005</v>
      </c>
    </row>
    <row r="46" spans="1:62">
      <c r="A46" s="123"/>
      <c r="B46" s="123"/>
      <c r="C46" s="123"/>
      <c r="D46" s="123"/>
      <c r="E46" s="1084"/>
      <c r="F46" s="1085"/>
      <c r="G46" s="1085"/>
      <c r="H46" s="818"/>
      <c r="I46" s="818"/>
      <c r="J46" s="818"/>
      <c r="L46" s="857"/>
      <c r="O46" s="857"/>
      <c r="P46" s="857"/>
      <c r="Q46" s="857"/>
      <c r="R46" s="857"/>
      <c r="S46" s="857"/>
      <c r="T46" s="133"/>
      <c r="U46" s="132"/>
      <c r="V46" s="132"/>
      <c r="W46" s="132"/>
      <c r="X46" s="132"/>
      <c r="Y46" s="132"/>
      <c r="Z46" s="132"/>
      <c r="AA46" s="132"/>
      <c r="AB46" s="132"/>
      <c r="AC46" s="849"/>
      <c r="AD46" s="849"/>
      <c r="AE46" s="849"/>
      <c r="AF46" s="849"/>
      <c r="AG46" s="849"/>
      <c r="AH46" s="849"/>
      <c r="AI46" s="849"/>
      <c r="AJ46" s="849"/>
      <c r="AK46" s="815"/>
      <c r="AL46" s="855"/>
      <c r="AM46" s="853"/>
      <c r="AN46" s="853"/>
      <c r="AO46" s="853"/>
      <c r="AP46" s="853"/>
      <c r="AQ46" s="853"/>
      <c r="AR46" s="853"/>
      <c r="AS46" s="853"/>
      <c r="BC46" s="1097">
        <v>-20694559.550000001</v>
      </c>
      <c r="BI46" s="1097">
        <v>-5124.5074999999997</v>
      </c>
    </row>
    <row r="47" spans="1:62">
      <c r="B47" s="123"/>
      <c r="C47" s="123"/>
      <c r="D47" s="123"/>
      <c r="E47" s="1084"/>
      <c r="F47" s="1085"/>
      <c r="G47" s="1085"/>
      <c r="H47" s="818"/>
      <c r="I47" s="818"/>
      <c r="J47" s="818"/>
      <c r="L47" s="857"/>
      <c r="O47" s="857"/>
      <c r="P47" s="857"/>
      <c r="Q47" s="857"/>
      <c r="R47" s="857"/>
      <c r="S47" s="857"/>
      <c r="T47" s="133"/>
      <c r="U47" s="132"/>
      <c r="V47" s="132"/>
      <c r="W47" s="132"/>
      <c r="X47" s="132"/>
      <c r="Y47" s="132"/>
      <c r="Z47" s="132"/>
      <c r="AA47" s="132"/>
      <c r="AB47" s="132"/>
      <c r="AC47" s="132"/>
      <c r="AD47" s="132"/>
      <c r="AE47" s="132"/>
      <c r="AF47" s="132"/>
      <c r="AG47" s="132"/>
      <c r="AH47" s="132"/>
      <c r="AI47" s="132"/>
      <c r="AJ47" s="132"/>
      <c r="AK47" s="132"/>
      <c r="BC47" s="1098">
        <v>-3403</v>
      </c>
      <c r="BI47" s="1097">
        <v>-348220.277</v>
      </c>
    </row>
    <row r="48" spans="1:62">
      <c r="A48" s="880" t="s">
        <v>1425</v>
      </c>
      <c r="B48" s="123"/>
      <c r="C48" s="123"/>
      <c r="D48" s="123"/>
      <c r="E48" s="1084"/>
      <c r="F48" s="1084"/>
      <c r="G48" s="813"/>
      <c r="H48" s="814"/>
      <c r="I48" s="814"/>
      <c r="J48" s="1561"/>
      <c r="L48" s="858"/>
      <c r="O48" s="859">
        <v>23090</v>
      </c>
      <c r="P48" s="858"/>
      <c r="Q48" s="858"/>
      <c r="R48" s="858"/>
      <c r="S48" s="858"/>
      <c r="T48" s="133"/>
      <c r="U48" s="132"/>
      <c r="V48" s="132"/>
      <c r="W48" s="132"/>
      <c r="X48" s="132"/>
      <c r="Y48" s="132"/>
      <c r="Z48" s="132"/>
      <c r="AA48" s="132"/>
      <c r="AB48" s="132"/>
      <c r="AC48" s="132"/>
      <c r="AD48" s="132"/>
      <c r="AE48" s="132"/>
      <c r="AF48" s="132"/>
      <c r="AG48" s="132"/>
      <c r="AH48" s="132"/>
      <c r="AI48" s="132"/>
      <c r="AJ48" s="132"/>
      <c r="AK48" s="132"/>
      <c r="BC48" s="1097">
        <f>SUM(BC21:BC47)</f>
        <v>693619775.87000024</v>
      </c>
      <c r="BI48" s="121">
        <v>-60.259599999999999</v>
      </c>
    </row>
    <row r="49" spans="1:55" ht="12.75" hidden="1" customHeight="1">
      <c r="A49" s="121" t="s">
        <v>965</v>
      </c>
      <c r="B49" s="123"/>
      <c r="C49" s="123"/>
      <c r="D49" s="123"/>
      <c r="E49" s="1084"/>
      <c r="F49" s="1084"/>
      <c r="G49" s="813"/>
      <c r="H49" s="814"/>
      <c r="I49" s="814"/>
      <c r="J49" s="814"/>
      <c r="L49" s="134"/>
      <c r="M49" s="131"/>
      <c r="N49" s="131"/>
      <c r="O49" s="134"/>
      <c r="P49" s="134"/>
      <c r="Q49" s="134"/>
      <c r="R49" s="134"/>
      <c r="S49" s="134"/>
      <c r="T49" s="133"/>
      <c r="U49" s="132"/>
      <c r="V49" s="132"/>
      <c r="W49" s="132"/>
      <c r="X49" s="132"/>
      <c r="Y49" s="132"/>
      <c r="Z49" s="132"/>
      <c r="AA49" s="132"/>
      <c r="AB49" s="132"/>
      <c r="AC49" s="132"/>
      <c r="AD49" s="132"/>
      <c r="AE49" s="132"/>
      <c r="AF49" s="132"/>
      <c r="AG49" s="132"/>
      <c r="AH49" s="132"/>
      <c r="AI49" s="132"/>
      <c r="AJ49" s="132"/>
      <c r="AK49" s="132"/>
    </row>
    <row r="50" spans="1:55" ht="12.75" hidden="1" customHeight="1">
      <c r="A50" s="121" t="s">
        <v>966</v>
      </c>
      <c r="B50" s="123"/>
      <c r="C50" s="123"/>
      <c r="D50" s="123"/>
      <c r="E50" s="1084"/>
      <c r="F50" s="1084"/>
      <c r="G50" s="813"/>
      <c r="H50" s="814"/>
      <c r="I50" s="814"/>
      <c r="J50" s="814"/>
      <c r="L50" s="860"/>
      <c r="M50" s="142">
        <v>21497</v>
      </c>
      <c r="N50" s="131"/>
      <c r="O50" s="860">
        <v>0</v>
      </c>
      <c r="P50" s="860"/>
      <c r="Q50" s="860"/>
      <c r="R50" s="860"/>
      <c r="S50" s="860"/>
      <c r="T50" s="133">
        <v>0</v>
      </c>
      <c r="U50" s="132"/>
      <c r="V50" s="132"/>
      <c r="W50" s="132"/>
      <c r="X50" s="132"/>
      <c r="Y50" s="132"/>
      <c r="Z50" s="132"/>
      <c r="AA50" s="132"/>
      <c r="AB50" s="132"/>
      <c r="AC50" s="132"/>
      <c r="AD50" s="132"/>
      <c r="AE50" s="132"/>
      <c r="AF50" s="132"/>
      <c r="AG50" s="132"/>
      <c r="AH50" s="132"/>
      <c r="AI50" s="132"/>
      <c r="AJ50" s="132"/>
      <c r="AK50" s="132"/>
    </row>
    <row r="51" spans="1:55" ht="12.75" hidden="1" customHeight="1">
      <c r="A51" s="121" t="s">
        <v>964</v>
      </c>
      <c r="B51" s="123"/>
      <c r="C51" s="123"/>
      <c r="D51" s="123"/>
      <c r="E51" s="1084"/>
      <c r="F51" s="1084"/>
      <c r="G51" s="1084"/>
      <c r="H51" s="817"/>
      <c r="I51" s="817"/>
      <c r="J51" s="817"/>
      <c r="L51" s="860"/>
      <c r="M51" s="142">
        <v>-8661</v>
      </c>
      <c r="N51" s="131"/>
      <c r="O51" s="860">
        <v>0</v>
      </c>
      <c r="P51" s="860"/>
      <c r="Q51" s="860"/>
      <c r="R51" s="860"/>
      <c r="S51" s="860"/>
      <c r="T51" s="133">
        <v>0</v>
      </c>
      <c r="U51" s="132"/>
      <c r="V51" s="132"/>
      <c r="W51" s="132"/>
      <c r="X51" s="132"/>
      <c r="Y51" s="132"/>
      <c r="Z51" s="132"/>
      <c r="AA51" s="132"/>
      <c r="AB51" s="132"/>
      <c r="AC51" s="132"/>
      <c r="AD51" s="132"/>
      <c r="AE51" s="132"/>
      <c r="AF51" s="132"/>
      <c r="AG51" s="132"/>
      <c r="AH51" s="132"/>
      <c r="AI51" s="132"/>
      <c r="AJ51" s="132"/>
      <c r="AK51" s="132"/>
    </row>
    <row r="52" spans="1:55">
      <c r="A52" s="881" t="s">
        <v>965</v>
      </c>
      <c r="B52" s="123"/>
      <c r="C52" s="123"/>
      <c r="D52" s="123"/>
      <c r="E52" s="1084"/>
      <c r="F52" s="1092">
        <v>0</v>
      </c>
      <c r="G52" s="813"/>
      <c r="H52" s="814"/>
      <c r="I52" s="814"/>
      <c r="J52" s="1555">
        <v>590</v>
      </c>
      <c r="T52" s="133"/>
      <c r="U52" s="132"/>
      <c r="V52" s="132"/>
      <c r="W52" s="132"/>
      <c r="X52" s="132"/>
      <c r="Y52" s="132"/>
      <c r="Z52" s="132"/>
      <c r="AA52" s="132"/>
      <c r="AB52" s="132"/>
      <c r="AC52" s="132"/>
      <c r="AD52" s="132"/>
      <c r="AE52" s="132"/>
      <c r="AF52" s="132"/>
      <c r="AG52" s="132"/>
      <c r="AH52" s="132"/>
      <c r="AI52" s="132"/>
      <c r="AJ52" s="132"/>
      <c r="AK52" s="132"/>
      <c r="BC52" s="1097">
        <v>3012319.58</v>
      </c>
    </row>
    <row r="53" spans="1:55">
      <c r="A53" s="881" t="s">
        <v>966</v>
      </c>
      <c r="B53" s="123"/>
      <c r="C53" s="123"/>
      <c r="D53" s="123"/>
      <c r="E53" s="1084"/>
      <c r="F53" s="1093">
        <v>145121.84646000006</v>
      </c>
      <c r="G53" s="813"/>
      <c r="H53" s="814"/>
      <c r="I53" s="814"/>
      <c r="J53" s="1557">
        <v>35275.939010000002</v>
      </c>
      <c r="L53" s="860"/>
      <c r="N53" s="131"/>
      <c r="P53" s="860"/>
      <c r="Q53" s="860"/>
      <c r="R53" s="860"/>
      <c r="S53" s="860"/>
      <c r="T53" s="133"/>
      <c r="U53" s="132"/>
      <c r="V53" s="132"/>
      <c r="W53" s="132"/>
      <c r="X53" s="132"/>
      <c r="Y53" s="132"/>
      <c r="Z53" s="132"/>
      <c r="AA53" s="132"/>
      <c r="AB53" s="132"/>
      <c r="AC53" s="132"/>
      <c r="AD53" s="132"/>
      <c r="AE53" s="132"/>
      <c r="AF53" s="132"/>
      <c r="AG53" s="132"/>
      <c r="AH53" s="132"/>
      <c r="AI53" s="132"/>
      <c r="AJ53" s="132"/>
      <c r="AK53" s="132"/>
      <c r="BC53" s="1097">
        <v>62254281.810000002</v>
      </c>
    </row>
    <row r="54" spans="1:55">
      <c r="A54" s="845"/>
      <c r="B54" s="123"/>
      <c r="C54" s="123"/>
      <c r="D54" s="123"/>
      <c r="E54" s="1084"/>
      <c r="F54" s="1562">
        <v>145121.84646000006</v>
      </c>
      <c r="G54" s="813"/>
      <c r="H54" s="814"/>
      <c r="I54" s="814"/>
      <c r="J54" s="814">
        <v>35865.939010000002</v>
      </c>
      <c r="L54" s="860"/>
      <c r="N54" s="131"/>
      <c r="P54" s="860"/>
      <c r="Q54" s="860"/>
      <c r="R54" s="860"/>
      <c r="S54" s="860"/>
      <c r="T54" s="133"/>
      <c r="U54" s="132"/>
      <c r="V54" s="132"/>
      <c r="W54" s="132"/>
      <c r="X54" s="132"/>
      <c r="Y54" s="132"/>
      <c r="Z54" s="132"/>
      <c r="AA54" s="132"/>
      <c r="AB54" s="132"/>
      <c r="AC54" s="132"/>
      <c r="AD54" s="132"/>
      <c r="AE54" s="132"/>
      <c r="AF54" s="132"/>
      <c r="AG54" s="132"/>
      <c r="AH54" s="132"/>
      <c r="AI54" s="132"/>
      <c r="AJ54" s="132"/>
      <c r="AK54" s="132"/>
      <c r="BC54" s="1097"/>
    </row>
    <row r="55" spans="1:55">
      <c r="A55" s="845"/>
      <c r="B55" s="123"/>
      <c r="C55" s="123"/>
      <c r="D55" s="123"/>
      <c r="E55" s="1084"/>
      <c r="F55" s="1084"/>
      <c r="G55" s="813"/>
      <c r="H55" s="814"/>
      <c r="I55" s="814"/>
      <c r="J55" s="814"/>
      <c r="L55" s="860"/>
      <c r="M55" s="131">
        <v>0</v>
      </c>
      <c r="N55" s="131"/>
      <c r="P55" s="860"/>
      <c r="Q55" s="860"/>
      <c r="R55" s="860"/>
      <c r="S55" s="860"/>
      <c r="T55" s="133"/>
      <c r="U55" s="132"/>
      <c r="V55" s="132"/>
      <c r="W55" s="132"/>
      <c r="X55" s="132"/>
      <c r="Y55" s="132"/>
      <c r="Z55" s="132"/>
      <c r="AA55" s="132"/>
      <c r="AB55" s="132"/>
      <c r="AC55" s="132"/>
      <c r="AD55" s="132"/>
      <c r="AE55" s="132"/>
      <c r="AF55" s="132"/>
      <c r="AG55" s="132"/>
      <c r="AH55" s="132"/>
      <c r="AI55" s="132"/>
      <c r="AJ55" s="132"/>
      <c r="AK55" s="132"/>
      <c r="BC55" s="1097"/>
    </row>
    <row r="56" spans="1:55">
      <c r="A56" s="862" t="s">
        <v>981</v>
      </c>
      <c r="B56" s="123"/>
      <c r="C56" s="123"/>
      <c r="D56" s="123"/>
      <c r="E56" s="1084"/>
      <c r="F56" s="813">
        <v>0</v>
      </c>
      <c r="G56" s="813"/>
      <c r="H56" s="814"/>
      <c r="I56" s="814"/>
      <c r="J56" s="814">
        <v>0</v>
      </c>
      <c r="L56" s="134"/>
      <c r="M56" s="131"/>
      <c r="N56" s="131"/>
      <c r="O56" s="134"/>
      <c r="P56" s="134"/>
      <c r="Q56" s="134"/>
      <c r="R56" s="134"/>
      <c r="S56" s="134"/>
      <c r="T56" s="133"/>
      <c r="U56" s="132"/>
      <c r="V56" s="132"/>
      <c r="W56" s="132"/>
      <c r="X56" s="132"/>
      <c r="Y56" s="132"/>
      <c r="Z56" s="132"/>
      <c r="AA56" s="132"/>
      <c r="AB56" s="132"/>
      <c r="AC56" s="132"/>
      <c r="AD56" s="132"/>
      <c r="AE56" s="132"/>
      <c r="AF56" s="132"/>
      <c r="AG56" s="132"/>
      <c r="AH56" s="132"/>
      <c r="AI56" s="132"/>
      <c r="AJ56" s="132"/>
      <c r="AK56" s="132"/>
    </row>
    <row r="57" spans="1:55">
      <c r="A57" s="862"/>
      <c r="B57" s="123"/>
      <c r="C57" s="123"/>
      <c r="D57" s="123"/>
      <c r="E57" s="1084"/>
      <c r="F57" s="1084"/>
      <c r="G57" s="813"/>
      <c r="H57" s="814"/>
      <c r="I57" s="814"/>
      <c r="J57" s="814"/>
      <c r="L57" s="134"/>
      <c r="M57" s="131">
        <v>0</v>
      </c>
      <c r="N57" s="131"/>
      <c r="O57" s="134">
        <v>0</v>
      </c>
      <c r="P57" s="134"/>
      <c r="Q57" s="134"/>
      <c r="R57" s="134"/>
      <c r="S57" s="134"/>
      <c r="T57" s="133"/>
      <c r="U57" s="132"/>
      <c r="V57" s="132"/>
      <c r="W57" s="132"/>
      <c r="X57" s="132"/>
      <c r="Y57" s="132"/>
      <c r="Z57" s="132"/>
      <c r="AA57" s="132"/>
      <c r="AB57" s="132"/>
      <c r="AC57" s="132"/>
      <c r="AD57" s="132"/>
      <c r="AE57" s="132"/>
      <c r="AF57" s="132"/>
      <c r="AG57" s="132"/>
      <c r="AH57" s="132"/>
      <c r="AI57" s="132"/>
      <c r="AJ57" s="132"/>
      <c r="AK57" s="132"/>
    </row>
    <row r="58" spans="1:55" s="1265" customFormat="1" ht="21" customHeight="1" thickBot="1">
      <c r="A58" s="1261" t="s">
        <v>1426</v>
      </c>
      <c r="B58" s="1256"/>
      <c r="C58" s="1256"/>
      <c r="D58" s="1256"/>
      <c r="E58" s="1267"/>
      <c r="F58" s="1257">
        <v>283959.84646000003</v>
      </c>
      <c r="G58" s="1268"/>
      <c r="H58" s="1258"/>
      <c r="I58" s="1258"/>
      <c r="J58" s="1558">
        <v>167882.74246143617</v>
      </c>
      <c r="L58" s="1269"/>
      <c r="M58" s="1270"/>
      <c r="N58" s="1270"/>
      <c r="O58" s="1269"/>
      <c r="P58" s="1269"/>
      <c r="Q58" s="1269"/>
      <c r="R58" s="1269"/>
      <c r="S58" s="1269"/>
      <c r="T58" s="1271"/>
      <c r="U58" s="1264"/>
      <c r="V58" s="1264"/>
      <c r="W58" s="1264"/>
      <c r="X58" s="1264"/>
      <c r="Y58" s="1264"/>
      <c r="Z58" s="1264"/>
      <c r="AA58" s="1264"/>
      <c r="AB58" s="1264"/>
      <c r="AC58" s="1264"/>
      <c r="AD58" s="1264"/>
      <c r="AE58" s="1264"/>
      <c r="AF58" s="1264"/>
      <c r="AG58" s="1264"/>
      <c r="AH58" s="1264"/>
      <c r="AI58" s="1264"/>
      <c r="AJ58" s="1264"/>
      <c r="AK58" s="1264"/>
    </row>
    <row r="59" spans="1:55" ht="14.25" thickTop="1" thickBot="1">
      <c r="A59" s="862"/>
      <c r="B59" s="123"/>
      <c r="C59" s="123"/>
      <c r="D59" s="123"/>
      <c r="E59" s="1084"/>
      <c r="F59" s="1084"/>
      <c r="G59" s="813"/>
      <c r="H59" s="814"/>
      <c r="I59" s="814"/>
      <c r="J59" s="814"/>
      <c r="L59" s="142"/>
      <c r="M59" s="863">
        <v>245017.80445143615</v>
      </c>
      <c r="N59" s="131"/>
      <c r="O59" s="863" t="e">
        <v>#REF!</v>
      </c>
      <c r="P59" s="142"/>
      <c r="Q59" s="142"/>
      <c r="R59" s="142"/>
      <c r="S59" s="142"/>
      <c r="T59" s="133"/>
      <c r="U59" s="132"/>
      <c r="V59" s="132"/>
      <c r="W59" s="132"/>
      <c r="X59" s="132"/>
      <c r="Y59" s="132"/>
      <c r="Z59" s="132"/>
      <c r="AA59" s="132"/>
      <c r="AB59" s="132"/>
      <c r="AC59" s="132"/>
      <c r="AD59" s="132"/>
      <c r="AE59" s="132"/>
      <c r="AF59" s="132"/>
      <c r="AG59" s="132"/>
      <c r="AH59" s="132"/>
      <c r="AI59" s="132"/>
      <c r="AJ59" s="132"/>
      <c r="AK59" s="132"/>
    </row>
    <row r="60" spans="1:55" ht="13.5" thickTop="1">
      <c r="A60" s="121" t="str">
        <f>A58</f>
        <v>Undistributed income carried forward</v>
      </c>
      <c r="B60" s="123"/>
      <c r="C60" s="123"/>
      <c r="D60" s="123"/>
      <c r="E60" s="1084"/>
      <c r="F60" s="1084"/>
      <c r="G60" s="813"/>
      <c r="H60" s="814"/>
      <c r="I60" s="814"/>
      <c r="J60" s="814"/>
      <c r="L60" s="134"/>
      <c r="M60" s="131"/>
      <c r="N60" s="131"/>
      <c r="O60" s="134"/>
      <c r="P60" s="134"/>
      <c r="Q60" s="134"/>
      <c r="R60" s="134"/>
      <c r="S60" s="134"/>
      <c r="T60" s="133"/>
      <c r="U60" s="132"/>
      <c r="V60" s="132"/>
      <c r="W60" s="132"/>
      <c r="X60" s="132"/>
      <c r="Y60" s="132"/>
      <c r="Z60" s="132"/>
      <c r="AA60" s="132"/>
      <c r="AB60" s="132"/>
      <c r="AC60" s="132"/>
      <c r="AD60" s="132"/>
      <c r="AE60" s="132"/>
      <c r="AF60" s="132"/>
      <c r="AG60" s="132"/>
      <c r="AH60" s="132"/>
      <c r="AI60" s="132"/>
      <c r="AJ60" s="132"/>
      <c r="AK60" s="132"/>
    </row>
    <row r="61" spans="1:55">
      <c r="A61" s="881" t="s">
        <v>1427</v>
      </c>
      <c r="B61" s="123"/>
      <c r="C61" s="123"/>
      <c r="D61" s="123"/>
      <c r="E61" s="1084"/>
      <c r="F61" s="813">
        <v>383242.95399000001</v>
      </c>
      <c r="G61" s="813"/>
      <c r="H61" s="814"/>
      <c r="I61" s="814"/>
      <c r="J61" s="814">
        <v>170021.74246143617</v>
      </c>
      <c r="L61" s="134"/>
      <c r="M61" s="131"/>
      <c r="N61" s="131"/>
      <c r="O61" s="134"/>
      <c r="P61" s="134"/>
      <c r="Q61" s="134"/>
      <c r="R61" s="134"/>
      <c r="S61" s="134"/>
      <c r="T61" s="133"/>
      <c r="U61" s="132"/>
      <c r="V61" s="132"/>
      <c r="W61" s="132"/>
      <c r="X61" s="132"/>
      <c r="Y61" s="132"/>
      <c r="Z61" s="132"/>
      <c r="AA61" s="132"/>
      <c r="AB61" s="132"/>
      <c r="AC61" s="132"/>
      <c r="AD61" s="801"/>
      <c r="AE61" s="132"/>
      <c r="AF61" s="132"/>
      <c r="AG61" s="132"/>
      <c r="AH61" s="132"/>
      <c r="AI61" s="132"/>
      <c r="AJ61" s="132"/>
      <c r="AK61" s="132"/>
    </row>
    <row r="62" spans="1:55">
      <c r="A62" s="881" t="s">
        <v>1428</v>
      </c>
      <c r="B62" s="123"/>
      <c r="C62" s="123"/>
      <c r="D62" s="123"/>
      <c r="E62" s="1084"/>
      <c r="F62" s="1094">
        <v>-99283.107529999994</v>
      </c>
      <c r="G62" s="813"/>
      <c r="H62" s="814"/>
      <c r="I62" s="814"/>
      <c r="J62" s="1561">
        <v>-2139</v>
      </c>
      <c r="L62" s="860"/>
      <c r="N62" s="131"/>
      <c r="P62" s="860"/>
      <c r="Q62" s="860"/>
      <c r="R62" s="860"/>
      <c r="S62" s="860"/>
      <c r="T62" s="133"/>
      <c r="U62" s="132"/>
      <c r="V62" s="132"/>
      <c r="W62" s="132"/>
      <c r="X62" s="132"/>
      <c r="Y62" s="132"/>
      <c r="Z62" s="132"/>
      <c r="AA62" s="132"/>
      <c r="AB62" s="132"/>
      <c r="AC62" s="132"/>
      <c r="AD62" s="132"/>
      <c r="AE62" s="132"/>
      <c r="AF62" s="132"/>
      <c r="AG62" s="132"/>
      <c r="AH62" s="132"/>
      <c r="AI62" s="132"/>
      <c r="AJ62" s="132"/>
      <c r="AK62" s="132"/>
    </row>
    <row r="63" spans="1:55" s="1265" customFormat="1" ht="21" customHeight="1" thickBot="1">
      <c r="B63" s="1256"/>
      <c r="C63" s="1256"/>
      <c r="D63" s="1256"/>
      <c r="E63" s="1267"/>
      <c r="F63" s="1563">
        <v>283959.84646000003</v>
      </c>
      <c r="G63" s="1272"/>
      <c r="H63" s="1273"/>
      <c r="I63" s="1273"/>
      <c r="J63" s="1564">
        <v>167882.74246143617</v>
      </c>
      <c r="L63" s="1274"/>
      <c r="N63" s="1270"/>
      <c r="P63" s="1274"/>
      <c r="Q63" s="1274"/>
      <c r="R63" s="1274"/>
      <c r="S63" s="1274"/>
      <c r="T63" s="1271">
        <v>-21024</v>
      </c>
      <c r="U63" s="1264"/>
      <c r="V63" s="1264"/>
      <c r="W63" s="1264"/>
      <c r="X63" s="1264"/>
      <c r="Y63" s="1264"/>
      <c r="Z63" s="1264"/>
      <c r="AA63" s="1264"/>
      <c r="AB63" s="1264"/>
      <c r="AC63" s="1264"/>
      <c r="AD63" s="1264"/>
      <c r="AE63" s="1264"/>
      <c r="AF63" s="1264"/>
      <c r="AG63" s="1264"/>
      <c r="AH63" s="1264"/>
      <c r="AI63" s="1264"/>
      <c r="AJ63" s="1264"/>
      <c r="AK63" s="1264"/>
    </row>
    <row r="64" spans="1:55" ht="13.5" thickTop="1">
      <c r="A64" s="864"/>
      <c r="B64" s="123"/>
      <c r="C64" s="123"/>
      <c r="D64" s="123"/>
      <c r="E64" s="865"/>
      <c r="F64" s="865"/>
      <c r="G64" s="1086"/>
      <c r="H64" s="134"/>
      <c r="I64" s="134"/>
      <c r="J64" s="134"/>
      <c r="L64" s="861"/>
      <c r="N64" s="131"/>
      <c r="P64" s="861"/>
      <c r="Q64" s="861"/>
      <c r="R64" s="861"/>
      <c r="S64" s="861"/>
      <c r="T64" s="133"/>
      <c r="U64" s="132"/>
      <c r="V64" s="132"/>
      <c r="W64" s="132"/>
      <c r="X64" s="132"/>
      <c r="Y64" s="132"/>
      <c r="Z64" s="132"/>
      <c r="AA64" s="132"/>
      <c r="AB64" s="132"/>
      <c r="AC64" s="801">
        <v>0</v>
      </c>
      <c r="AD64" s="132"/>
      <c r="AE64" s="132"/>
      <c r="AF64" s="132"/>
      <c r="AG64" s="132"/>
      <c r="AH64" s="132"/>
      <c r="AI64" s="132"/>
      <c r="AJ64" s="132"/>
      <c r="AK64" s="132"/>
    </row>
    <row r="65" spans="1:45">
      <c r="B65" s="123"/>
      <c r="C65" s="123"/>
      <c r="D65" s="123"/>
      <c r="E65" s="865"/>
      <c r="F65" s="130" t="s">
        <v>936</v>
      </c>
      <c r="H65" s="130"/>
      <c r="I65" s="130"/>
      <c r="J65" s="130" t="s">
        <v>936</v>
      </c>
      <c r="L65" s="134"/>
      <c r="M65" s="131"/>
      <c r="N65" s="131"/>
      <c r="O65" s="134"/>
      <c r="P65" s="134"/>
      <c r="Q65" s="134"/>
      <c r="R65" s="134"/>
      <c r="S65" s="134"/>
      <c r="T65" s="133"/>
      <c r="U65" s="132"/>
      <c r="V65" s="132"/>
      <c r="W65" s="132"/>
      <c r="X65" s="132"/>
      <c r="Y65" s="132"/>
      <c r="Z65" s="132"/>
      <c r="AA65" s="132"/>
      <c r="AB65" s="132"/>
      <c r="AC65" s="132"/>
      <c r="AD65" s="132"/>
      <c r="AE65" s="132"/>
      <c r="AF65" s="132"/>
      <c r="AG65" s="132"/>
      <c r="AH65" s="132"/>
      <c r="AI65" s="132"/>
      <c r="AJ65" s="132"/>
      <c r="AK65" s="838"/>
    </row>
    <row r="66" spans="1:45">
      <c r="B66" s="123"/>
      <c r="C66" s="123"/>
      <c r="D66" s="123"/>
      <c r="E66" s="865"/>
      <c r="F66" s="130"/>
      <c r="H66" s="130"/>
      <c r="I66" s="130"/>
      <c r="J66" s="130"/>
      <c r="L66" s="130"/>
      <c r="P66" s="130"/>
      <c r="Q66" s="130"/>
      <c r="R66" s="130"/>
      <c r="S66" s="130"/>
      <c r="T66" s="133"/>
      <c r="U66" s="132"/>
      <c r="V66" s="132"/>
      <c r="W66" s="132"/>
      <c r="X66" s="132"/>
      <c r="Y66" s="132"/>
      <c r="Z66" s="132"/>
      <c r="AA66" s="132"/>
      <c r="AB66" s="132"/>
      <c r="AC66" s="801"/>
      <c r="AD66" s="132"/>
      <c r="AE66" s="132"/>
      <c r="AF66" s="132"/>
      <c r="AG66" s="132"/>
      <c r="AH66" s="132"/>
      <c r="AI66" s="132"/>
      <c r="AJ66" s="132"/>
      <c r="AK66" s="132"/>
    </row>
    <row r="67" spans="1:45" ht="13.5" thickBot="1">
      <c r="A67" s="121" t="s">
        <v>1959</v>
      </c>
      <c r="B67" s="123"/>
      <c r="C67" s="123"/>
      <c r="D67" s="123"/>
      <c r="E67" s="865"/>
      <c r="F67" s="1095">
        <v>54.282753328251175</v>
      </c>
      <c r="H67" s="131"/>
      <c r="J67" s="1565">
        <v>54.207000000000001</v>
      </c>
      <c r="L67" s="130"/>
      <c r="M67" s="130"/>
      <c r="N67" s="130"/>
      <c r="O67" s="130"/>
      <c r="P67" s="130"/>
      <c r="Q67" s="130"/>
      <c r="R67" s="130"/>
      <c r="S67" s="130"/>
      <c r="T67" s="133"/>
      <c r="U67" s="132"/>
      <c r="V67" s="132"/>
      <c r="W67" s="132"/>
      <c r="X67" s="132"/>
      <c r="Y67" s="132"/>
      <c r="Z67" s="132"/>
      <c r="AA67" s="132"/>
      <c r="AB67" s="132"/>
      <c r="AC67" s="132"/>
      <c r="AD67" s="132"/>
      <c r="AE67" s="132"/>
      <c r="AF67" s="132"/>
      <c r="AG67" s="132"/>
      <c r="AH67" s="132"/>
      <c r="AI67" s="132"/>
      <c r="AJ67" s="132"/>
      <c r="AK67" s="801"/>
    </row>
    <row r="68" spans="1:45" ht="13.5" thickTop="1">
      <c r="B68" s="123"/>
      <c r="C68" s="123"/>
      <c r="D68" s="123"/>
      <c r="E68" s="865"/>
      <c r="F68" s="1096"/>
      <c r="H68" s="866"/>
      <c r="J68" s="866"/>
      <c r="L68" s="131"/>
      <c r="P68" s="131"/>
      <c r="Q68" s="131"/>
      <c r="R68" s="131"/>
      <c r="S68" s="131"/>
      <c r="T68" s="133"/>
      <c r="U68" s="132"/>
      <c r="V68" s="132"/>
      <c r="W68" s="132"/>
      <c r="X68" s="132"/>
      <c r="Y68" s="132"/>
      <c r="Z68" s="132"/>
      <c r="AA68" s="132"/>
      <c r="AB68" s="132"/>
      <c r="AC68" s="132"/>
      <c r="AD68" s="132"/>
      <c r="AE68" s="132"/>
      <c r="AF68" s="132"/>
      <c r="AG68" s="132"/>
      <c r="AH68" s="132"/>
      <c r="AI68" s="132"/>
      <c r="AJ68" s="132"/>
      <c r="AK68" s="132"/>
    </row>
    <row r="69" spans="1:45" ht="13.5" thickBot="1">
      <c r="A69" s="121" t="s">
        <v>1960</v>
      </c>
      <c r="B69" s="123"/>
      <c r="C69" s="123"/>
      <c r="D69" s="123"/>
      <c r="E69" s="865"/>
      <c r="F69" s="1095">
        <v>55.403700000000001</v>
      </c>
      <c r="H69" s="134"/>
      <c r="J69" s="1566">
        <v>55.312800000000003</v>
      </c>
      <c r="L69" s="866"/>
      <c r="P69" s="866"/>
      <c r="Q69" s="866"/>
      <c r="R69" s="866"/>
      <c r="S69" s="866"/>
      <c r="T69" s="133"/>
      <c r="U69" s="132"/>
      <c r="V69" s="132"/>
      <c r="W69" s="132"/>
      <c r="X69" s="132"/>
      <c r="Y69" s="132"/>
      <c r="Z69" s="132"/>
      <c r="AA69" s="132"/>
      <c r="AB69" s="132"/>
      <c r="AC69" s="801">
        <v>0</v>
      </c>
      <c r="AD69" s="132"/>
      <c r="AE69" s="132"/>
      <c r="AF69" s="132"/>
      <c r="AG69" s="132"/>
      <c r="AH69" s="132"/>
      <c r="AI69" s="132"/>
      <c r="AJ69" s="132"/>
      <c r="AK69" s="801"/>
    </row>
    <row r="70" spans="1:45" ht="13.5" thickTop="1">
      <c r="B70" s="123"/>
      <c r="C70" s="123"/>
      <c r="D70" s="123"/>
      <c r="E70" s="865"/>
      <c r="F70" s="853"/>
      <c r="L70" s="134"/>
      <c r="N70" s="123"/>
      <c r="P70" s="134"/>
      <c r="Q70" s="134"/>
      <c r="R70" s="134"/>
      <c r="S70" s="134"/>
      <c r="T70" s="133"/>
      <c r="U70" s="132"/>
      <c r="V70" s="132"/>
      <c r="W70" s="132"/>
      <c r="X70" s="132"/>
      <c r="Y70" s="132"/>
      <c r="Z70" s="132"/>
      <c r="AA70" s="132"/>
      <c r="AB70" s="132"/>
      <c r="AC70" s="132"/>
      <c r="AD70" s="132"/>
      <c r="AE70" s="132"/>
      <c r="AF70" s="132"/>
      <c r="AG70" s="132"/>
      <c r="AH70" s="132"/>
      <c r="AI70" s="132"/>
      <c r="AJ70" s="132"/>
      <c r="AK70" s="132"/>
    </row>
    <row r="71" spans="1:45" ht="7.5" customHeight="1">
      <c r="B71" s="123"/>
      <c r="C71" s="123"/>
      <c r="D71" s="123"/>
      <c r="G71" s="867"/>
      <c r="H71" s="134"/>
      <c r="K71" s="1567"/>
      <c r="L71" s="134"/>
      <c r="N71" s="123"/>
      <c r="P71" s="134"/>
      <c r="Q71" s="134"/>
      <c r="R71" s="134"/>
      <c r="S71" s="134"/>
      <c r="T71" s="133"/>
      <c r="U71" s="132"/>
      <c r="V71" s="132"/>
      <c r="W71" s="132"/>
      <c r="X71" s="132"/>
      <c r="Y71" s="132"/>
      <c r="Z71" s="132"/>
      <c r="AA71" s="132"/>
      <c r="AB71" s="132"/>
      <c r="AC71" s="132"/>
      <c r="AD71" s="132"/>
      <c r="AE71" s="132"/>
      <c r="AF71" s="132"/>
      <c r="AG71" s="132"/>
      <c r="AH71" s="132"/>
      <c r="AI71" s="132"/>
      <c r="AJ71" s="132"/>
      <c r="AK71" s="132"/>
    </row>
    <row r="72" spans="1:45" s="868" customFormat="1">
      <c r="A72" s="10" t="str">
        <f>SOAL!A48</f>
        <v>The annexed notes 1 to 17 form an integral part of these financial statements.</v>
      </c>
      <c r="F72" s="869"/>
      <c r="G72" s="870"/>
      <c r="H72" s="870"/>
      <c r="I72" s="870"/>
      <c r="J72" s="870"/>
      <c r="K72" s="869"/>
      <c r="AC72" s="132"/>
      <c r="AD72" s="132"/>
      <c r="AE72" s="132"/>
      <c r="AF72" s="132"/>
      <c r="AG72" s="132"/>
      <c r="AH72" s="132"/>
      <c r="AI72" s="132"/>
      <c r="AJ72" s="132"/>
      <c r="AK72" s="132"/>
      <c r="AL72" s="121"/>
      <c r="AM72" s="121"/>
      <c r="AN72" s="121"/>
      <c r="AO72" s="121"/>
      <c r="AP72" s="121"/>
      <c r="AQ72" s="121"/>
      <c r="AR72" s="121"/>
      <c r="AS72" s="121"/>
    </row>
    <row r="73" spans="1:45" s="868" customFormat="1">
      <c r="A73" s="10"/>
      <c r="F73" s="869"/>
      <c r="G73" s="870"/>
      <c r="H73" s="870"/>
      <c r="I73" s="870"/>
      <c r="J73" s="870"/>
      <c r="K73" s="869"/>
      <c r="AC73" s="132"/>
      <c r="AD73" s="132"/>
      <c r="AE73" s="132"/>
      <c r="AF73" s="132"/>
      <c r="AG73" s="132"/>
      <c r="AH73" s="132"/>
      <c r="AI73" s="132"/>
      <c r="AJ73" s="132"/>
      <c r="AK73" s="132"/>
      <c r="AL73" s="121"/>
      <c r="AM73" s="121"/>
      <c r="AN73" s="121"/>
      <c r="AO73" s="121"/>
      <c r="AP73" s="121"/>
      <c r="AQ73" s="121"/>
      <c r="AR73" s="121"/>
      <c r="AS73" s="121"/>
    </row>
    <row r="74" spans="1:45" s="868" customFormat="1">
      <c r="A74" s="10"/>
      <c r="F74" s="869"/>
      <c r="G74" s="870"/>
      <c r="H74" s="870"/>
      <c r="I74" s="870"/>
      <c r="J74" s="870"/>
      <c r="K74" s="869"/>
      <c r="AC74" s="132"/>
      <c r="AD74" s="132"/>
      <c r="AE74" s="132"/>
      <c r="AF74" s="132"/>
      <c r="AG74" s="132"/>
      <c r="AH74" s="132"/>
      <c r="AI74" s="132"/>
      <c r="AJ74" s="132"/>
      <c r="AK74" s="132"/>
      <c r="AL74" s="121"/>
      <c r="AM74" s="121"/>
      <c r="AN74" s="121"/>
      <c r="AO74" s="121"/>
      <c r="AP74" s="121"/>
      <c r="AQ74" s="121"/>
      <c r="AR74" s="121"/>
      <c r="AS74" s="121"/>
    </row>
    <row r="75" spans="1:45" s="868" customFormat="1">
      <c r="A75" s="10"/>
      <c r="F75" s="869"/>
      <c r="G75" s="870"/>
      <c r="H75" s="870"/>
      <c r="I75" s="870"/>
      <c r="J75" s="870"/>
      <c r="K75" s="869"/>
      <c r="AC75" s="132"/>
      <c r="AD75" s="132"/>
      <c r="AE75" s="132"/>
      <c r="AF75" s="132"/>
      <c r="AG75" s="132"/>
      <c r="AH75" s="132"/>
      <c r="AI75" s="132"/>
      <c r="AJ75" s="132"/>
      <c r="AK75" s="132"/>
      <c r="AL75" s="121"/>
      <c r="AM75" s="121"/>
      <c r="AN75" s="121"/>
      <c r="AO75" s="121"/>
      <c r="AP75" s="121"/>
      <c r="AQ75" s="121"/>
      <c r="AR75" s="121"/>
      <c r="AS75" s="121"/>
    </row>
    <row r="76" spans="1:45" s="868" customFormat="1">
      <c r="F76" s="869"/>
      <c r="G76" s="870"/>
      <c r="H76" s="870"/>
      <c r="I76" s="870"/>
      <c r="J76" s="870"/>
      <c r="K76" s="869"/>
      <c r="L76" s="871"/>
      <c r="AC76" s="132"/>
      <c r="AD76" s="132"/>
      <c r="AE76" s="132"/>
      <c r="AF76" s="132"/>
      <c r="AG76" s="132"/>
      <c r="AH76" s="132"/>
      <c r="AI76" s="132"/>
      <c r="AJ76" s="132"/>
      <c r="AK76" s="132"/>
      <c r="AL76" s="121"/>
      <c r="AM76" s="121"/>
      <c r="AN76" s="121"/>
      <c r="AO76" s="121"/>
      <c r="AP76" s="121"/>
      <c r="AQ76" s="121"/>
      <c r="AR76" s="121"/>
      <c r="AS76" s="121"/>
    </row>
    <row r="77" spans="1:45" s="868" customFormat="1">
      <c r="F77" s="869"/>
      <c r="G77" s="870"/>
      <c r="H77" s="870"/>
      <c r="I77" s="870"/>
      <c r="J77" s="870"/>
      <c r="K77" s="869"/>
      <c r="L77" s="871"/>
      <c r="M77" s="871"/>
      <c r="AC77" s="132"/>
      <c r="AD77" s="132"/>
      <c r="AE77" s="132"/>
      <c r="AF77" s="132"/>
      <c r="AG77" s="132"/>
      <c r="AH77" s="132"/>
      <c r="AI77" s="132"/>
      <c r="AJ77" s="132"/>
      <c r="AK77" s="132"/>
      <c r="AL77" s="121"/>
      <c r="AM77" s="121"/>
      <c r="AN77" s="121"/>
      <c r="AO77" s="121"/>
      <c r="AP77" s="121"/>
      <c r="AQ77" s="121"/>
      <c r="AR77" s="121"/>
      <c r="AS77" s="121"/>
    </row>
    <row r="78" spans="1:45" s="565" customFormat="1">
      <c r="B78" s="114"/>
      <c r="C78" s="114"/>
      <c r="D78" s="114"/>
      <c r="E78" s="114"/>
      <c r="F78" s="114"/>
      <c r="G78" s="114"/>
      <c r="H78" s="114"/>
      <c r="AC78" s="868"/>
      <c r="AD78" s="868"/>
      <c r="AE78" s="868"/>
      <c r="AF78" s="868"/>
      <c r="AG78" s="868"/>
      <c r="AH78" s="868"/>
      <c r="AI78" s="868"/>
      <c r="AJ78" s="868"/>
      <c r="AK78" s="868"/>
      <c r="AL78" s="868"/>
      <c r="AM78" s="868"/>
      <c r="AN78" s="868"/>
      <c r="AO78" s="868"/>
      <c r="AP78" s="868"/>
      <c r="AQ78" s="868"/>
      <c r="AR78" s="868"/>
      <c r="AS78" s="868"/>
    </row>
    <row r="79" spans="1:45" s="565" customFormat="1">
      <c r="B79" s="114"/>
      <c r="C79" s="114"/>
      <c r="D79" s="114"/>
      <c r="E79" s="114"/>
      <c r="F79" s="114"/>
      <c r="G79" s="114"/>
      <c r="H79" s="114"/>
      <c r="AC79" s="868"/>
      <c r="AD79" s="868"/>
      <c r="AE79" s="868"/>
      <c r="AF79" s="868"/>
      <c r="AG79" s="868"/>
      <c r="AH79" s="868"/>
      <c r="AI79" s="868"/>
      <c r="AJ79" s="868"/>
      <c r="AK79" s="868"/>
      <c r="AL79" s="868"/>
      <c r="AM79" s="868"/>
      <c r="AN79" s="868"/>
      <c r="AO79" s="868"/>
      <c r="AP79" s="868"/>
      <c r="AQ79" s="868"/>
      <c r="AR79" s="868"/>
      <c r="AS79" s="868"/>
    </row>
    <row r="80" spans="1:45" s="874" customFormat="1">
      <c r="A80" s="872"/>
      <c r="B80" s="873"/>
      <c r="C80" s="873"/>
      <c r="D80" s="873"/>
      <c r="E80" s="873"/>
      <c r="F80" s="873"/>
      <c r="G80" s="873"/>
      <c r="H80" s="873"/>
      <c r="I80" s="873"/>
      <c r="AC80" s="868"/>
      <c r="AD80" s="868"/>
      <c r="AE80" s="868"/>
      <c r="AF80" s="868"/>
      <c r="AG80" s="868"/>
      <c r="AH80" s="868"/>
      <c r="AI80" s="868"/>
      <c r="AJ80" s="868"/>
      <c r="AK80" s="868"/>
      <c r="AL80" s="868"/>
      <c r="AM80" s="868"/>
      <c r="AN80" s="868"/>
      <c r="AO80" s="868"/>
      <c r="AP80" s="868"/>
      <c r="AQ80" s="868"/>
      <c r="AR80" s="868"/>
      <c r="AS80" s="868"/>
    </row>
    <row r="81" spans="1:45" s="874" customFormat="1">
      <c r="A81" s="872"/>
      <c r="B81" s="873"/>
      <c r="C81" s="873"/>
      <c r="D81" s="873"/>
      <c r="E81" s="873"/>
      <c r="F81" s="873"/>
      <c r="G81" s="873"/>
      <c r="H81" s="873"/>
      <c r="I81" s="873"/>
      <c r="AC81" s="868"/>
      <c r="AD81" s="868"/>
      <c r="AE81" s="868"/>
      <c r="AF81" s="868"/>
      <c r="AG81" s="868"/>
      <c r="AH81" s="868"/>
      <c r="AI81" s="868"/>
      <c r="AJ81" s="868"/>
      <c r="AK81" s="868"/>
      <c r="AL81" s="868"/>
      <c r="AM81" s="868"/>
      <c r="AN81" s="868"/>
      <c r="AO81" s="868"/>
      <c r="AP81" s="868"/>
      <c r="AQ81" s="868"/>
      <c r="AR81" s="868"/>
      <c r="AS81" s="868"/>
    </row>
    <row r="82" spans="1:45" s="874" customFormat="1">
      <c r="AC82" s="868"/>
      <c r="AD82" s="868"/>
      <c r="AE82" s="868"/>
      <c r="AF82" s="868"/>
      <c r="AG82" s="868"/>
      <c r="AH82" s="868"/>
      <c r="AI82" s="868"/>
      <c r="AJ82" s="868"/>
      <c r="AK82" s="868"/>
      <c r="AL82" s="868"/>
      <c r="AM82" s="868"/>
      <c r="AN82" s="868"/>
      <c r="AO82" s="868"/>
      <c r="AP82" s="868"/>
      <c r="AQ82" s="868"/>
      <c r="AR82" s="868"/>
      <c r="AS82" s="868"/>
    </row>
    <row r="83" spans="1:45" s="874" customFormat="1">
      <c r="AC83" s="868"/>
      <c r="AD83" s="868"/>
      <c r="AE83" s="868"/>
      <c r="AF83" s="868"/>
      <c r="AG83" s="868"/>
      <c r="AH83" s="868"/>
      <c r="AI83" s="868"/>
      <c r="AJ83" s="868"/>
      <c r="AK83" s="868"/>
      <c r="AL83" s="868"/>
      <c r="AM83" s="868"/>
      <c r="AN83" s="868"/>
      <c r="AO83" s="868"/>
      <c r="AP83" s="868"/>
      <c r="AQ83" s="868"/>
      <c r="AR83" s="868"/>
      <c r="AS83" s="868"/>
    </row>
    <row r="84" spans="1:45" s="874" customFormat="1">
      <c r="A84" s="565"/>
      <c r="B84" s="875"/>
      <c r="C84" s="875"/>
      <c r="D84" s="875"/>
      <c r="E84" s="875"/>
      <c r="F84" s="875"/>
      <c r="G84" s="875"/>
      <c r="H84" s="875"/>
      <c r="I84" s="875"/>
      <c r="J84" s="875"/>
      <c r="K84" s="875"/>
      <c r="AC84" s="565"/>
      <c r="AD84" s="565"/>
      <c r="AE84" s="565"/>
      <c r="AF84" s="565"/>
      <c r="AG84" s="565"/>
      <c r="AH84" s="565"/>
      <c r="AI84" s="565"/>
      <c r="AJ84" s="565"/>
      <c r="AK84" s="565"/>
      <c r="AL84" s="565"/>
      <c r="AM84" s="565"/>
      <c r="AN84" s="565"/>
      <c r="AO84" s="565"/>
      <c r="AP84" s="565"/>
      <c r="AQ84" s="565"/>
      <c r="AR84" s="565"/>
      <c r="AS84" s="565"/>
    </row>
    <row r="85" spans="1:45" s="874" customFormat="1">
      <c r="A85" s="565"/>
      <c r="B85" s="875"/>
      <c r="C85" s="875"/>
      <c r="D85" s="875"/>
      <c r="E85" s="875"/>
      <c r="F85" s="875"/>
      <c r="G85" s="875"/>
      <c r="H85" s="875"/>
      <c r="I85" s="875"/>
      <c r="J85" s="875"/>
      <c r="K85" s="875"/>
      <c r="AC85" s="565"/>
      <c r="AD85" s="565"/>
      <c r="AE85" s="565"/>
      <c r="AF85" s="565"/>
      <c r="AG85" s="565"/>
      <c r="AH85" s="565"/>
      <c r="AI85" s="565"/>
      <c r="AJ85" s="565"/>
      <c r="AK85" s="565"/>
      <c r="AL85" s="565"/>
      <c r="AM85" s="565"/>
      <c r="AN85" s="565"/>
      <c r="AO85" s="565"/>
      <c r="AP85" s="565"/>
      <c r="AQ85" s="565"/>
      <c r="AR85" s="565"/>
      <c r="AS85" s="565"/>
    </row>
    <row r="86" spans="1:45" s="128" customFormat="1">
      <c r="A86" s="124"/>
      <c r="B86" s="121"/>
      <c r="C86" s="121"/>
      <c r="D86" s="121"/>
      <c r="G86" s="125"/>
      <c r="H86" s="125"/>
      <c r="I86" s="125"/>
      <c r="J86" s="125"/>
      <c r="K86" s="125"/>
      <c r="L86" s="125"/>
      <c r="M86" s="126"/>
      <c r="N86" s="127"/>
      <c r="O86" s="125"/>
      <c r="P86" s="125"/>
      <c r="Q86" s="125"/>
      <c r="R86" s="125"/>
      <c r="S86" s="125"/>
      <c r="AC86" s="874"/>
      <c r="AD86" s="874"/>
      <c r="AE86" s="874"/>
      <c r="AF86" s="874"/>
      <c r="AG86" s="874"/>
      <c r="AH86" s="874"/>
      <c r="AI86" s="874"/>
      <c r="AJ86" s="874"/>
      <c r="AK86" s="874"/>
      <c r="AL86" s="874"/>
      <c r="AM86" s="874"/>
      <c r="AN86" s="874"/>
      <c r="AO86" s="874"/>
      <c r="AP86" s="874"/>
      <c r="AQ86" s="874"/>
      <c r="AR86" s="874"/>
      <c r="AS86" s="874"/>
    </row>
    <row r="87" spans="1:45">
      <c r="G87" s="130"/>
      <c r="H87" s="130"/>
      <c r="I87" s="130"/>
      <c r="J87" s="130"/>
      <c r="K87" s="130"/>
      <c r="L87" s="130"/>
      <c r="O87" s="130"/>
      <c r="P87" s="130"/>
      <c r="Q87" s="130"/>
      <c r="R87" s="130"/>
      <c r="S87" s="130"/>
      <c r="T87" s="131"/>
      <c r="U87" s="132"/>
      <c r="V87" s="132"/>
      <c r="W87" s="132"/>
      <c r="X87" s="132"/>
      <c r="Y87" s="132"/>
      <c r="Z87" s="132"/>
      <c r="AA87" s="132"/>
      <c r="AB87" s="132"/>
      <c r="AC87" s="874"/>
      <c r="AD87" s="874"/>
      <c r="AE87" s="874"/>
      <c r="AF87" s="874"/>
      <c r="AG87" s="874"/>
      <c r="AH87" s="874"/>
      <c r="AI87" s="874"/>
      <c r="AJ87" s="874"/>
      <c r="AK87" s="874"/>
      <c r="AL87" s="874"/>
      <c r="AM87" s="874"/>
      <c r="AN87" s="874"/>
      <c r="AO87" s="874"/>
      <c r="AP87" s="874"/>
      <c r="AQ87" s="874"/>
      <c r="AR87" s="874"/>
      <c r="AS87" s="874"/>
    </row>
    <row r="88" spans="1:45">
      <c r="T88" s="133"/>
      <c r="U88" s="132"/>
      <c r="V88" s="132"/>
      <c r="W88" s="132"/>
      <c r="X88" s="132"/>
      <c r="Y88" s="132"/>
      <c r="Z88" s="132"/>
      <c r="AA88" s="132"/>
      <c r="AB88" s="132"/>
      <c r="AC88" s="874"/>
      <c r="AD88" s="874"/>
      <c r="AE88" s="874"/>
      <c r="AF88" s="874"/>
      <c r="AG88" s="874"/>
      <c r="AH88" s="874"/>
      <c r="AI88" s="874"/>
      <c r="AJ88" s="874"/>
      <c r="AK88" s="874"/>
      <c r="AL88" s="874"/>
      <c r="AM88" s="874"/>
      <c r="AN88" s="874"/>
      <c r="AO88" s="874"/>
      <c r="AP88" s="874"/>
      <c r="AQ88" s="874"/>
      <c r="AR88" s="874"/>
      <c r="AS88" s="874"/>
    </row>
    <row r="89" spans="1:45">
      <c r="T89" s="134"/>
      <c r="U89" s="135"/>
      <c r="V89" s="135"/>
      <c r="W89" s="135"/>
      <c r="X89" s="135"/>
      <c r="Y89" s="135"/>
      <c r="Z89" s="135"/>
      <c r="AA89" s="135"/>
      <c r="AB89" s="132"/>
      <c r="AC89" s="874"/>
      <c r="AD89" s="874"/>
      <c r="AE89" s="874"/>
      <c r="AF89" s="874"/>
      <c r="AG89" s="874"/>
      <c r="AH89" s="874"/>
      <c r="AI89" s="874"/>
      <c r="AJ89" s="874"/>
      <c r="AK89" s="874"/>
      <c r="AL89" s="874"/>
      <c r="AM89" s="874"/>
      <c r="AN89" s="874"/>
      <c r="AO89" s="874"/>
      <c r="AP89" s="874"/>
      <c r="AQ89" s="874"/>
      <c r="AR89" s="874"/>
      <c r="AS89" s="874"/>
    </row>
    <row r="90" spans="1:45">
      <c r="T90" s="136"/>
      <c r="U90" s="135"/>
      <c r="V90" s="135"/>
      <c r="W90" s="135"/>
      <c r="X90" s="135"/>
      <c r="Y90" s="135"/>
      <c r="Z90" s="135"/>
      <c r="AA90" s="135"/>
      <c r="AB90" s="132"/>
      <c r="AC90" s="874"/>
      <c r="AD90" s="874"/>
      <c r="AE90" s="874"/>
      <c r="AF90" s="874"/>
      <c r="AG90" s="874"/>
      <c r="AH90" s="874"/>
      <c r="AI90" s="874"/>
      <c r="AJ90" s="874"/>
      <c r="AK90" s="874"/>
      <c r="AL90" s="874"/>
      <c r="AM90" s="874"/>
      <c r="AN90" s="874"/>
      <c r="AO90" s="874"/>
      <c r="AP90" s="874"/>
      <c r="AQ90" s="874"/>
      <c r="AR90" s="874"/>
      <c r="AS90" s="874"/>
    </row>
    <row r="91" spans="1:45">
      <c r="T91" s="137"/>
      <c r="U91" s="135"/>
      <c r="V91" s="135"/>
      <c r="W91" s="135"/>
      <c r="X91" s="135"/>
      <c r="Y91" s="135"/>
      <c r="Z91" s="135"/>
      <c r="AA91" s="135"/>
      <c r="AB91" s="132"/>
      <c r="AC91" s="874"/>
      <c r="AD91" s="874"/>
      <c r="AE91" s="874"/>
      <c r="AF91" s="874"/>
      <c r="AG91" s="874"/>
      <c r="AH91" s="874"/>
      <c r="AI91" s="874"/>
      <c r="AJ91" s="874"/>
      <c r="AK91" s="874"/>
      <c r="AL91" s="874"/>
      <c r="AM91" s="874"/>
      <c r="AN91" s="874"/>
      <c r="AO91" s="874"/>
      <c r="AP91" s="874"/>
      <c r="AQ91" s="874"/>
      <c r="AR91" s="874"/>
      <c r="AS91" s="874"/>
    </row>
    <row r="92" spans="1:45">
      <c r="T92" s="132"/>
      <c r="U92" s="135"/>
      <c r="V92" s="135"/>
      <c r="W92" s="135"/>
      <c r="X92" s="135"/>
      <c r="Y92" s="135"/>
      <c r="Z92" s="135"/>
      <c r="AA92" s="135"/>
      <c r="AB92" s="132"/>
      <c r="AC92" s="128"/>
      <c r="AD92" s="128"/>
      <c r="AE92" s="128"/>
      <c r="AF92" s="128"/>
      <c r="AG92" s="128"/>
      <c r="AH92" s="128"/>
      <c r="AI92" s="128"/>
      <c r="AJ92" s="128"/>
      <c r="AK92" s="128"/>
      <c r="AL92" s="128"/>
      <c r="AM92" s="128"/>
      <c r="AN92" s="128"/>
      <c r="AO92" s="128"/>
      <c r="AP92" s="128"/>
      <c r="AQ92" s="128"/>
      <c r="AR92" s="128"/>
      <c r="AS92" s="128"/>
    </row>
    <row r="93" spans="1:45">
      <c r="T93" s="132"/>
      <c r="U93" s="135"/>
      <c r="V93" s="135"/>
      <c r="W93" s="135"/>
      <c r="X93" s="135"/>
      <c r="Y93" s="135"/>
      <c r="Z93" s="135"/>
      <c r="AA93" s="135"/>
      <c r="AB93" s="132"/>
      <c r="AC93" s="132"/>
      <c r="AD93" s="132"/>
      <c r="AE93" s="132"/>
      <c r="AF93" s="132"/>
      <c r="AG93" s="132"/>
      <c r="AH93" s="132"/>
      <c r="AI93" s="132"/>
      <c r="AJ93" s="132"/>
      <c r="AK93" s="132"/>
    </row>
    <row r="94" spans="1:45">
      <c r="T94" s="132"/>
      <c r="U94" s="135"/>
      <c r="V94" s="135"/>
      <c r="W94" s="135"/>
      <c r="X94" s="135"/>
      <c r="Y94" s="135"/>
      <c r="Z94" s="135"/>
      <c r="AA94" s="135"/>
      <c r="AB94" s="132"/>
      <c r="AC94" s="132"/>
      <c r="AD94" s="132"/>
      <c r="AE94" s="132"/>
      <c r="AF94" s="132"/>
      <c r="AG94" s="132"/>
      <c r="AH94" s="132"/>
      <c r="AI94" s="132"/>
      <c r="AJ94" s="132"/>
      <c r="AK94" s="132"/>
    </row>
    <row r="95" spans="1:45">
      <c r="T95" s="132"/>
      <c r="U95" s="135"/>
      <c r="V95" s="135"/>
      <c r="W95" s="135"/>
      <c r="X95" s="135"/>
      <c r="Y95" s="135"/>
      <c r="Z95" s="135"/>
      <c r="AA95" s="135"/>
      <c r="AB95" s="132"/>
      <c r="AC95" s="132"/>
      <c r="AD95" s="132"/>
      <c r="AE95" s="132"/>
      <c r="AF95" s="132"/>
      <c r="AG95" s="132"/>
      <c r="AH95" s="132"/>
      <c r="AI95" s="132"/>
      <c r="AJ95" s="132"/>
      <c r="AK95" s="132"/>
    </row>
    <row r="96" spans="1:45">
      <c r="T96" s="132"/>
      <c r="U96" s="135"/>
      <c r="V96" s="135"/>
      <c r="W96" s="135"/>
      <c r="X96" s="135"/>
      <c r="Y96" s="135"/>
      <c r="Z96" s="135"/>
      <c r="AA96" s="135"/>
      <c r="AB96" s="132"/>
      <c r="AC96" s="132"/>
      <c r="AD96" s="132"/>
      <c r="AE96" s="132"/>
      <c r="AF96" s="132"/>
      <c r="AG96" s="132"/>
      <c r="AH96" s="132"/>
      <c r="AI96" s="132"/>
      <c r="AJ96" s="132"/>
      <c r="AK96" s="132"/>
    </row>
    <row r="97" spans="20:37">
      <c r="T97" s="132"/>
      <c r="U97" s="135"/>
      <c r="V97" s="135"/>
      <c r="W97" s="135"/>
      <c r="X97" s="135"/>
      <c r="Y97" s="135"/>
      <c r="Z97" s="135"/>
      <c r="AA97" s="135"/>
      <c r="AB97" s="132"/>
      <c r="AC97" s="132"/>
      <c r="AD97" s="132"/>
      <c r="AE97" s="132"/>
      <c r="AF97" s="132"/>
      <c r="AG97" s="132"/>
      <c r="AH97" s="132"/>
      <c r="AI97" s="132"/>
      <c r="AJ97" s="132"/>
      <c r="AK97" s="132"/>
    </row>
    <row r="98" spans="20:37">
      <c r="T98" s="138"/>
      <c r="U98" s="135"/>
      <c r="V98" s="135"/>
      <c r="W98" s="135"/>
      <c r="X98" s="135"/>
      <c r="Y98" s="135"/>
      <c r="Z98" s="135"/>
      <c r="AA98" s="135"/>
      <c r="AB98" s="132"/>
      <c r="AC98" s="132"/>
      <c r="AD98" s="132"/>
      <c r="AE98" s="132"/>
      <c r="AF98" s="132"/>
      <c r="AG98" s="132"/>
      <c r="AH98" s="132"/>
      <c r="AI98" s="132"/>
      <c r="AJ98" s="132"/>
      <c r="AK98" s="132"/>
    </row>
    <row r="99" spans="20:37">
      <c r="T99" s="132"/>
      <c r="U99" s="132"/>
      <c r="V99" s="132"/>
      <c r="W99" s="132"/>
      <c r="X99" s="132"/>
      <c r="Y99" s="132"/>
      <c r="Z99" s="132"/>
      <c r="AA99" s="132"/>
      <c r="AB99" s="132"/>
      <c r="AC99" s="132"/>
      <c r="AD99" s="132"/>
      <c r="AE99" s="132"/>
      <c r="AF99" s="132"/>
      <c r="AG99" s="132"/>
      <c r="AH99" s="132"/>
      <c r="AI99" s="132"/>
      <c r="AJ99" s="132"/>
      <c r="AK99" s="132"/>
    </row>
    <row r="100" spans="20:37">
      <c r="AC100" s="132"/>
      <c r="AD100" s="132"/>
      <c r="AE100" s="132"/>
      <c r="AF100" s="132"/>
      <c r="AG100" s="132"/>
      <c r="AH100" s="132"/>
      <c r="AI100" s="132"/>
      <c r="AJ100" s="132"/>
      <c r="AK100" s="132"/>
    </row>
    <row r="101" spans="20:37">
      <c r="AC101" s="132"/>
      <c r="AD101" s="132"/>
      <c r="AE101" s="132"/>
      <c r="AF101" s="132"/>
      <c r="AG101" s="132"/>
      <c r="AH101" s="132"/>
      <c r="AI101" s="132"/>
      <c r="AJ101" s="132"/>
      <c r="AK101" s="132"/>
    </row>
    <row r="102" spans="20:37">
      <c r="AC102" s="132"/>
      <c r="AD102" s="132"/>
      <c r="AE102" s="132"/>
      <c r="AF102" s="132"/>
      <c r="AG102" s="132"/>
      <c r="AH102" s="132"/>
      <c r="AI102" s="132"/>
      <c r="AJ102" s="132"/>
      <c r="AK102" s="132"/>
    </row>
    <row r="103" spans="20:37">
      <c r="T103" s="124"/>
      <c r="AC103" s="132"/>
      <c r="AD103" s="132"/>
      <c r="AE103" s="132"/>
      <c r="AF103" s="132"/>
      <c r="AG103" s="132"/>
      <c r="AH103" s="132"/>
      <c r="AI103" s="132"/>
      <c r="AJ103" s="132"/>
      <c r="AK103" s="132"/>
    </row>
    <row r="104" spans="20:37">
      <c r="AC104" s="132"/>
      <c r="AD104" s="132"/>
      <c r="AE104" s="132"/>
      <c r="AF104" s="132"/>
      <c r="AG104" s="132"/>
      <c r="AH104" s="132"/>
      <c r="AI104" s="132"/>
      <c r="AJ104" s="132"/>
      <c r="AK104" s="132"/>
    </row>
    <row r="105" spans="20:37">
      <c r="T105" s="130" t="e">
        <v>#REF!</v>
      </c>
      <c r="W105" s="130">
        <v>2017</v>
      </c>
      <c r="AC105" s="132"/>
      <c r="AD105" s="132"/>
      <c r="AE105" s="132"/>
      <c r="AF105" s="132"/>
      <c r="AG105" s="132"/>
      <c r="AH105" s="132"/>
      <c r="AI105" s="132"/>
      <c r="AJ105" s="132"/>
      <c r="AK105" s="132"/>
    </row>
    <row r="106" spans="20:37">
      <c r="T106" s="139">
        <v>0</v>
      </c>
      <c r="W106" s="139">
        <v>0</v>
      </c>
    </row>
    <row r="107" spans="20:37">
      <c r="T107" s="140">
        <v>7468573</v>
      </c>
      <c r="W107" s="140" t="e">
        <v>#REF!</v>
      </c>
    </row>
    <row r="108" spans="20:37">
      <c r="T108" s="121"/>
      <c r="W108" s="141"/>
    </row>
    <row r="109" spans="20:37">
      <c r="T109" s="142">
        <v>12337661</v>
      </c>
      <c r="W109" s="141">
        <v>18716122</v>
      </c>
    </row>
    <row r="110" spans="20:37">
      <c r="T110" s="142">
        <v>8530609</v>
      </c>
      <c r="W110" s="142">
        <v>7119934</v>
      </c>
    </row>
    <row r="111" spans="20:37">
      <c r="T111" s="142">
        <v>7468573</v>
      </c>
      <c r="W111" s="142">
        <v>10074114</v>
      </c>
    </row>
    <row r="112" spans="20:37">
      <c r="T112" s="142">
        <v>5316425</v>
      </c>
      <c r="W112" s="142">
        <v>0</v>
      </c>
    </row>
    <row r="113" spans="20:24">
      <c r="T113" s="142"/>
      <c r="W113" s="142">
        <v>2</v>
      </c>
    </row>
    <row r="114" spans="20:24" ht="13.5" thickBot="1">
      <c r="T114" s="143">
        <v>18716122</v>
      </c>
      <c r="W114" s="143">
        <v>15761944</v>
      </c>
      <c r="X114" s="141"/>
    </row>
    <row r="115" spans="20:24" ht="13.5" thickTop="1">
      <c r="T115" s="144" t="e">
        <v>#REF!</v>
      </c>
    </row>
    <row r="116" spans="20:24">
      <c r="T116" s="139">
        <v>18716122</v>
      </c>
    </row>
    <row r="401" spans="2:2">
      <c r="B401" s="121" t="s">
        <v>984</v>
      </c>
    </row>
  </sheetData>
  <mergeCells count="10">
    <mergeCell ref="A36:C36"/>
    <mergeCell ref="I7:K7"/>
    <mergeCell ref="E8:K8"/>
    <mergeCell ref="E5:G5"/>
    <mergeCell ref="M5:O5"/>
    <mergeCell ref="I5:K5"/>
    <mergeCell ref="E6:K6"/>
    <mergeCell ref="E7:G7"/>
    <mergeCell ref="A33:C33"/>
    <mergeCell ref="A34:C34"/>
  </mergeCells>
  <pageMargins left="0.54" right="0.34" top="0.49" bottom="0.24" header="0.32" footer="0.16"/>
  <pageSetup scale="74" orientation="portrait" r:id="rId1"/>
  <headerFooter alignWithMargins="0"/>
  <rowBreaks count="1" manualBreakCount="1">
    <brk id="104"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66"/>
  <sheetViews>
    <sheetView showGridLines="0" view="pageBreakPreview" topLeftCell="D1" zoomScale="85" zoomScaleSheetLayoutView="85" workbookViewId="0">
      <selection activeCell="I1" sqref="I1:XFD1048576"/>
    </sheetView>
  </sheetViews>
  <sheetFormatPr defaultColWidth="0" defaultRowHeight="12"/>
  <cols>
    <col min="1" max="1" width="5.85546875" style="1036" customWidth="1"/>
    <col min="2" max="2" width="4.140625" style="1036" customWidth="1"/>
    <col min="3" max="3" width="56.42578125" style="1036" customWidth="1"/>
    <col min="4" max="4" width="1.140625" style="1036" customWidth="1"/>
    <col min="5" max="5" width="6.42578125" style="1036" customWidth="1"/>
    <col min="6" max="6" width="14.140625" style="1036" customWidth="1"/>
    <col min="7" max="7" width="1.28515625" style="1046" customWidth="1"/>
    <col min="8" max="8" width="14.140625" style="1036" customWidth="1"/>
    <col min="9" max="9" width="9.140625" style="1036" hidden="1"/>
    <col min="10" max="10" width="12.42578125" style="1036" hidden="1"/>
    <col min="11" max="11" width="10" style="1036" hidden="1"/>
    <col min="12" max="12" width="11" style="1036" hidden="1"/>
    <col min="13" max="15" width="0" style="1036" hidden="1"/>
    <col min="16" max="16384" width="9.140625" style="1036" hidden="1"/>
  </cols>
  <sheetData>
    <row r="1" spans="1:10" ht="12.75">
      <c r="A1" s="83" t="str">
        <f>SOAL!A1</f>
        <v>PAKISTAN INCOME FUND</v>
      </c>
      <c r="B1" s="565"/>
      <c r="C1" s="565"/>
      <c r="D1" s="565"/>
      <c r="E1" s="565"/>
      <c r="F1" s="763"/>
      <c r="G1" s="765"/>
      <c r="H1" s="763"/>
    </row>
    <row r="2" spans="1:10" ht="12.75">
      <c r="A2" s="565" t="s">
        <v>1817</v>
      </c>
      <c r="B2" s="763"/>
      <c r="C2" s="565"/>
      <c r="D2" s="565"/>
      <c r="E2" s="565"/>
      <c r="F2" s="763"/>
      <c r="G2" s="765"/>
      <c r="H2" s="763"/>
    </row>
    <row r="3" spans="1:10" ht="12.75">
      <c r="A3" s="565" t="s">
        <v>1954</v>
      </c>
      <c r="B3" s="763"/>
      <c r="C3" s="565"/>
      <c r="D3" s="565"/>
      <c r="E3" s="565"/>
      <c r="F3" s="763"/>
      <c r="G3" s="765"/>
      <c r="H3" s="763"/>
    </row>
    <row r="4" spans="1:10" ht="12.75">
      <c r="A4" s="91"/>
      <c r="B4" s="763"/>
      <c r="C4" s="565"/>
      <c r="D4" s="565"/>
      <c r="E4" s="565"/>
      <c r="F4" s="763"/>
      <c r="G4" s="765"/>
      <c r="H4" s="763"/>
    </row>
    <row r="5" spans="1:10" ht="12.75">
      <c r="A5" s="145"/>
      <c r="B5" s="763"/>
      <c r="C5" s="565"/>
      <c r="D5" s="565"/>
      <c r="E5" s="565"/>
      <c r="F5" s="752" t="s">
        <v>1766</v>
      </c>
      <c r="G5" s="89"/>
      <c r="H5" s="752" t="s">
        <v>1809</v>
      </c>
    </row>
    <row r="6" spans="1:10" ht="12" customHeight="1">
      <c r="A6" s="565"/>
      <c r="B6" s="565"/>
      <c r="C6" s="565"/>
      <c r="D6" s="565"/>
      <c r="F6" s="93" t="str">
        <f>SOAL!F6</f>
        <v>2021</v>
      </c>
      <c r="G6" s="10"/>
      <c r="H6" s="93" t="s">
        <v>1535</v>
      </c>
    </row>
    <row r="7" spans="1:10" ht="12.75">
      <c r="A7" s="763"/>
      <c r="B7" s="763"/>
      <c r="C7" s="763"/>
      <c r="D7" s="763"/>
      <c r="E7" s="1228"/>
      <c r="F7" s="1903" t="s">
        <v>1310</v>
      </c>
      <c r="G7" s="1911"/>
      <c r="H7" s="1911"/>
    </row>
    <row r="8" spans="1:10" ht="12.75">
      <c r="A8" s="565" t="s">
        <v>985</v>
      </c>
      <c r="B8" s="763"/>
      <c r="C8" s="763"/>
      <c r="D8" s="763"/>
      <c r="E8" s="763"/>
      <c r="F8" s="146"/>
      <c r="G8" s="146"/>
      <c r="H8" s="146"/>
      <c r="J8" s="1217"/>
    </row>
    <row r="9" spans="1:10" ht="12.75">
      <c r="A9" s="763"/>
      <c r="B9" s="763"/>
      <c r="C9" s="763"/>
      <c r="D9" s="763"/>
      <c r="E9" s="763"/>
      <c r="F9" s="146"/>
      <c r="G9" s="146"/>
      <c r="H9" s="146"/>
    </row>
    <row r="10" spans="1:10" ht="12.75">
      <c r="A10" s="763" t="str">
        <f>IS!A50</f>
        <v>Net income for the period before taxation</v>
      </c>
      <c r="B10" s="763"/>
      <c r="C10" s="763"/>
      <c r="D10" s="763"/>
      <c r="E10" s="763"/>
      <c r="F10" s="147">
        <v>212115.13446000006</v>
      </c>
      <c r="G10" s="146"/>
      <c r="H10" s="146">
        <v>39504.939010000002</v>
      </c>
      <c r="J10" s="1217"/>
    </row>
    <row r="11" spans="1:10" ht="12.75">
      <c r="A11" s="148" t="s">
        <v>986</v>
      </c>
      <c r="B11" s="763"/>
      <c r="C11" s="763"/>
      <c r="D11" s="763"/>
      <c r="E11" s="763"/>
      <c r="F11" s="147"/>
      <c r="G11" s="146"/>
      <c r="H11" s="146"/>
    </row>
    <row r="12" spans="1:10" ht="12.75">
      <c r="A12" s="763" t="s">
        <v>987</v>
      </c>
      <c r="B12" s="763"/>
      <c r="C12" s="763"/>
      <c r="D12" s="763"/>
      <c r="E12" s="763"/>
      <c r="F12" s="147"/>
      <c r="G12" s="146"/>
      <c r="H12" s="146"/>
    </row>
    <row r="13" spans="1:10" ht="12.75">
      <c r="A13" s="771" t="s">
        <v>939</v>
      </c>
      <c r="B13" s="763"/>
      <c r="C13" s="763"/>
      <c r="D13" s="763"/>
      <c r="E13" s="763"/>
      <c r="F13" s="147">
        <v>99283.107529999994</v>
      </c>
      <c r="G13" s="146"/>
      <c r="H13" s="146">
        <v>2139</v>
      </c>
    </row>
    <row r="14" spans="1:10" ht="10.5" hidden="1" customHeight="1">
      <c r="A14" s="1037" t="s">
        <v>941</v>
      </c>
      <c r="B14" s="763"/>
      <c r="C14" s="763"/>
      <c r="D14" s="763"/>
      <c r="E14" s="763"/>
      <c r="F14" s="147" t="e">
        <v>#REF!</v>
      </c>
      <c r="G14" s="146"/>
      <c r="H14" s="146" t="e">
        <v>#REF!</v>
      </c>
    </row>
    <row r="15" spans="1:10" ht="12.75">
      <c r="A15" s="1037"/>
      <c r="B15" s="763"/>
      <c r="C15" s="763"/>
      <c r="D15" s="763"/>
      <c r="E15" s="763"/>
      <c r="F15" s="147"/>
      <c r="G15" s="146"/>
      <c r="H15" s="146"/>
    </row>
    <row r="16" spans="1:10" ht="12.75" hidden="1">
      <c r="A16" s="763" t="s">
        <v>952</v>
      </c>
      <c r="B16" s="763"/>
      <c r="C16" s="763"/>
      <c r="D16" s="763"/>
      <c r="E16" s="763"/>
      <c r="F16" s="147">
        <v>0</v>
      </c>
      <c r="G16" s="146"/>
      <c r="H16" s="146">
        <v>0</v>
      </c>
    </row>
    <row r="17" spans="1:13" ht="12.75" hidden="1">
      <c r="A17" s="763" t="s">
        <v>957</v>
      </c>
      <c r="B17" s="763"/>
      <c r="C17" s="763"/>
      <c r="D17" s="763"/>
      <c r="E17" s="763"/>
      <c r="F17" s="147"/>
      <c r="G17" s="146"/>
      <c r="H17" s="146"/>
    </row>
    <row r="18" spans="1:13" ht="12.75" hidden="1">
      <c r="A18" s="771" t="s">
        <v>958</v>
      </c>
      <c r="B18" s="763"/>
      <c r="C18" s="763"/>
      <c r="D18" s="763"/>
      <c r="E18" s="763"/>
      <c r="F18" s="147"/>
      <c r="G18" s="146"/>
      <c r="H18" s="146"/>
    </row>
    <row r="19" spans="1:13" ht="12.75" hidden="1">
      <c r="A19" s="771" t="s">
        <v>959</v>
      </c>
      <c r="B19" s="763"/>
      <c r="C19" s="763"/>
      <c r="D19" s="763"/>
      <c r="E19" s="763"/>
      <c r="F19" s="147">
        <v>0</v>
      </c>
      <c r="G19" s="146"/>
      <c r="H19" s="146">
        <v>0</v>
      </c>
    </row>
    <row r="20" spans="1:13" ht="12.75" hidden="1">
      <c r="A20" s="771" t="s">
        <v>960</v>
      </c>
      <c r="B20" s="763"/>
      <c r="C20" s="763"/>
      <c r="D20" s="763"/>
      <c r="E20" s="763"/>
      <c r="F20" s="147">
        <v>0</v>
      </c>
      <c r="G20" s="146"/>
      <c r="H20" s="146">
        <v>0</v>
      </c>
    </row>
    <row r="21" spans="1:13" ht="12.75">
      <c r="A21" s="763"/>
      <c r="B21" s="763"/>
      <c r="C21" s="763"/>
      <c r="D21" s="763"/>
      <c r="E21" s="763"/>
      <c r="F21" s="149">
        <v>311398.24199000007</v>
      </c>
      <c r="G21" s="146"/>
      <c r="H21" s="1351">
        <v>41643.939010000002</v>
      </c>
    </row>
    <row r="22" spans="1:13" ht="12.75">
      <c r="A22" s="565" t="s">
        <v>1692</v>
      </c>
      <c r="B22" s="763"/>
      <c r="C22" s="763"/>
      <c r="D22" s="763"/>
      <c r="E22" s="763"/>
      <c r="F22" s="147"/>
      <c r="G22" s="146"/>
      <c r="H22" s="146"/>
    </row>
    <row r="23" spans="1:13" ht="12.75">
      <c r="A23" s="22" t="s">
        <v>915</v>
      </c>
      <c r="B23" s="763"/>
      <c r="C23" s="763"/>
      <c r="D23" s="763"/>
      <c r="E23" s="763"/>
      <c r="F23" s="150">
        <v>1692025.5834303263</v>
      </c>
      <c r="G23" s="146"/>
      <c r="H23" s="1352">
        <v>-942</v>
      </c>
      <c r="L23" s="1038">
        <f>-SOAL!I12</f>
        <v>-1791308.6909603262</v>
      </c>
    </row>
    <row r="24" spans="1:13" ht="12.75">
      <c r="A24" s="22" t="s">
        <v>916</v>
      </c>
      <c r="B24" s="763"/>
      <c r="C24" s="763"/>
      <c r="D24" s="763"/>
      <c r="E24" s="763"/>
      <c r="F24" s="151">
        <v>49778.645310000007</v>
      </c>
      <c r="G24" s="146"/>
      <c r="H24" s="1353">
        <v>-32367</v>
      </c>
      <c r="L24" s="1038">
        <f>+IS!F15</f>
        <v>-99283.107529999994</v>
      </c>
    </row>
    <row r="25" spans="1:13" ht="12.75">
      <c r="A25" s="22" t="s">
        <v>1881</v>
      </c>
      <c r="B25" s="763"/>
      <c r="C25" s="763"/>
      <c r="D25" s="763"/>
      <c r="E25" s="763"/>
      <c r="F25" s="151">
        <v>-88188.87</v>
      </c>
      <c r="G25" s="146"/>
      <c r="H25" s="1353">
        <v>-31506</v>
      </c>
      <c r="L25" s="1038"/>
    </row>
    <row r="26" spans="1:13" ht="12.75">
      <c r="A26" s="22" t="s">
        <v>1882</v>
      </c>
      <c r="B26" s="763"/>
      <c r="C26" s="763"/>
      <c r="D26" s="763"/>
      <c r="E26" s="763"/>
      <c r="F26" s="151">
        <v>-19311.25</v>
      </c>
      <c r="G26" s="146"/>
      <c r="H26" s="1353">
        <v>-1395</v>
      </c>
      <c r="L26" s="1038"/>
    </row>
    <row r="27" spans="1:13" ht="12.75">
      <c r="A27" s="29" t="s">
        <v>917</v>
      </c>
      <c r="B27" s="763"/>
      <c r="C27" s="763"/>
      <c r="D27" s="763"/>
      <c r="E27" s="763"/>
      <c r="F27" s="151">
        <v>11596.63637</v>
      </c>
      <c r="G27" s="146"/>
      <c r="H27" s="1353">
        <v>13130</v>
      </c>
      <c r="L27" s="1038"/>
    </row>
    <row r="28" spans="1:13" ht="12.75">
      <c r="A28" s="1039" t="s">
        <v>919</v>
      </c>
      <c r="B28" s="763"/>
      <c r="C28" s="763"/>
      <c r="D28" s="763"/>
      <c r="E28" s="763"/>
      <c r="F28" s="152">
        <v>-489447.22203999967</v>
      </c>
      <c r="G28" s="146"/>
      <c r="H28" s="1354">
        <v>-116617</v>
      </c>
      <c r="L28" s="1038">
        <f>-IS!F35</f>
        <v>0</v>
      </c>
    </row>
    <row r="29" spans="1:13" ht="12.75">
      <c r="A29" s="763"/>
      <c r="B29" s="763"/>
      <c r="C29" s="763"/>
      <c r="D29" s="763"/>
      <c r="E29" s="763"/>
      <c r="F29" s="147">
        <v>1156453.5230703268</v>
      </c>
      <c r="G29" s="146"/>
      <c r="H29" s="146">
        <v>-169697</v>
      </c>
      <c r="I29" s="1036">
        <v>240730</v>
      </c>
      <c r="L29" s="1038">
        <f>SOCI!F14</f>
        <v>0</v>
      </c>
    </row>
    <row r="30" spans="1:13" ht="12.75">
      <c r="A30" s="565" t="s">
        <v>988</v>
      </c>
      <c r="B30" s="763"/>
      <c r="C30" s="763"/>
      <c r="D30" s="763"/>
      <c r="E30" s="763"/>
      <c r="F30" s="147"/>
      <c r="G30" s="146"/>
      <c r="H30" s="146"/>
      <c r="L30" s="1040">
        <f>SUM(L23:L29)</f>
        <v>-1890591.7984903262</v>
      </c>
    </row>
    <row r="31" spans="1:13" ht="12.75">
      <c r="A31" s="1039"/>
      <c r="B31" s="763"/>
      <c r="C31" s="763"/>
      <c r="D31" s="763"/>
      <c r="E31" s="763"/>
      <c r="F31" s="147"/>
      <c r="G31" s="146"/>
      <c r="H31" s="146"/>
    </row>
    <row r="32" spans="1:13" ht="12.75">
      <c r="A32" s="1039" t="s">
        <v>1420</v>
      </c>
      <c r="B32" s="763"/>
      <c r="C32" s="763"/>
      <c r="D32" s="763"/>
      <c r="E32" s="763"/>
      <c r="F32" s="150">
        <v>4660.3363700000009</v>
      </c>
      <c r="G32" s="146"/>
      <c r="H32" s="1352">
        <v>4182</v>
      </c>
      <c r="M32" s="1041" t="s">
        <v>989</v>
      </c>
    </row>
    <row r="33" spans="1:13" ht="12.75">
      <c r="A33" s="1039" t="s">
        <v>1421</v>
      </c>
      <c r="B33" s="763"/>
      <c r="C33" s="763"/>
      <c r="D33" s="763"/>
      <c r="E33" s="763"/>
      <c r="F33" s="151">
        <v>-33.360270000000014</v>
      </c>
      <c r="G33" s="146"/>
      <c r="H33" s="1353">
        <v>-8</v>
      </c>
      <c r="J33" s="1036">
        <f>SOAL!F12-SOAL!H12</f>
        <v>-1791308.6909603262</v>
      </c>
      <c r="M33" s="1036">
        <f>-SOAL!I12</f>
        <v>-1791308.6909603262</v>
      </c>
    </row>
    <row r="34" spans="1:13" ht="12.75">
      <c r="A34" s="1039" t="s">
        <v>928</v>
      </c>
      <c r="B34" s="763"/>
      <c r="C34" s="763"/>
      <c r="D34" s="763"/>
      <c r="E34" s="763"/>
      <c r="F34" s="151">
        <v>-542.19799999999998</v>
      </c>
      <c r="G34" s="146"/>
      <c r="H34" s="1353">
        <v>-230</v>
      </c>
      <c r="J34" s="1036">
        <f>-IS!F15</f>
        <v>99283.107529999994</v>
      </c>
      <c r="M34" s="1036">
        <f>+IS!F15</f>
        <v>-99283.107529999994</v>
      </c>
    </row>
    <row r="35" spans="1:13" ht="12.75">
      <c r="A35" s="1039" t="str">
        <f>+SOAL!A27</f>
        <v>Payable against purchase of investment</v>
      </c>
      <c r="B35" s="763"/>
      <c r="C35" s="763"/>
      <c r="D35" s="763"/>
      <c r="E35" s="763"/>
      <c r="F35" s="151">
        <v>214100.80465999991</v>
      </c>
      <c r="G35" s="146"/>
      <c r="H35" s="1353"/>
    </row>
    <row r="36" spans="1:13" ht="12.75">
      <c r="A36" s="1039" t="s">
        <v>930</v>
      </c>
      <c r="B36" s="763"/>
      <c r="C36" s="763"/>
      <c r="D36" s="763"/>
      <c r="E36" s="763"/>
      <c r="F36" s="152">
        <v>-13713.338860000003</v>
      </c>
      <c r="G36" s="146"/>
      <c r="H36" s="1354">
        <v>1356</v>
      </c>
      <c r="J36" s="1036">
        <v>0</v>
      </c>
      <c r="M36" s="1036">
        <f>IS!F35</f>
        <v>0</v>
      </c>
    </row>
    <row r="37" spans="1:13" ht="12.75">
      <c r="A37" s="763"/>
      <c r="B37" s="763"/>
      <c r="C37" s="763"/>
      <c r="D37" s="763"/>
      <c r="E37" s="763"/>
      <c r="F37" s="147">
        <v>204472.24389999988</v>
      </c>
      <c r="G37" s="146"/>
      <c r="H37" s="146">
        <v>5300</v>
      </c>
      <c r="J37" s="1036">
        <f>-SOCI!F14</f>
        <v>0</v>
      </c>
      <c r="M37" s="1036">
        <f>SOCI!F14</f>
        <v>0</v>
      </c>
    </row>
    <row r="38" spans="1:13" ht="12.75">
      <c r="A38" s="763"/>
      <c r="B38" s="763"/>
      <c r="C38" s="763"/>
      <c r="D38" s="763"/>
      <c r="E38" s="763"/>
      <c r="F38" s="147"/>
      <c r="G38" s="146"/>
      <c r="H38" s="146"/>
      <c r="J38" s="1036">
        <f>SUM(J33:J37)</f>
        <v>-1692025.5834303263</v>
      </c>
    </row>
    <row r="39" spans="1:13" ht="12.75">
      <c r="A39" s="153" t="s">
        <v>2093</v>
      </c>
      <c r="B39" s="763"/>
      <c r="C39" s="763"/>
      <c r="D39" s="763"/>
      <c r="E39" s="763"/>
      <c r="F39" s="149">
        <v>1672324.0089603267</v>
      </c>
      <c r="G39" s="146"/>
      <c r="H39" s="1351">
        <v>-122753.06099</v>
      </c>
    </row>
    <row r="40" spans="1:13" ht="12.75">
      <c r="A40" s="763"/>
      <c r="B40" s="763"/>
      <c r="C40" s="763"/>
      <c r="D40" s="763"/>
      <c r="E40" s="763"/>
      <c r="F40" s="147"/>
      <c r="G40" s="146"/>
      <c r="H40" s="146"/>
    </row>
    <row r="41" spans="1:13" ht="12.75">
      <c r="A41" s="565" t="s">
        <v>990</v>
      </c>
      <c r="B41" s="763"/>
      <c r="C41" s="763"/>
      <c r="D41" s="763"/>
      <c r="E41" s="763"/>
      <c r="F41" s="147"/>
      <c r="G41" s="146"/>
      <c r="H41" s="146"/>
    </row>
    <row r="42" spans="1:13" ht="12.75">
      <c r="A42" s="565"/>
      <c r="B42" s="763"/>
      <c r="C42" s="763"/>
      <c r="D42" s="763"/>
      <c r="E42" s="763"/>
      <c r="F42" s="147"/>
      <c r="G42" s="146"/>
      <c r="H42" s="146"/>
    </row>
    <row r="43" spans="1:13" ht="12.75">
      <c r="A43" s="763" t="s">
        <v>991</v>
      </c>
      <c r="B43" s="763"/>
      <c r="C43" s="763"/>
      <c r="D43" s="763"/>
      <c r="E43" s="763"/>
      <c r="F43" s="150">
        <v>4927415</v>
      </c>
      <c r="G43" s="146"/>
      <c r="H43" s="1352">
        <v>874786</v>
      </c>
    </row>
    <row r="44" spans="1:13" ht="12.75">
      <c r="A44" s="763" t="s">
        <v>992</v>
      </c>
      <c r="B44" s="763"/>
      <c r="C44" s="763"/>
      <c r="D44" s="763"/>
      <c r="E44" s="763"/>
      <c r="F44" s="151">
        <v>-6371200</v>
      </c>
      <c r="G44" s="146"/>
      <c r="H44" s="1353">
        <v>-794342</v>
      </c>
    </row>
    <row r="45" spans="1:13" ht="12.75">
      <c r="A45" s="763" t="s">
        <v>993</v>
      </c>
      <c r="B45" s="763"/>
      <c r="C45" s="763"/>
      <c r="D45" s="763"/>
      <c r="E45" s="763"/>
      <c r="F45" s="152">
        <v>0</v>
      </c>
      <c r="G45" s="146"/>
      <c r="H45" s="1354">
        <v>0</v>
      </c>
      <c r="M45" s="1040"/>
    </row>
    <row r="46" spans="1:13" ht="12.75">
      <c r="A46" s="153" t="s">
        <v>2094</v>
      </c>
      <c r="B46" s="763"/>
      <c r="C46" s="763"/>
      <c r="D46" s="763"/>
      <c r="E46" s="763"/>
      <c r="F46" s="147">
        <v>-1443785</v>
      </c>
      <c r="G46" s="146"/>
      <c r="H46" s="146">
        <v>80444</v>
      </c>
      <c r="J46" s="1036">
        <f>2.5511*26964052.2439</f>
        <v>68787993.679413289</v>
      </c>
      <c r="K46" s="1036">
        <f>J46/1000</f>
        <v>68787.993679413295</v>
      </c>
    </row>
    <row r="47" spans="1:13" ht="12.75">
      <c r="A47" s="763"/>
      <c r="B47" s="763"/>
      <c r="C47" s="763"/>
      <c r="D47" s="763"/>
      <c r="E47" s="763"/>
      <c r="F47" s="147"/>
      <c r="G47" s="146"/>
      <c r="H47" s="146"/>
      <c r="I47" s="1042">
        <f>F52-SOAL!F11</f>
        <v>0.32928999979048967</v>
      </c>
      <c r="J47" s="1043"/>
      <c r="K47" s="1043"/>
      <c r="L47" s="1043"/>
    </row>
    <row r="48" spans="1:13" ht="12.75">
      <c r="A48" s="565" t="s">
        <v>1964</v>
      </c>
      <c r="B48" s="763"/>
      <c r="C48" s="763"/>
      <c r="D48" s="763"/>
      <c r="E48" s="763"/>
      <c r="F48" s="149">
        <v>228539.00896032667</v>
      </c>
      <c r="G48" s="146"/>
      <c r="H48" s="1351">
        <v>-42309.060989999998</v>
      </c>
      <c r="J48" s="1038" t="e">
        <f>'5.2 - 25'!#REF!</f>
        <v>#REF!</v>
      </c>
      <c r="L48" s="1045" t="e">
        <f>F52-J48</f>
        <v>#REF!</v>
      </c>
    </row>
    <row r="49" spans="1:15" ht="12.75">
      <c r="A49" s="565"/>
      <c r="B49" s="763"/>
      <c r="C49" s="763"/>
      <c r="D49" s="763"/>
      <c r="E49" s="763"/>
      <c r="F49" s="990"/>
      <c r="G49" s="146"/>
      <c r="H49" s="1355"/>
    </row>
    <row r="50" spans="1:15" ht="12.75">
      <c r="A50" s="71" t="s">
        <v>1965</v>
      </c>
      <c r="B50" s="763"/>
      <c r="C50" s="763"/>
      <c r="D50" s="763"/>
      <c r="E50" s="763"/>
      <c r="F50" s="147">
        <v>4557894</v>
      </c>
      <c r="G50" s="146"/>
      <c r="H50" s="146">
        <v>970246</v>
      </c>
    </row>
    <row r="51" spans="1:15" ht="12.75">
      <c r="A51" s="763"/>
      <c r="B51" s="763"/>
      <c r="C51" s="763"/>
      <c r="D51" s="763"/>
      <c r="E51" s="763"/>
      <c r="F51" s="147"/>
      <c r="G51" s="146"/>
      <c r="H51" s="146"/>
    </row>
    <row r="52" spans="1:15" s="1043" customFormat="1" ht="21" customHeight="1" thickBot="1">
      <c r="A52" s="154" t="s">
        <v>1966</v>
      </c>
      <c r="B52" s="1002"/>
      <c r="C52" s="1002"/>
      <c r="D52" s="1002"/>
      <c r="E52" s="1006"/>
      <c r="F52" s="155">
        <v>4786433</v>
      </c>
      <c r="G52" s="156"/>
      <c r="H52" s="1343">
        <v>927936.93900999997</v>
      </c>
      <c r="I52" s="1043">
        <f>SOAL!F11</f>
        <v>4786432.6707100002</v>
      </c>
      <c r="K52" s="1114" t="s">
        <v>1642</v>
      </c>
      <c r="N52" s="1114" t="s">
        <v>1643</v>
      </c>
    </row>
    <row r="53" spans="1:15" ht="13.5" thickTop="1">
      <c r="A53" s="763"/>
      <c r="B53" s="763"/>
      <c r="C53" s="763"/>
      <c r="D53" s="763"/>
      <c r="E53" s="763"/>
      <c r="F53" s="1044"/>
      <c r="G53" s="765"/>
      <c r="H53" s="763"/>
      <c r="I53" s="1040">
        <f>+F52-I52</f>
        <v>0.32928999979048967</v>
      </c>
    </row>
    <row r="54" spans="1:15" ht="12.75">
      <c r="A54" s="763" t="str">
        <f>'UHF New'!A72</f>
        <v>The annexed notes 1 to 17 form an integral part of these financial statements.</v>
      </c>
      <c r="B54" s="763"/>
      <c r="C54" s="763"/>
      <c r="D54" s="763"/>
      <c r="E54" s="763"/>
      <c r="F54" s="776"/>
      <c r="G54" s="765"/>
      <c r="H54" s="763"/>
    </row>
    <row r="55" spans="1:15" ht="12.75" thickBot="1">
      <c r="F55" s="1038"/>
      <c r="J55" s="1112" t="s">
        <v>1641</v>
      </c>
      <c r="K55" s="1113">
        <f>F52-SOAL!F11</f>
        <v>0.32928999979048967</v>
      </c>
      <c r="L55" s="1115" t="str">
        <f>IF(K55=0,"Balanced","Not Balanced")</f>
        <v>Not Balanced</v>
      </c>
      <c r="N55" s="1113">
        <f>H52-SOAL!H11</f>
        <v>-3629957.0609900001</v>
      </c>
      <c r="O55" s="1115" t="str">
        <f>IF(N55=0,"Balanced","Not Balanced")</f>
        <v>Not Balanced</v>
      </c>
    </row>
    <row r="56" spans="1:15" ht="12.75" thickTop="1">
      <c r="A56" s="76"/>
      <c r="B56" s="76"/>
      <c r="C56" s="76"/>
      <c r="D56" s="76"/>
      <c r="E56" s="76"/>
      <c r="F56" s="77"/>
      <c r="G56" s="76"/>
      <c r="H56" s="76"/>
    </row>
    <row r="57" spans="1:15">
      <c r="A57" s="1047"/>
      <c r="B57" s="78"/>
      <c r="C57" s="78"/>
      <c r="D57" s="78"/>
      <c r="E57" s="78"/>
      <c r="F57" s="78"/>
      <c r="G57" s="78"/>
      <c r="H57" s="78"/>
    </row>
    <row r="58" spans="1:15" s="1047" customFormat="1">
      <c r="B58" s="78"/>
      <c r="C58" s="78"/>
      <c r="D58" s="78"/>
      <c r="E58" s="78"/>
      <c r="F58" s="78"/>
      <c r="G58" s="78"/>
      <c r="H58" s="78"/>
    </row>
    <row r="59" spans="1:15" s="1047" customFormat="1">
      <c r="A59" s="79"/>
      <c r="B59" s="79"/>
      <c r="C59" s="79"/>
      <c r="D59" s="79"/>
      <c r="E59" s="79"/>
      <c r="F59" s="80"/>
      <c r="G59" s="79"/>
      <c r="H59" s="79"/>
    </row>
    <row r="60" spans="1:15" s="1047" customFormat="1">
      <c r="A60" s="79"/>
      <c r="B60" s="79"/>
      <c r="C60" s="79"/>
      <c r="D60" s="79"/>
      <c r="E60" s="79"/>
      <c r="F60" s="80"/>
      <c r="G60" s="79"/>
      <c r="H60" s="79"/>
    </row>
    <row r="61" spans="1:15" s="1047" customFormat="1">
      <c r="A61" s="79"/>
      <c r="B61" s="79"/>
      <c r="C61" s="79"/>
      <c r="D61" s="79"/>
      <c r="E61" s="79"/>
      <c r="F61" s="80"/>
      <c r="G61" s="79"/>
      <c r="H61" s="79"/>
    </row>
    <row r="62" spans="1:15" s="1047" customFormat="1">
      <c r="A62" s="79"/>
      <c r="B62" s="79"/>
      <c r="C62" s="79"/>
      <c r="D62" s="79"/>
      <c r="E62" s="79"/>
      <c r="F62" s="80"/>
      <c r="G62" s="79"/>
      <c r="H62" s="79"/>
    </row>
    <row r="63" spans="1:15" s="1047" customFormat="1">
      <c r="B63" s="79"/>
      <c r="C63" s="79"/>
      <c r="D63" s="79"/>
      <c r="E63" s="79"/>
      <c r="F63" s="80"/>
      <c r="G63" s="79"/>
      <c r="H63" s="79"/>
    </row>
    <row r="64" spans="1:15" s="1047" customFormat="1">
      <c r="B64" s="81"/>
      <c r="C64" s="82"/>
      <c r="D64" s="20"/>
      <c r="E64" s="20"/>
      <c r="F64" s="82"/>
      <c r="G64" s="82"/>
      <c r="H64" s="20"/>
    </row>
    <row r="65" spans="1:8" s="20" customFormat="1">
      <c r="A65" s="1047"/>
      <c r="B65" s="1047"/>
      <c r="C65" s="1047"/>
      <c r="D65" s="1047"/>
      <c r="E65" s="1047"/>
      <c r="F65" s="1047"/>
      <c r="G65" s="1048"/>
      <c r="H65" s="1047"/>
    </row>
    <row r="66" spans="1:8" s="1047" customFormat="1">
      <c r="A66" s="1036"/>
      <c r="B66" s="1036"/>
      <c r="C66" s="1036"/>
      <c r="D66" s="1036"/>
      <c r="E66" s="1036"/>
      <c r="F66" s="1036"/>
      <c r="G66" s="1046"/>
      <c r="H66" s="1036"/>
    </row>
  </sheetData>
  <mergeCells count="1">
    <mergeCell ref="F7:H7"/>
  </mergeCells>
  <pageMargins left="0.65" right="0.5" top="0.75" bottom="0.4" header="0.5" footer="0.5"/>
  <pageSetup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X276"/>
  <sheetViews>
    <sheetView showGridLines="0" view="pageBreakPreview" topLeftCell="D121" zoomScaleSheetLayoutView="100" workbookViewId="0">
      <selection activeCell="J121" sqref="J1:XFD1048576"/>
    </sheetView>
  </sheetViews>
  <sheetFormatPr defaultColWidth="0" defaultRowHeight="12.75"/>
  <cols>
    <col min="1" max="1" width="6.42578125" style="162" customWidth="1"/>
    <col min="2" max="2" width="4.7109375" style="1719" customWidth="1"/>
    <col min="3" max="3" width="27.140625" style="1719" customWidth="1"/>
    <col min="4" max="6" width="13.28515625" style="1719" customWidth="1"/>
    <col min="7" max="7" width="13.28515625" style="159" customWidth="1"/>
    <col min="8" max="8" width="0.85546875" style="1719" customWidth="1"/>
    <col min="9" max="9" width="12.7109375" style="159" customWidth="1"/>
    <col min="10" max="10" width="10" style="159" hidden="1"/>
    <col min="11" max="11" width="27.140625" style="1719" hidden="1"/>
    <col min="12" max="12" width="14.85546875" style="198" hidden="1"/>
    <col min="13" max="13" width="20.5703125" style="159" hidden="1"/>
    <col min="14" max="15" width="10.28515625" style="1719" hidden="1"/>
    <col min="16" max="16" width="10.42578125" style="1719" hidden="1"/>
    <col min="17" max="19" width="10.28515625" style="1719" hidden="1"/>
    <col min="20" max="20" width="10.140625" style="1719" hidden="1"/>
    <col min="21" max="21" width="15.140625" style="1719" hidden="1"/>
    <col min="22" max="22" width="10.28515625" style="1719" hidden="1"/>
    <col min="23" max="24" width="0" style="1719" hidden="1"/>
    <col min="25" max="16384" width="10.140625" style="1719" hidden="1"/>
  </cols>
  <sheetData>
    <row r="1" spans="1:17" ht="13.7" customHeight="1">
      <c r="A1" s="83" t="str">
        <f>SOAL!A1</f>
        <v>PAKISTAN INCOME FUND</v>
      </c>
      <c r="B1" s="157"/>
      <c r="C1" s="157"/>
      <c r="D1" s="157"/>
    </row>
    <row r="2" spans="1:17" ht="13.7" customHeight="1">
      <c r="A2" s="161" t="s">
        <v>994</v>
      </c>
      <c r="B2" s="157"/>
      <c r="C2" s="157"/>
      <c r="D2" s="157"/>
    </row>
    <row r="3" spans="1:17" ht="13.7" customHeight="1">
      <c r="A3" s="91" t="str">
        <f>IS!A3</f>
        <v>FOR THE QUARTER ENDED SEPTEMBER 30, 2021</v>
      </c>
      <c r="B3" s="157"/>
      <c r="C3" s="157"/>
      <c r="D3" s="157"/>
    </row>
    <row r="4" spans="1:17" ht="13.7" customHeight="1">
      <c r="B4" s="157"/>
      <c r="C4" s="157"/>
    </row>
    <row r="5" spans="1:17" ht="13.7" customHeight="1">
      <c r="B5" s="157"/>
      <c r="C5" s="157"/>
    </row>
    <row r="6" spans="1:17" ht="12.95" customHeight="1">
      <c r="A6" s="163" t="s">
        <v>995</v>
      </c>
      <c r="B6" s="157" t="s">
        <v>996</v>
      </c>
      <c r="C6" s="157"/>
      <c r="D6" s="157"/>
    </row>
    <row r="7" spans="1:17" ht="12.95" customHeight="1"/>
    <row r="8" spans="1:17" ht="12.95" customHeight="1">
      <c r="A8" s="163" t="s">
        <v>1690</v>
      </c>
      <c r="B8" s="1930" t="s">
        <v>997</v>
      </c>
      <c r="C8" s="1930"/>
      <c r="D8" s="1930"/>
      <c r="E8" s="1930"/>
      <c r="F8" s="1930"/>
      <c r="G8" s="1930"/>
      <c r="H8" s="1930"/>
      <c r="I8" s="1930"/>
      <c r="J8" s="1718"/>
      <c r="K8" s="1723"/>
      <c r="L8" s="1723"/>
      <c r="M8" s="1723"/>
      <c r="N8" s="1723"/>
      <c r="O8" s="1723"/>
      <c r="P8" s="1723"/>
      <c r="Q8" s="1723"/>
    </row>
    <row r="9" spans="1:17" ht="12.95" customHeight="1">
      <c r="B9" s="1930"/>
      <c r="C9" s="1930"/>
      <c r="D9" s="1930"/>
      <c r="E9" s="1930"/>
      <c r="F9" s="1930"/>
      <c r="G9" s="1930"/>
      <c r="H9" s="1930"/>
      <c r="I9" s="1930"/>
      <c r="J9" s="1718"/>
      <c r="K9" s="1723"/>
      <c r="L9" s="1723"/>
      <c r="M9" s="1723"/>
      <c r="N9" s="1723"/>
      <c r="O9" s="1723"/>
      <c r="P9" s="1723"/>
      <c r="Q9" s="1723"/>
    </row>
    <row r="10" spans="1:17" ht="12.95" customHeight="1">
      <c r="B10" s="1930"/>
      <c r="C10" s="1930"/>
      <c r="D10" s="1930"/>
      <c r="E10" s="1930"/>
      <c r="F10" s="1930"/>
      <c r="G10" s="1930"/>
      <c r="H10" s="1930"/>
      <c r="I10" s="1930"/>
      <c r="J10" s="1718"/>
      <c r="K10" s="1723"/>
      <c r="L10" s="1723"/>
      <c r="M10" s="1723"/>
      <c r="N10" s="1723"/>
      <c r="O10" s="1723"/>
      <c r="P10" s="1723"/>
      <c r="Q10" s="1723"/>
    </row>
    <row r="11" spans="1:17" ht="12.95" customHeight="1">
      <c r="B11" s="1930"/>
      <c r="C11" s="1930"/>
      <c r="D11" s="1930"/>
      <c r="E11" s="1930"/>
      <c r="F11" s="1930"/>
      <c r="G11" s="1930"/>
      <c r="H11" s="1930"/>
      <c r="I11" s="1930"/>
      <c r="J11" s="1718"/>
      <c r="K11" s="1723"/>
      <c r="L11" s="1723"/>
      <c r="M11" s="1723"/>
      <c r="N11" s="1723"/>
      <c r="O11" s="1723"/>
      <c r="P11" s="1723"/>
      <c r="Q11" s="1723"/>
    </row>
    <row r="12" spans="1:17" ht="22.15" customHeight="1">
      <c r="B12" s="1930"/>
      <c r="C12" s="1930"/>
      <c r="D12" s="1930"/>
      <c r="E12" s="1930"/>
      <c r="F12" s="1930"/>
      <c r="G12" s="1930"/>
      <c r="H12" s="1930"/>
      <c r="I12" s="1930"/>
      <c r="J12" s="1718"/>
      <c r="K12" s="1723"/>
      <c r="L12" s="1723"/>
      <c r="M12" s="1723"/>
      <c r="N12" s="1723"/>
      <c r="O12" s="1723"/>
      <c r="P12" s="1723"/>
      <c r="Q12" s="1723"/>
    </row>
    <row r="13" spans="1:17" ht="12.95" customHeight="1">
      <c r="B13" s="10"/>
      <c r="C13" s="10"/>
      <c r="G13" s="1719"/>
      <c r="I13" s="1719"/>
      <c r="J13" s="1719"/>
      <c r="K13" s="1723"/>
      <c r="L13" s="1723"/>
      <c r="M13" s="1723"/>
      <c r="N13" s="1723"/>
      <c r="O13" s="1723"/>
      <c r="P13" s="1723"/>
      <c r="Q13" s="1723"/>
    </row>
    <row r="14" spans="1:17" ht="12.95" customHeight="1">
      <c r="A14" s="162">
        <f>A8+0.1</f>
        <v>1.2000000000000002</v>
      </c>
      <c r="B14" s="1931" t="s">
        <v>1737</v>
      </c>
      <c r="C14" s="1931"/>
      <c r="D14" s="1931"/>
      <c r="E14" s="1931"/>
      <c r="F14" s="1931"/>
      <c r="G14" s="1931"/>
      <c r="H14" s="1931"/>
      <c r="I14" s="1931"/>
      <c r="J14" s="1719"/>
      <c r="K14" s="1720"/>
      <c r="L14" s="1720"/>
      <c r="M14" s="1720"/>
      <c r="N14" s="1720"/>
      <c r="O14" s="1720"/>
      <c r="P14" s="1720"/>
      <c r="Q14" s="1720"/>
    </row>
    <row r="15" spans="1:17" ht="12.95" customHeight="1">
      <c r="B15" s="1931"/>
      <c r="C15" s="1931"/>
      <c r="D15" s="1931"/>
      <c r="E15" s="1931"/>
      <c r="F15" s="1931"/>
      <c r="G15" s="1931"/>
      <c r="H15" s="1931"/>
      <c r="I15" s="1931"/>
      <c r="J15" s="1719"/>
      <c r="K15" s="1723"/>
      <c r="L15" s="1723"/>
      <c r="M15" s="1723"/>
      <c r="N15" s="1723"/>
      <c r="O15" s="1723"/>
      <c r="P15" s="1723"/>
      <c r="Q15" s="1723"/>
    </row>
    <row r="16" spans="1:17" ht="12.95" customHeight="1">
      <c r="B16" s="1931"/>
      <c r="C16" s="1931"/>
      <c r="D16" s="1931"/>
      <c r="E16" s="1931"/>
      <c r="F16" s="1931"/>
      <c r="G16" s="1931"/>
      <c r="H16" s="1931"/>
      <c r="I16" s="1931"/>
      <c r="J16" s="1719"/>
      <c r="K16" s="1723"/>
      <c r="L16" s="1723"/>
      <c r="M16" s="1723"/>
      <c r="N16" s="1723"/>
      <c r="O16" s="1723"/>
      <c r="P16" s="1723"/>
      <c r="Q16" s="1723"/>
    </row>
    <row r="17" spans="1:17" ht="19.149999999999999" customHeight="1">
      <c r="B17" s="1931"/>
      <c r="C17" s="1931"/>
      <c r="D17" s="1931"/>
      <c r="E17" s="1931"/>
      <c r="F17" s="1931"/>
      <c r="G17" s="1931"/>
      <c r="H17" s="1931"/>
      <c r="I17" s="1931"/>
      <c r="J17" s="1719"/>
      <c r="K17" s="1723"/>
      <c r="L17" s="1723"/>
      <c r="M17" s="1723"/>
      <c r="N17" s="1723"/>
      <c r="O17" s="1723"/>
      <c r="P17" s="1723"/>
      <c r="Q17" s="1723"/>
    </row>
    <row r="18" spans="1:17" ht="12.95" customHeight="1">
      <c r="B18" s="10"/>
      <c r="C18" s="10"/>
      <c r="G18" s="1719"/>
      <c r="I18" s="1719"/>
      <c r="J18" s="1719"/>
      <c r="K18" s="1723"/>
      <c r="L18" s="1723"/>
      <c r="M18" s="1723"/>
      <c r="N18" s="1723"/>
      <c r="O18" s="1723"/>
      <c r="P18" s="1723"/>
      <c r="Q18" s="1723"/>
    </row>
    <row r="19" spans="1:17" ht="12.95" customHeight="1">
      <c r="A19" s="162">
        <f>A14+0.1</f>
        <v>1.3000000000000003</v>
      </c>
      <c r="B19" s="1931" t="s">
        <v>1490</v>
      </c>
      <c r="C19" s="1931"/>
      <c r="D19" s="1931"/>
      <c r="E19" s="1931"/>
      <c r="F19" s="1931"/>
      <c r="G19" s="1931"/>
      <c r="H19" s="1931"/>
      <c r="I19" s="1931"/>
      <c r="J19" s="1719"/>
      <c r="K19" s="1723"/>
      <c r="L19" s="1723"/>
      <c r="M19" s="1723"/>
      <c r="N19" s="1723"/>
      <c r="O19" s="1723"/>
      <c r="P19" s="1723"/>
      <c r="Q19" s="1723"/>
    </row>
    <row r="20" spans="1:17" ht="12.95" customHeight="1">
      <c r="B20" s="1931"/>
      <c r="C20" s="1931"/>
      <c r="D20" s="1931"/>
      <c r="E20" s="1931"/>
      <c r="F20" s="1931"/>
      <c r="G20" s="1931"/>
      <c r="H20" s="1931"/>
      <c r="I20" s="1931"/>
      <c r="J20" s="1719"/>
      <c r="K20" s="1723"/>
      <c r="L20" s="1723"/>
      <c r="M20" s="1723"/>
      <c r="N20" s="1723"/>
      <c r="O20" s="1723"/>
      <c r="P20" s="1723"/>
      <c r="Q20" s="1723"/>
    </row>
    <row r="21" spans="1:17" ht="12.95" customHeight="1">
      <c r="B21" s="1931"/>
      <c r="C21" s="1931"/>
      <c r="D21" s="1931"/>
      <c r="E21" s="1931"/>
      <c r="F21" s="1931"/>
      <c r="G21" s="1931"/>
      <c r="H21" s="1931"/>
      <c r="I21" s="1931"/>
      <c r="J21" s="1719"/>
      <c r="K21" s="1723"/>
      <c r="L21" s="1723"/>
      <c r="M21" s="1723"/>
      <c r="N21" s="1723"/>
      <c r="O21" s="1723"/>
      <c r="P21" s="1723"/>
      <c r="Q21" s="1723"/>
    </row>
    <row r="22" spans="1:17">
      <c r="B22" s="1931"/>
      <c r="C22" s="1931"/>
      <c r="D22" s="1931"/>
      <c r="E22" s="1931"/>
      <c r="F22" s="1931"/>
      <c r="G22" s="1931"/>
      <c r="H22" s="1931"/>
      <c r="I22" s="1931"/>
      <c r="J22" s="1719"/>
    </row>
    <row r="23" spans="1:17">
      <c r="B23" s="1931"/>
      <c r="C23" s="1931"/>
      <c r="D23" s="1931"/>
      <c r="E23" s="1931"/>
      <c r="F23" s="1931"/>
      <c r="G23" s="1931"/>
      <c r="H23" s="1931"/>
      <c r="I23" s="1931"/>
      <c r="J23" s="1719"/>
    </row>
    <row r="24" spans="1:17" ht="12.95" customHeight="1">
      <c r="B24" s="164"/>
      <c r="C24" s="164"/>
      <c r="G24" s="1719"/>
      <c r="I24" s="1719"/>
      <c r="J24" s="1719"/>
    </row>
    <row r="25" spans="1:17" ht="12.95" customHeight="1">
      <c r="A25" s="162">
        <f>A19+0.1</f>
        <v>1.4000000000000004</v>
      </c>
      <c r="B25" s="1932" t="s">
        <v>998</v>
      </c>
      <c r="C25" s="1932"/>
      <c r="D25" s="1931"/>
      <c r="E25" s="1931"/>
      <c r="F25" s="1931"/>
      <c r="G25" s="1931"/>
      <c r="H25" s="1931"/>
      <c r="I25" s="1931"/>
      <c r="J25" s="1719"/>
    </row>
    <row r="26" spans="1:17" ht="12.95" customHeight="1">
      <c r="B26" s="1932"/>
      <c r="C26" s="1932"/>
      <c r="D26" s="1931"/>
      <c r="E26" s="1931"/>
      <c r="F26" s="1931"/>
      <c r="G26" s="1931"/>
      <c r="H26" s="1931"/>
      <c r="I26" s="1931"/>
      <c r="J26" s="1719"/>
    </row>
    <row r="27" spans="1:17" ht="12.95" customHeight="1">
      <c r="B27" s="1931"/>
      <c r="C27" s="1931"/>
      <c r="D27" s="1931"/>
      <c r="E27" s="1931"/>
      <c r="F27" s="1931"/>
      <c r="G27" s="1931"/>
      <c r="H27" s="1931"/>
      <c r="I27" s="1931"/>
      <c r="J27" s="1719"/>
    </row>
    <row r="28" spans="1:17" ht="18.600000000000001" customHeight="1">
      <c r="B28" s="1931"/>
      <c r="C28" s="1931"/>
      <c r="D28" s="1931"/>
      <c r="E28" s="1931"/>
      <c r="F28" s="1931"/>
      <c r="G28" s="1931"/>
      <c r="H28" s="1931"/>
      <c r="I28" s="1931"/>
      <c r="J28" s="1719"/>
      <c r="K28" s="1719" t="s">
        <v>999</v>
      </c>
    </row>
    <row r="29" spans="1:17" ht="10.15" customHeight="1">
      <c r="B29" s="1720"/>
      <c r="C29" s="1720"/>
      <c r="D29" s="1720"/>
      <c r="E29" s="1720"/>
      <c r="F29" s="1720"/>
      <c r="G29" s="1720"/>
      <c r="H29" s="1720"/>
      <c r="I29" s="1720"/>
      <c r="J29" s="1719"/>
    </row>
    <row r="30" spans="1:17" ht="12.95" customHeight="1">
      <c r="A30" s="162">
        <f>A25+0.1</f>
        <v>1.5000000000000004</v>
      </c>
      <c r="B30" s="1933" t="s">
        <v>2139</v>
      </c>
      <c r="C30" s="1933"/>
      <c r="D30" s="1933"/>
      <c r="E30" s="1933"/>
      <c r="F30" s="1933"/>
      <c r="G30" s="1933"/>
      <c r="H30" s="1933"/>
      <c r="I30" s="1933"/>
      <c r="J30" s="1719"/>
      <c r="K30" s="1719" t="s">
        <v>1000</v>
      </c>
    </row>
    <row r="31" spans="1:17" ht="12.95" customHeight="1">
      <c r="B31" s="1933"/>
      <c r="C31" s="1933"/>
      <c r="D31" s="1933"/>
      <c r="E31" s="1933"/>
      <c r="F31" s="1933"/>
      <c r="G31" s="1933"/>
      <c r="H31" s="1933"/>
      <c r="I31" s="1933"/>
      <c r="J31" s="1719"/>
      <c r="K31" s="1719" t="s">
        <v>1001</v>
      </c>
    </row>
    <row r="32" spans="1:17" ht="12.95" customHeight="1">
      <c r="D32" s="1720"/>
      <c r="G32" s="165"/>
    </row>
    <row r="33" spans="1:13" ht="12.95" customHeight="1">
      <c r="A33" s="163">
        <f>A30+0.1</f>
        <v>1.6000000000000005</v>
      </c>
      <c r="B33" s="1934" t="s">
        <v>1002</v>
      </c>
      <c r="C33" s="1934"/>
      <c r="D33" s="1934"/>
      <c r="E33" s="1934"/>
      <c r="F33" s="1934"/>
      <c r="G33" s="1934"/>
      <c r="H33" s="1934"/>
      <c r="I33" s="1934"/>
      <c r="J33" s="1719"/>
    </row>
    <row r="34" spans="1:13" ht="12.95" customHeight="1">
      <c r="B34" s="1934"/>
      <c r="C34" s="1934"/>
      <c r="D34" s="1934"/>
      <c r="E34" s="1934"/>
      <c r="F34" s="1934"/>
      <c r="G34" s="1934"/>
      <c r="H34" s="1934"/>
      <c r="I34" s="1934"/>
      <c r="J34" s="1719"/>
    </row>
    <row r="35" spans="1:13" ht="18.75" customHeight="1">
      <c r="G35" s="1719"/>
      <c r="I35" s="1719"/>
      <c r="J35" s="1719"/>
    </row>
    <row r="36" spans="1:13" s="726" customFormat="1" ht="15" customHeight="1">
      <c r="A36" s="1744" t="str">
        <f>+A6+1&amp;"."</f>
        <v>2.</v>
      </c>
      <c r="B36" s="1745" t="s">
        <v>1895</v>
      </c>
      <c r="C36" s="1746"/>
      <c r="D36" s="1745"/>
      <c r="E36" s="1745"/>
      <c r="F36" s="1745"/>
      <c r="G36" s="1745"/>
      <c r="H36" s="1747"/>
      <c r="I36" s="1747"/>
      <c r="J36" s="1747"/>
      <c r="K36" s="1748"/>
      <c r="L36" s="1747"/>
      <c r="M36" s="1749"/>
    </row>
    <row r="37" spans="1:13" s="726" customFormat="1" ht="9.9499999999999993" customHeight="1">
      <c r="A37" s="1746"/>
      <c r="B37" s="1750"/>
      <c r="C37" s="1750"/>
      <c r="D37" s="1747"/>
      <c r="E37" s="1747"/>
      <c r="F37" s="1747"/>
      <c r="G37" s="1747"/>
      <c r="H37" s="1747"/>
      <c r="I37" s="1747"/>
      <c r="J37" s="1747"/>
      <c r="K37" s="1748"/>
      <c r="L37" s="1747"/>
      <c r="M37" s="1749"/>
    </row>
    <row r="38" spans="1:13" s="726" customFormat="1">
      <c r="A38" s="1751">
        <v>2.1</v>
      </c>
      <c r="B38" s="1750" t="s">
        <v>1896</v>
      </c>
      <c r="C38" s="1747"/>
      <c r="D38" s="1747"/>
      <c r="E38" s="1747"/>
      <c r="F38" s="1747"/>
      <c r="G38" s="1747"/>
      <c r="H38" s="1747"/>
      <c r="I38" s="1747"/>
      <c r="J38" s="1748"/>
      <c r="K38" s="1747"/>
      <c r="L38" s="198"/>
      <c r="M38" s="1749"/>
    </row>
    <row r="39" spans="1:13" s="726" customFormat="1" ht="9.9499999999999993" customHeight="1">
      <c r="A39" s="1751"/>
      <c r="B39" s="1750"/>
      <c r="C39" s="1747"/>
      <c r="D39" s="1747"/>
      <c r="E39" s="1747"/>
      <c r="F39" s="1747"/>
      <c r="G39" s="1747"/>
      <c r="H39" s="1747"/>
      <c r="I39" s="1747"/>
      <c r="J39" s="1748"/>
      <c r="K39" s="1747"/>
      <c r="L39" s="198"/>
      <c r="M39" s="1749"/>
    </row>
    <row r="40" spans="1:13" s="726" customFormat="1" ht="15" customHeight="1">
      <c r="A40" s="1752" t="s">
        <v>1897</v>
      </c>
      <c r="B40" s="1935" t="s">
        <v>1898</v>
      </c>
      <c r="C40" s="1935"/>
      <c r="D40" s="1935"/>
      <c r="E40" s="1935"/>
      <c r="F40" s="1935"/>
      <c r="G40" s="1935"/>
      <c r="H40" s="1935"/>
      <c r="I40" s="1935"/>
      <c r="J40" s="1753"/>
      <c r="K40" s="1753"/>
      <c r="L40" s="198"/>
      <c r="M40" s="1749"/>
    </row>
    <row r="41" spans="1:13" s="1676" customFormat="1" ht="12.75" customHeight="1">
      <c r="A41" s="1677"/>
      <c r="B41" s="1935"/>
      <c r="C41" s="1935"/>
      <c r="D41" s="1935"/>
      <c r="E41" s="1935"/>
      <c r="F41" s="1935"/>
      <c r="G41" s="1935"/>
      <c r="H41" s="1935"/>
      <c r="I41" s="1935"/>
      <c r="J41" s="1753"/>
      <c r="K41" s="1753"/>
      <c r="M41" s="1678"/>
    </row>
    <row r="42" spans="1:13" s="1676" customFormat="1" ht="15" customHeight="1">
      <c r="A42" s="1677"/>
      <c r="B42" s="1754"/>
      <c r="C42" s="1754"/>
      <c r="D42" s="1754"/>
      <c r="E42" s="1754"/>
      <c r="F42" s="1754"/>
      <c r="G42" s="1754"/>
      <c r="H42" s="1754"/>
      <c r="J42" s="1755"/>
      <c r="K42" s="1756"/>
      <c r="M42" s="1678"/>
    </row>
    <row r="43" spans="1:13" s="1676" customFormat="1" ht="14.25" customHeight="1">
      <c r="A43" s="1677"/>
      <c r="B43" s="1757" t="s">
        <v>1003</v>
      </c>
      <c r="C43" s="1935" t="s">
        <v>1899</v>
      </c>
      <c r="D43" s="1935"/>
      <c r="E43" s="1935"/>
      <c r="F43" s="1935"/>
      <c r="G43" s="1935"/>
      <c r="H43" s="1935"/>
      <c r="I43" s="1935"/>
      <c r="J43" s="1753"/>
      <c r="K43" s="1753"/>
      <c r="M43" s="1678"/>
    </row>
    <row r="44" spans="1:13" s="1676" customFormat="1">
      <c r="A44" s="1677"/>
      <c r="B44" s="1758"/>
      <c r="C44" s="1935"/>
      <c r="D44" s="1935"/>
      <c r="E44" s="1935"/>
      <c r="F44" s="1935"/>
      <c r="G44" s="1935"/>
      <c r="H44" s="1935"/>
      <c r="I44" s="1935"/>
      <c r="J44" s="1753"/>
      <c r="K44" s="1753"/>
      <c r="M44" s="1678"/>
    </row>
    <row r="45" spans="1:13" s="1676" customFormat="1" ht="15" customHeight="1">
      <c r="A45" s="1677"/>
      <c r="B45" s="1754"/>
      <c r="C45" s="1753"/>
      <c r="D45" s="1753"/>
      <c r="E45" s="1753"/>
      <c r="F45" s="1753"/>
      <c r="G45" s="1753"/>
      <c r="H45" s="1753"/>
      <c r="I45" s="1753"/>
      <c r="J45" s="1759"/>
      <c r="M45" s="1678"/>
    </row>
    <row r="46" spans="1:13" s="1676" customFormat="1" ht="14.25" customHeight="1">
      <c r="A46" s="1677"/>
      <c r="B46" s="1757" t="s">
        <v>1003</v>
      </c>
      <c r="C46" s="1935" t="s">
        <v>1900</v>
      </c>
      <c r="D46" s="1935"/>
      <c r="E46" s="1935"/>
      <c r="F46" s="1935"/>
      <c r="G46" s="1935"/>
      <c r="H46" s="1935"/>
      <c r="I46" s="1935"/>
      <c r="J46" s="1753"/>
      <c r="K46" s="1753"/>
      <c r="M46" s="1678"/>
    </row>
    <row r="47" spans="1:13" s="1676" customFormat="1" ht="15" customHeight="1">
      <c r="A47" s="1677"/>
      <c r="B47" s="1757"/>
      <c r="C47" s="1935"/>
      <c r="D47" s="1935"/>
      <c r="E47" s="1935"/>
      <c r="F47" s="1935"/>
      <c r="G47" s="1935"/>
      <c r="H47" s="1935"/>
      <c r="I47" s="1935"/>
      <c r="J47" s="1753"/>
      <c r="K47" s="1753"/>
      <c r="M47" s="1760"/>
    </row>
    <row r="48" spans="1:13" s="1676" customFormat="1">
      <c r="A48" s="1677"/>
      <c r="B48" s="1754"/>
      <c r="C48" s="1754"/>
      <c r="D48" s="1754"/>
      <c r="E48" s="1754"/>
      <c r="F48" s="1754"/>
      <c r="G48" s="1754"/>
      <c r="H48" s="1754"/>
      <c r="I48" s="1761"/>
      <c r="J48" s="1761"/>
      <c r="K48" s="1761"/>
      <c r="M48" s="1760"/>
    </row>
    <row r="49" spans="1:24" s="1676" customFormat="1" ht="12" customHeight="1">
      <c r="A49" s="1677"/>
      <c r="B49" s="1757" t="s">
        <v>1003</v>
      </c>
      <c r="C49" s="1919" t="s">
        <v>1901</v>
      </c>
      <c r="D49" s="1919"/>
      <c r="E49" s="1919"/>
      <c r="F49" s="1919"/>
      <c r="G49" s="1919"/>
      <c r="H49" s="1919"/>
      <c r="I49" s="1919"/>
      <c r="J49" s="1762"/>
      <c r="K49" s="1762"/>
      <c r="M49" s="1678"/>
    </row>
    <row r="50" spans="1:24" s="1676" customFormat="1">
      <c r="A50" s="1677"/>
      <c r="B50" s="1757"/>
      <c r="C50" s="1919"/>
      <c r="D50" s="1919"/>
      <c r="E50" s="1919"/>
      <c r="F50" s="1919"/>
      <c r="G50" s="1919"/>
      <c r="H50" s="1919"/>
      <c r="I50" s="1919"/>
      <c r="J50" s="1762"/>
      <c r="K50" s="1762"/>
      <c r="M50" s="1760"/>
    </row>
    <row r="51" spans="1:24" s="1676" customFormat="1" ht="12.95" customHeight="1">
      <c r="A51" s="1679"/>
      <c r="B51" s="1754"/>
      <c r="C51" s="1919"/>
      <c r="D51" s="1919"/>
      <c r="E51" s="1919"/>
      <c r="F51" s="1919"/>
      <c r="G51" s="1919"/>
      <c r="H51" s="1919"/>
      <c r="I51" s="1919"/>
      <c r="J51" s="1762"/>
      <c r="K51" s="1762"/>
      <c r="M51" s="1760"/>
    </row>
    <row r="52" spans="1:24" s="1676" customFormat="1" ht="12.95" customHeight="1">
      <c r="A52" s="1679"/>
      <c r="B52" s="1754"/>
      <c r="C52" s="1677"/>
      <c r="D52" s="1677"/>
      <c r="E52" s="1677"/>
      <c r="F52" s="1677"/>
      <c r="G52" s="1677"/>
      <c r="H52" s="1677"/>
      <c r="I52" s="1763"/>
      <c r="J52" s="1763"/>
      <c r="K52" s="1763"/>
      <c r="M52" s="1760"/>
    </row>
    <row r="53" spans="1:24" s="1676" customFormat="1" ht="12.95" customHeight="1">
      <c r="A53" s="1679"/>
      <c r="B53" s="1920" t="s">
        <v>1902</v>
      </c>
      <c r="C53" s="1920"/>
      <c r="D53" s="1920"/>
      <c r="E53" s="1920"/>
      <c r="F53" s="1920"/>
      <c r="G53" s="1920"/>
      <c r="H53" s="1920"/>
      <c r="I53" s="1920"/>
      <c r="J53" s="1764"/>
      <c r="K53" s="1764"/>
      <c r="M53" s="1760"/>
    </row>
    <row r="54" spans="1:24" s="1676" customFormat="1" ht="12.95" customHeight="1">
      <c r="A54" s="1679"/>
      <c r="B54" s="1920"/>
      <c r="C54" s="1920"/>
      <c r="D54" s="1920"/>
      <c r="E54" s="1920"/>
      <c r="F54" s="1920"/>
      <c r="G54" s="1920"/>
      <c r="H54" s="1920"/>
      <c r="I54" s="1920"/>
      <c r="J54" s="1764"/>
      <c r="K54" s="1764"/>
      <c r="M54" s="1760"/>
    </row>
    <row r="55" spans="1:24" s="1676" customFormat="1" ht="12.95" customHeight="1">
      <c r="A55" s="1679"/>
      <c r="B55" s="1920"/>
      <c r="C55" s="1920"/>
      <c r="D55" s="1920"/>
      <c r="E55" s="1920"/>
      <c r="F55" s="1920"/>
      <c r="G55" s="1920"/>
      <c r="H55" s="1920"/>
      <c r="I55" s="1920"/>
      <c r="J55" s="1764"/>
      <c r="K55" s="1764"/>
      <c r="M55" s="1760"/>
    </row>
    <row r="56" spans="1:24" s="1676" customFormat="1" ht="12.95" customHeight="1">
      <c r="A56" s="1679"/>
      <c r="B56" s="1920"/>
      <c r="C56" s="1920"/>
      <c r="D56" s="1920"/>
      <c r="E56" s="1920"/>
      <c r="F56" s="1920"/>
      <c r="G56" s="1920"/>
      <c r="H56" s="1920"/>
      <c r="I56" s="1920"/>
      <c r="J56" s="1764"/>
      <c r="K56" s="1764"/>
      <c r="M56" s="1760"/>
    </row>
    <row r="57" spans="1:24" s="1676" customFormat="1" ht="8.1" customHeight="1">
      <c r="A57" s="1679"/>
      <c r="B57" s="1920"/>
      <c r="C57" s="1920"/>
      <c r="D57" s="1920"/>
      <c r="E57" s="1920"/>
      <c r="F57" s="1920"/>
      <c r="G57" s="1920"/>
      <c r="H57" s="1920"/>
      <c r="I57" s="1920"/>
      <c r="J57" s="1764"/>
      <c r="K57" s="1764"/>
      <c r="M57" s="1760"/>
    </row>
    <row r="58" spans="1:24" s="1676" customFormat="1" ht="17.45" customHeight="1">
      <c r="A58" s="1679"/>
      <c r="B58" s="1920"/>
      <c r="C58" s="1920"/>
      <c r="D58" s="1920"/>
      <c r="E58" s="1920"/>
      <c r="F58" s="1920"/>
      <c r="G58" s="1920"/>
      <c r="H58" s="1920"/>
      <c r="I58" s="1920"/>
      <c r="J58" s="1764"/>
      <c r="K58" s="1764"/>
      <c r="M58" s="1760"/>
    </row>
    <row r="59" spans="1:24" s="1676" customFormat="1" ht="12.95" customHeight="1">
      <c r="A59" s="1752" t="s">
        <v>1903</v>
      </c>
      <c r="B59" s="1921" t="s">
        <v>2047</v>
      </c>
      <c r="C59" s="1921"/>
      <c r="D59" s="1921"/>
      <c r="E59" s="1921"/>
      <c r="F59" s="1921"/>
      <c r="G59" s="1921"/>
      <c r="H59" s="1921"/>
      <c r="I59" s="1921"/>
      <c r="J59" s="1765"/>
      <c r="K59" s="1765"/>
      <c r="M59" s="1678"/>
    </row>
    <row r="60" spans="1:24" s="1676" customFormat="1" ht="12.95" customHeight="1">
      <c r="A60" s="1677"/>
      <c r="B60" s="1921"/>
      <c r="C60" s="1921"/>
      <c r="D60" s="1921"/>
      <c r="E60" s="1921"/>
      <c r="F60" s="1921"/>
      <c r="G60" s="1921"/>
      <c r="H60" s="1921"/>
      <c r="I60" s="1921"/>
      <c r="J60" s="1765"/>
      <c r="K60" s="1765"/>
      <c r="M60" s="1760"/>
    </row>
    <row r="61" spans="1:24" s="1676" customFormat="1">
      <c r="A61" s="1677"/>
      <c r="B61" s="1921"/>
      <c r="C61" s="1921"/>
      <c r="D61" s="1921"/>
      <c r="E61" s="1921"/>
      <c r="F61" s="1921"/>
      <c r="G61" s="1921"/>
      <c r="H61" s="1921"/>
      <c r="I61" s="1921"/>
      <c r="J61" s="1765"/>
      <c r="K61" s="1765"/>
      <c r="M61" s="1760"/>
    </row>
    <row r="62" spans="1:24" s="1676" customFormat="1" ht="12" customHeight="1">
      <c r="A62" s="1680" t="s">
        <v>1904</v>
      </c>
      <c r="B62" s="1921" t="s">
        <v>2048</v>
      </c>
      <c r="C62" s="1921"/>
      <c r="D62" s="1921"/>
      <c r="E62" s="1921"/>
      <c r="F62" s="1921"/>
      <c r="G62" s="1921"/>
      <c r="H62" s="1921"/>
      <c r="I62" s="1921"/>
      <c r="J62" s="1765"/>
      <c r="K62" s="1765"/>
      <c r="M62" s="1678"/>
    </row>
    <row r="63" spans="1:24" s="1676" customFormat="1" ht="15" customHeight="1">
      <c r="A63" s="1681"/>
      <c r="B63" s="1921"/>
      <c r="C63" s="1921"/>
      <c r="D63" s="1921"/>
      <c r="E63" s="1921"/>
      <c r="F63" s="1921"/>
      <c r="G63" s="1921"/>
      <c r="H63" s="1921"/>
      <c r="I63" s="1921"/>
      <c r="J63" s="1765"/>
      <c r="K63" s="1765"/>
      <c r="M63" s="1682"/>
    </row>
    <row r="64" spans="1:24" s="1676" customFormat="1" ht="15" customHeight="1">
      <c r="A64" s="1681"/>
      <c r="B64" s="1921"/>
      <c r="C64" s="1921"/>
      <c r="D64" s="1921"/>
      <c r="E64" s="1921"/>
      <c r="F64" s="1921"/>
      <c r="G64" s="1921"/>
      <c r="H64" s="1921"/>
      <c r="I64" s="1921"/>
      <c r="J64" s="1765"/>
      <c r="K64" s="1765"/>
      <c r="M64" s="1682"/>
      <c r="O64" s="1678"/>
      <c r="P64" s="1678"/>
      <c r="Q64" s="1678"/>
      <c r="R64" s="1678"/>
      <c r="S64" s="1678"/>
      <c r="T64" s="1678"/>
      <c r="U64" s="1678"/>
      <c r="V64" s="1678"/>
      <c r="W64" s="1678"/>
      <c r="X64" s="1678"/>
    </row>
    <row r="65" spans="1:24" s="1676" customFormat="1" ht="42" customHeight="1">
      <c r="A65" s="1681"/>
      <c r="B65" s="1921"/>
      <c r="C65" s="1921"/>
      <c r="D65" s="1921"/>
      <c r="E65" s="1921"/>
      <c r="F65" s="1921"/>
      <c r="G65" s="1921"/>
      <c r="H65" s="1921"/>
      <c r="I65" s="1921"/>
      <c r="J65" s="1765"/>
      <c r="K65" s="1765"/>
      <c r="M65" s="1682"/>
      <c r="O65" s="1678"/>
      <c r="P65" s="1678"/>
      <c r="Q65" s="1678"/>
      <c r="R65" s="1678"/>
      <c r="S65" s="1678"/>
      <c r="T65" s="1678"/>
      <c r="U65" s="1678"/>
      <c r="V65" s="1678"/>
      <c r="W65" s="1678"/>
      <c r="X65" s="1678"/>
    </row>
    <row r="66" spans="1:24" s="1676" customFormat="1" ht="12" customHeight="1">
      <c r="A66" s="1681"/>
      <c r="B66" s="1921" t="s">
        <v>1905</v>
      </c>
      <c r="C66" s="1921"/>
      <c r="D66" s="1921"/>
      <c r="E66" s="1921"/>
      <c r="F66" s="1921"/>
      <c r="G66" s="1921"/>
      <c r="H66" s="1921"/>
      <c r="I66" s="1921"/>
      <c r="J66" s="1765"/>
      <c r="K66" s="1765"/>
      <c r="M66" s="1678"/>
      <c r="O66" s="1678"/>
      <c r="P66" s="1678"/>
      <c r="Q66" s="1678"/>
      <c r="R66" s="1678"/>
      <c r="S66" s="1678"/>
      <c r="T66" s="1678"/>
      <c r="U66" s="1678"/>
      <c r="V66" s="1678"/>
      <c r="W66" s="1678"/>
      <c r="X66" s="1678"/>
    </row>
    <row r="67" spans="1:24" s="1676" customFormat="1" ht="15.6" customHeight="1">
      <c r="A67" s="1681"/>
      <c r="B67" s="1921"/>
      <c r="C67" s="1921"/>
      <c r="D67" s="1921"/>
      <c r="E67" s="1921"/>
      <c r="F67" s="1921"/>
      <c r="G67" s="1921"/>
      <c r="H67" s="1921"/>
      <c r="I67" s="1921"/>
      <c r="J67" s="1765"/>
      <c r="K67" s="1765"/>
      <c r="M67" s="1678"/>
      <c r="O67" s="1678"/>
      <c r="P67" s="1678"/>
      <c r="Q67" s="1678"/>
      <c r="R67" s="1678"/>
      <c r="S67" s="1678"/>
      <c r="T67" s="1678"/>
      <c r="U67" s="1678"/>
      <c r="V67" s="1678"/>
      <c r="W67" s="1678"/>
      <c r="X67" s="1678"/>
    </row>
    <row r="68" spans="1:24" s="1676" customFormat="1" ht="15.6" customHeight="1">
      <c r="A68" s="1681"/>
      <c r="B68" s="1921"/>
      <c r="C68" s="1921"/>
      <c r="D68" s="1921"/>
      <c r="E68" s="1921"/>
      <c r="F68" s="1921"/>
      <c r="G68" s="1921"/>
      <c r="H68" s="1921"/>
      <c r="I68" s="1921"/>
      <c r="J68" s="1765"/>
      <c r="K68" s="1765"/>
      <c r="M68" s="1678"/>
      <c r="O68" s="1678"/>
      <c r="P68" s="1678"/>
      <c r="Q68" s="1678"/>
      <c r="R68" s="1678"/>
      <c r="S68" s="1678"/>
      <c r="T68" s="1678"/>
      <c r="U68" s="1678"/>
      <c r="V68" s="1678"/>
      <c r="W68" s="1678"/>
      <c r="X68" s="1678"/>
    </row>
    <row r="69" spans="1:24" s="726" customFormat="1" ht="12.95" customHeight="1">
      <c r="A69" s="1766"/>
      <c r="B69" s="1765"/>
      <c r="C69" s="1765"/>
      <c r="D69" s="1765"/>
      <c r="E69" s="1765"/>
      <c r="F69" s="1765"/>
      <c r="G69" s="1765"/>
      <c r="H69" s="1765"/>
      <c r="I69" s="1765"/>
      <c r="J69" s="1765"/>
      <c r="K69" s="1765"/>
      <c r="L69" s="198"/>
      <c r="M69" s="1767"/>
    </row>
    <row r="70" spans="1:24" s="726" customFormat="1" ht="15" customHeight="1">
      <c r="A70" s="1766"/>
      <c r="B70" s="1921" t="s">
        <v>1906</v>
      </c>
      <c r="C70" s="1921"/>
      <c r="D70" s="1921"/>
      <c r="E70" s="1921"/>
      <c r="F70" s="1921"/>
      <c r="G70" s="1921"/>
      <c r="H70" s="1921"/>
      <c r="I70" s="1921"/>
      <c r="J70" s="1765"/>
      <c r="K70" s="1765"/>
      <c r="L70" s="198"/>
      <c r="M70" s="1768"/>
    </row>
    <row r="71" spans="1:24" s="726" customFormat="1" ht="12" customHeight="1">
      <c r="A71" s="1766"/>
      <c r="B71" s="1921"/>
      <c r="C71" s="1921"/>
      <c r="D71" s="1921"/>
      <c r="E71" s="1921"/>
      <c r="F71" s="1921"/>
      <c r="G71" s="1921"/>
      <c r="H71" s="1921"/>
      <c r="I71" s="1921"/>
      <c r="J71" s="1765"/>
      <c r="K71" s="1765"/>
      <c r="L71" s="198"/>
      <c r="M71" s="1768"/>
    </row>
    <row r="72" spans="1:24" s="726" customFormat="1" ht="15" customHeight="1">
      <c r="A72" s="1766"/>
      <c r="B72" s="1921"/>
      <c r="C72" s="1921"/>
      <c r="D72" s="1921"/>
      <c r="E72" s="1921"/>
      <c r="F72" s="1921"/>
      <c r="G72" s="1921"/>
      <c r="H72" s="1921"/>
      <c r="I72" s="1921"/>
      <c r="J72" s="1765"/>
      <c r="K72" s="1765"/>
      <c r="L72" s="198"/>
      <c r="M72" s="1769"/>
    </row>
    <row r="73" spans="1:24" s="726" customFormat="1" ht="15" customHeight="1">
      <c r="A73" s="1770" t="s">
        <v>1907</v>
      </c>
      <c r="B73" s="1818" t="s">
        <v>1908</v>
      </c>
      <c r="C73" s="1772"/>
      <c r="D73" s="1772"/>
      <c r="E73" s="1772"/>
      <c r="F73" s="1773"/>
      <c r="G73" s="1772"/>
      <c r="H73" s="1772"/>
      <c r="I73" s="1774"/>
      <c r="J73" s="1775"/>
      <c r="K73" s="1775"/>
      <c r="L73" s="198"/>
      <c r="M73" s="1776"/>
    </row>
    <row r="74" spans="1:24" s="726" customFormat="1" ht="15" customHeight="1">
      <c r="A74" s="1770"/>
      <c r="B74" s="1771"/>
      <c r="C74" s="1772"/>
      <c r="D74" s="1772"/>
      <c r="E74" s="1772"/>
      <c r="F74" s="1773"/>
      <c r="G74" s="1772"/>
      <c r="H74" s="1772"/>
      <c r="I74" s="1774"/>
      <c r="J74" s="1775"/>
      <c r="K74" s="1775"/>
      <c r="L74" s="198"/>
      <c r="M74" s="1776"/>
    </row>
    <row r="75" spans="1:24" s="726" customFormat="1" ht="15" customHeight="1">
      <c r="A75" s="1766"/>
      <c r="B75" s="1929" t="s">
        <v>1909</v>
      </c>
      <c r="C75" s="1929"/>
      <c r="D75" s="1929"/>
      <c r="E75" s="1929"/>
      <c r="F75" s="1929"/>
      <c r="G75" s="1929"/>
      <c r="H75" s="1929"/>
      <c r="I75" s="1929"/>
      <c r="J75" s="1777"/>
      <c r="K75" s="1777"/>
      <c r="L75" s="198"/>
      <c r="M75" s="1776"/>
    </row>
    <row r="76" spans="1:24" s="726" customFormat="1" ht="15" customHeight="1">
      <c r="A76" s="1766"/>
      <c r="B76" s="1929"/>
      <c r="C76" s="1929"/>
      <c r="D76" s="1929"/>
      <c r="E76" s="1929"/>
      <c r="F76" s="1929"/>
      <c r="G76" s="1929"/>
      <c r="H76" s="1929"/>
      <c r="I76" s="1929"/>
      <c r="J76" s="1777"/>
      <c r="K76" s="1777"/>
      <c r="L76" s="198"/>
      <c r="M76" s="1776"/>
    </row>
    <row r="77" spans="1:24" s="726" customFormat="1" ht="11.1" customHeight="1">
      <c r="A77" s="1766"/>
      <c r="B77" s="1774"/>
      <c r="C77" s="1774"/>
      <c r="D77" s="1774"/>
      <c r="E77" s="1774"/>
      <c r="F77" s="1774"/>
      <c r="G77" s="1774"/>
      <c r="H77" s="1774"/>
      <c r="I77" s="1774"/>
      <c r="J77" s="1778"/>
      <c r="K77" s="1776"/>
      <c r="L77" s="198"/>
      <c r="M77" s="1776"/>
    </row>
    <row r="78" spans="1:24" s="726" customFormat="1">
      <c r="A78" s="1770" t="s">
        <v>1910</v>
      </c>
      <c r="B78" s="1771" t="s">
        <v>1004</v>
      </c>
      <c r="C78" s="1772"/>
      <c r="D78" s="1772"/>
      <c r="E78" s="1772"/>
      <c r="F78" s="1773"/>
      <c r="G78" s="1772"/>
      <c r="H78" s="1772"/>
      <c r="I78" s="1774"/>
      <c r="J78" s="1778"/>
      <c r="K78" s="1776"/>
      <c r="L78" s="198"/>
      <c r="M78" s="1776"/>
    </row>
    <row r="79" spans="1:24" s="726" customFormat="1" ht="15" customHeight="1">
      <c r="A79" s="1766"/>
      <c r="B79" s="1929" t="s">
        <v>1911</v>
      </c>
      <c r="C79" s="1929"/>
      <c r="D79" s="1929"/>
      <c r="E79" s="1929"/>
      <c r="F79" s="1929"/>
      <c r="G79" s="1929"/>
      <c r="H79" s="1929"/>
      <c r="I79" s="1929"/>
      <c r="J79" s="1777"/>
      <c r="K79" s="1777"/>
      <c r="L79" s="198"/>
      <c r="M79" s="1776"/>
    </row>
    <row r="80" spans="1:24" s="726" customFormat="1">
      <c r="A80" s="1766"/>
      <c r="B80" s="1929"/>
      <c r="C80" s="1929"/>
      <c r="D80" s="1929"/>
      <c r="E80" s="1929"/>
      <c r="F80" s="1929"/>
      <c r="G80" s="1929"/>
      <c r="H80" s="1929"/>
      <c r="I80" s="1929"/>
      <c r="J80" s="1777"/>
      <c r="K80" s="1777"/>
      <c r="L80" s="198"/>
      <c r="M80" s="1750"/>
    </row>
    <row r="81" spans="1:13" s="726" customFormat="1" ht="9.9499999999999993" customHeight="1">
      <c r="A81" s="1767"/>
      <c r="B81" s="1766"/>
      <c r="C81" s="1779"/>
      <c r="D81" s="1780"/>
      <c r="E81" s="1780"/>
      <c r="F81" s="1780"/>
      <c r="G81" s="1781"/>
      <c r="H81" s="1780"/>
      <c r="I81" s="1780"/>
      <c r="J81" s="1782"/>
      <c r="K81" s="1778"/>
      <c r="L81" s="1778"/>
      <c r="M81" s="1750"/>
    </row>
    <row r="82" spans="1:13" s="726" customFormat="1" ht="15.6" customHeight="1">
      <c r="A82" s="1770">
        <f>+A36+1</f>
        <v>3</v>
      </c>
      <c r="B82" s="1783" t="s">
        <v>1912</v>
      </c>
      <c r="C82" s="1784"/>
      <c r="D82" s="1785"/>
      <c r="E82" s="1785"/>
      <c r="F82" s="1785"/>
      <c r="G82" s="1785"/>
      <c r="H82" s="1785"/>
      <c r="I82" s="1785"/>
      <c r="J82" s="1785"/>
      <c r="K82" s="1786"/>
      <c r="L82" s="1784"/>
    </row>
    <row r="83" spans="1:13" s="726" customFormat="1" ht="10.9" customHeight="1">
      <c r="A83" s="1787"/>
      <c r="B83" s="1766"/>
      <c r="C83" s="1788"/>
      <c r="D83" s="1772"/>
      <c r="E83" s="1772"/>
      <c r="F83" s="1772"/>
      <c r="G83" s="1773"/>
      <c r="H83" s="1772"/>
      <c r="I83" s="1772"/>
      <c r="J83" s="1782"/>
      <c r="K83" s="1789"/>
      <c r="L83" s="1784"/>
    </row>
    <row r="84" spans="1:13" s="726" customFormat="1" ht="15.6" customHeight="1">
      <c r="A84" s="1770" t="s">
        <v>1913</v>
      </c>
      <c r="B84" s="1926" t="s">
        <v>2050</v>
      </c>
      <c r="C84" s="1926"/>
      <c r="D84" s="1926"/>
      <c r="E84" s="1926"/>
      <c r="F84" s="1926"/>
      <c r="G84" s="1926"/>
      <c r="H84" s="1926"/>
      <c r="I84" s="1926"/>
      <c r="J84" s="1790"/>
      <c r="K84" s="1790"/>
      <c r="L84" s="198"/>
    </row>
    <row r="85" spans="1:13" s="726" customFormat="1" ht="15.6" customHeight="1">
      <c r="A85" s="1787"/>
      <c r="B85" s="1926"/>
      <c r="C85" s="1926"/>
      <c r="D85" s="1926"/>
      <c r="E85" s="1926"/>
      <c r="F85" s="1926"/>
      <c r="G85" s="1926"/>
      <c r="H85" s="1926"/>
      <c r="I85" s="1926"/>
      <c r="J85" s="1790"/>
      <c r="K85" s="1790"/>
      <c r="L85" s="198"/>
    </row>
    <row r="86" spans="1:13" s="726" customFormat="1" ht="15.6" customHeight="1">
      <c r="A86" s="1787"/>
      <c r="B86" s="1926"/>
      <c r="C86" s="1926"/>
      <c r="D86" s="1926"/>
      <c r="E86" s="1926"/>
      <c r="F86" s="1926"/>
      <c r="G86" s="1926"/>
      <c r="H86" s="1926"/>
      <c r="I86" s="1926"/>
      <c r="J86" s="1791"/>
      <c r="K86" s="1791"/>
      <c r="L86" s="1791"/>
    </row>
    <row r="87" spans="1:13" s="726" customFormat="1" ht="15.6" customHeight="1">
      <c r="A87" s="1787"/>
      <c r="B87" s="1766"/>
      <c r="C87" s="1792"/>
      <c r="D87" s="1792"/>
      <c r="E87" s="1792"/>
      <c r="F87" s="1792"/>
      <c r="G87" s="1792"/>
      <c r="H87" s="1792"/>
      <c r="I87" s="1792"/>
      <c r="J87" s="1792"/>
      <c r="K87" s="1793"/>
      <c r="L87" s="1784"/>
    </row>
    <row r="88" spans="1:13" s="726" customFormat="1" ht="31.9" customHeight="1">
      <c r="A88" s="1770" t="s">
        <v>1914</v>
      </c>
      <c r="B88" s="1926" t="s">
        <v>1915</v>
      </c>
      <c r="C88" s="1926"/>
      <c r="D88" s="1926"/>
      <c r="E88" s="1926"/>
      <c r="F88" s="1926"/>
      <c r="G88" s="1926"/>
      <c r="H88" s="1926"/>
      <c r="I88" s="1926"/>
      <c r="J88" s="1790"/>
      <c r="K88" s="1790"/>
      <c r="L88" s="198"/>
    </row>
    <row r="89" spans="1:13" s="726" customFormat="1" ht="27" customHeight="1">
      <c r="A89" s="1787"/>
      <c r="B89" s="1926"/>
      <c r="C89" s="1926"/>
      <c r="D89" s="1926"/>
      <c r="E89" s="1926"/>
      <c r="F89" s="1926"/>
      <c r="G89" s="1926"/>
      <c r="H89" s="1926"/>
      <c r="I89" s="1926"/>
      <c r="J89" s="1790"/>
      <c r="K89" s="1790"/>
      <c r="L89" s="198"/>
    </row>
    <row r="90" spans="1:13" s="726" customFormat="1" ht="15.6" customHeight="1">
      <c r="A90" s="1787"/>
      <c r="B90" s="1766"/>
      <c r="C90" s="1791"/>
      <c r="D90" s="1791"/>
      <c r="E90" s="1791"/>
      <c r="F90" s="1791"/>
      <c r="G90" s="1791"/>
      <c r="H90" s="1791"/>
      <c r="I90" s="1791"/>
      <c r="J90" s="1791"/>
      <c r="K90" s="1793"/>
      <c r="L90" s="1784"/>
    </row>
    <row r="91" spans="1:13" s="726" customFormat="1" ht="15.6" customHeight="1">
      <c r="A91" s="1770">
        <f>+A82+1</f>
        <v>4</v>
      </c>
      <c r="B91" s="1785" t="s">
        <v>1916</v>
      </c>
      <c r="C91" s="1794"/>
      <c r="D91" s="1794"/>
      <c r="E91" s="1794"/>
      <c r="F91" s="1794"/>
      <c r="G91" s="1794"/>
      <c r="H91" s="1794"/>
      <c r="I91" s="1794"/>
      <c r="J91" s="1794"/>
      <c r="K91" s="1793"/>
      <c r="L91" s="1784"/>
    </row>
    <row r="92" spans="1:13" s="726" customFormat="1" ht="11.45" customHeight="1">
      <c r="A92" s="1787"/>
      <c r="B92" s="1925" t="s">
        <v>2051</v>
      </c>
      <c r="C92" s="1925"/>
      <c r="D92" s="1925"/>
      <c r="E92" s="1925"/>
      <c r="F92" s="1925"/>
      <c r="G92" s="1925"/>
      <c r="H92" s="1925"/>
      <c r="I92" s="1925"/>
      <c r="J92" s="1795"/>
      <c r="K92" s="1795"/>
      <c r="L92" s="1795"/>
    </row>
    <row r="93" spans="1:13" s="726" customFormat="1" ht="15.6" customHeight="1">
      <c r="A93" s="1787"/>
      <c r="B93" s="1925"/>
      <c r="C93" s="1925"/>
      <c r="D93" s="1925"/>
      <c r="E93" s="1925"/>
      <c r="F93" s="1925"/>
      <c r="G93" s="1925"/>
      <c r="H93" s="1925"/>
      <c r="I93" s="1925"/>
      <c r="J93" s="1795"/>
      <c r="K93" s="1795"/>
      <c r="L93" s="1795"/>
    </row>
    <row r="94" spans="1:13" s="726" customFormat="1">
      <c r="A94" s="1787"/>
      <c r="B94" s="1925"/>
      <c r="C94" s="1925"/>
      <c r="D94" s="1925"/>
      <c r="E94" s="1925"/>
      <c r="F94" s="1925"/>
      <c r="G94" s="1925"/>
      <c r="H94" s="1925"/>
      <c r="I94" s="1925"/>
      <c r="J94" s="1795"/>
      <c r="K94" s="1795"/>
      <c r="L94" s="1795"/>
    </row>
    <row r="95" spans="1:13" s="726" customFormat="1">
      <c r="A95" s="1787"/>
      <c r="B95" s="1925"/>
      <c r="C95" s="1925"/>
      <c r="D95" s="1925"/>
      <c r="E95" s="1925"/>
      <c r="F95" s="1925"/>
      <c r="G95" s="1925"/>
      <c r="H95" s="1925"/>
      <c r="I95" s="1925"/>
      <c r="J95" s="1795"/>
      <c r="K95" s="1795"/>
      <c r="L95" s="1795"/>
    </row>
    <row r="96" spans="1:13" s="726" customFormat="1">
      <c r="A96" s="1787"/>
      <c r="B96" s="1925"/>
      <c r="C96" s="1925"/>
      <c r="D96" s="1925"/>
      <c r="E96" s="1925"/>
      <c r="F96" s="1925"/>
      <c r="G96" s="1925"/>
      <c r="H96" s="1925"/>
      <c r="I96" s="1925"/>
      <c r="J96" s="1795"/>
      <c r="K96" s="1795"/>
      <c r="L96" s="1795"/>
    </row>
    <row r="97" spans="1:16" s="726" customFormat="1" ht="9.9499999999999993" customHeight="1">
      <c r="A97" s="1787"/>
      <c r="B97" s="1925"/>
      <c r="C97" s="1925"/>
      <c r="D97" s="1925"/>
      <c r="E97" s="1925"/>
      <c r="F97" s="1925"/>
      <c r="G97" s="1925"/>
      <c r="H97" s="1925"/>
      <c r="I97" s="1925"/>
      <c r="J97" s="1795"/>
      <c r="K97" s="1795"/>
      <c r="L97" s="1795"/>
    </row>
    <row r="98" spans="1:16" s="726" customFormat="1" ht="9.9499999999999993" customHeight="1">
      <c r="A98" s="1787"/>
      <c r="B98" s="1925"/>
      <c r="C98" s="1925"/>
      <c r="D98" s="1925"/>
      <c r="E98" s="1925"/>
      <c r="F98" s="1925"/>
      <c r="G98" s="1925"/>
      <c r="H98" s="1925"/>
      <c r="I98" s="1925"/>
      <c r="J98" s="1795"/>
      <c r="K98" s="1795"/>
      <c r="L98" s="1795"/>
    </row>
    <row r="99" spans="1:16" s="726" customFormat="1" ht="9.9499999999999993" customHeight="1">
      <c r="A99" s="1787"/>
      <c r="B99" s="1925"/>
      <c r="C99" s="1925"/>
      <c r="D99" s="1925"/>
      <c r="E99" s="1925"/>
      <c r="F99" s="1925"/>
      <c r="G99" s="1925"/>
      <c r="H99" s="1925"/>
      <c r="I99" s="1925"/>
      <c r="J99" s="1790"/>
      <c r="K99" s="1790"/>
      <c r="L99" s="1790"/>
    </row>
    <row r="100" spans="1:16" s="726" customFormat="1" ht="9.9499999999999993" customHeight="1">
      <c r="A100" s="1787"/>
      <c r="B100" s="1796"/>
      <c r="C100" s="1796"/>
      <c r="D100" s="1796"/>
      <c r="E100" s="1796"/>
      <c r="F100" s="1796"/>
      <c r="G100" s="1796"/>
      <c r="H100" s="1796"/>
      <c r="I100" s="1796"/>
      <c r="J100" s="1790"/>
      <c r="K100" s="1790"/>
      <c r="L100" s="1790"/>
    </row>
    <row r="101" spans="1:16" s="726" customFormat="1" ht="15" customHeight="1">
      <c r="A101" s="1770">
        <f>+A91+1</f>
        <v>5</v>
      </c>
      <c r="B101" s="1797" t="s">
        <v>1917</v>
      </c>
      <c r="D101" s="1797"/>
      <c r="E101" s="1797"/>
      <c r="F101" s="1797"/>
      <c r="G101" s="1797"/>
      <c r="H101" s="1797"/>
      <c r="I101" s="1797"/>
      <c r="J101" s="1797"/>
      <c r="K101" s="1798"/>
      <c r="L101" s="1798"/>
    </row>
    <row r="102" spans="1:16" s="726" customFormat="1" ht="9.9499999999999993" customHeight="1">
      <c r="B102" s="1766"/>
      <c r="C102" s="1719"/>
      <c r="D102" s="1719"/>
      <c r="E102" s="1719"/>
      <c r="F102" s="1719"/>
      <c r="G102" s="159"/>
      <c r="H102" s="1719"/>
      <c r="I102" s="159"/>
      <c r="J102" s="159"/>
      <c r="K102" s="1719"/>
      <c r="L102" s="198"/>
    </row>
    <row r="103" spans="1:16" s="726" customFormat="1" ht="15" customHeight="1">
      <c r="B103" s="1926" t="s">
        <v>2049</v>
      </c>
      <c r="C103" s="1926"/>
      <c r="D103" s="1926"/>
      <c r="E103" s="1926"/>
      <c r="F103" s="1926"/>
      <c r="G103" s="1926"/>
      <c r="H103" s="1926"/>
      <c r="I103" s="1926"/>
      <c r="J103" s="1790"/>
      <c r="K103" s="1790"/>
      <c r="L103" s="198"/>
    </row>
    <row r="104" spans="1:16" s="620" customFormat="1" ht="12.75" customHeight="1">
      <c r="B104" s="1926"/>
      <c r="C104" s="1926"/>
      <c r="D104" s="1926"/>
      <c r="E104" s="1926"/>
      <c r="F104" s="1926"/>
      <c r="G104" s="1926"/>
      <c r="H104" s="1926"/>
      <c r="I104" s="1926"/>
      <c r="J104" s="1790"/>
      <c r="K104" s="1790"/>
    </row>
    <row r="105" spans="1:16" s="620" customFormat="1">
      <c r="D105" s="1231"/>
      <c r="E105" s="1209"/>
      <c r="F105" s="1210"/>
      <c r="G105" s="1230"/>
      <c r="H105" s="1230"/>
      <c r="I105" s="1230"/>
    </row>
    <row r="106" spans="1:16" s="1676" customFormat="1" ht="13.5" customHeight="1">
      <c r="A106" s="169"/>
      <c r="B106" s="1459"/>
      <c r="C106" s="1459"/>
      <c r="D106" s="1459"/>
      <c r="E106" s="1459"/>
      <c r="F106" s="1459"/>
      <c r="G106" s="752" t="s">
        <v>1809</v>
      </c>
      <c r="H106" s="89"/>
      <c r="I106" s="752" t="s">
        <v>1314</v>
      </c>
      <c r="J106" s="1459"/>
      <c r="K106" s="1459"/>
      <c r="L106" s="1459"/>
      <c r="M106" s="1459"/>
      <c r="N106" s="1459"/>
      <c r="O106" s="1459"/>
      <c r="P106" s="1459"/>
    </row>
    <row r="107" spans="1:16" s="176" customFormat="1">
      <c r="A107" s="170"/>
      <c r="B107" s="171"/>
      <c r="C107" s="171"/>
      <c r="D107" s="172"/>
      <c r="E107" s="172"/>
      <c r="G107" s="173" t="s">
        <v>1952</v>
      </c>
      <c r="H107" s="174"/>
      <c r="I107" s="173" t="s">
        <v>1952</v>
      </c>
      <c r="J107" s="173"/>
      <c r="M107" s="1799"/>
      <c r="N107" s="1800"/>
    </row>
    <row r="108" spans="1:16" s="176" customFormat="1">
      <c r="D108" s="172"/>
      <c r="E108" s="172"/>
      <c r="F108" s="177" t="s">
        <v>910</v>
      </c>
      <c r="G108" s="1903" t="s">
        <v>1310</v>
      </c>
      <c r="H108" s="1911"/>
      <c r="I108" s="1911"/>
      <c r="J108" s="1722"/>
      <c r="K108" s="176">
        <f>4780/1000</f>
        <v>4.78</v>
      </c>
      <c r="M108" s="1799"/>
      <c r="N108" s="1800"/>
    </row>
    <row r="109" spans="1:16" s="176" customFormat="1">
      <c r="A109" s="179">
        <f>+A101+1</f>
        <v>6</v>
      </c>
      <c r="B109" s="171" t="s">
        <v>1007</v>
      </c>
      <c r="C109" s="171"/>
      <c r="D109" s="180"/>
      <c r="E109" s="180"/>
      <c r="G109" s="181"/>
      <c r="H109" s="182"/>
      <c r="I109" s="183"/>
      <c r="J109" s="183"/>
      <c r="K109" s="176">
        <f>49/1000</f>
        <v>4.9000000000000002E-2</v>
      </c>
      <c r="M109" s="1799">
        <v>478000</v>
      </c>
      <c r="N109" s="1800"/>
    </row>
    <row r="110" spans="1:16" s="176" customFormat="1">
      <c r="D110" s="180"/>
      <c r="E110" s="180"/>
      <c r="G110" s="181"/>
      <c r="H110" s="182"/>
      <c r="I110" s="183"/>
      <c r="J110" s="183"/>
      <c r="M110" s="1799"/>
      <c r="N110" s="1800"/>
    </row>
    <row r="111" spans="1:16" s="176" customFormat="1">
      <c r="B111" s="184" t="s">
        <v>1730</v>
      </c>
      <c r="C111" s="184"/>
      <c r="D111" s="180"/>
      <c r="E111" s="180"/>
      <c r="F111" s="1068">
        <f>'1 - 4.2'!A115</f>
        <v>6.1</v>
      </c>
      <c r="G111" s="185">
        <v>4779450.3241100004</v>
      </c>
      <c r="H111" s="186"/>
      <c r="I111" s="187">
        <v>4545560</v>
      </c>
      <c r="J111" s="187"/>
      <c r="M111" s="1799"/>
      <c r="N111" s="1800"/>
    </row>
    <row r="112" spans="1:16" s="176" customFormat="1">
      <c r="B112" s="184" t="s">
        <v>1008</v>
      </c>
      <c r="C112" s="184"/>
      <c r="D112" s="180"/>
      <c r="E112" s="180"/>
      <c r="F112" s="1068">
        <f>'1 - 4.2'!A119</f>
        <v>6.1999999999999993</v>
      </c>
      <c r="G112" s="181">
        <v>6982.3465999999999</v>
      </c>
      <c r="H112" s="182"/>
      <c r="I112" s="183">
        <v>12334</v>
      </c>
      <c r="J112" s="1801">
        <v>274.32299999999998</v>
      </c>
      <c r="M112" s="1799"/>
      <c r="N112" s="1800"/>
    </row>
    <row r="113" spans="1:22" s="188" customFormat="1" ht="21" customHeight="1" thickBot="1">
      <c r="B113" s="189"/>
      <c r="C113" s="189"/>
      <c r="D113" s="190"/>
      <c r="E113" s="190"/>
      <c r="G113" s="191">
        <v>4786432.6707100002</v>
      </c>
      <c r="H113" s="192"/>
      <c r="I113" s="193">
        <v>4557894</v>
      </c>
      <c r="J113" s="1740"/>
      <c r="L113" s="1802"/>
      <c r="M113" s="1803"/>
      <c r="N113" s="346"/>
    </row>
    <row r="114" spans="1:22" s="176" customFormat="1" ht="23.25" customHeight="1" thickTop="1">
      <c r="B114" s="184"/>
      <c r="C114" s="184"/>
      <c r="D114" s="180"/>
      <c r="E114" s="180"/>
      <c r="G114" s="187"/>
      <c r="H114" s="186"/>
      <c r="I114" s="187"/>
      <c r="J114" s="187"/>
      <c r="L114" s="1804"/>
      <c r="M114" s="1799"/>
      <c r="N114" s="1800"/>
    </row>
    <row r="115" spans="1:22" s="176" customFormat="1" ht="12" customHeight="1">
      <c r="A115" s="195">
        <f>'1 - 4.2'!A109+0.1</f>
        <v>6.1</v>
      </c>
      <c r="B115" s="1924" t="s">
        <v>2095</v>
      </c>
      <c r="C115" s="1924"/>
      <c r="D115" s="1924"/>
      <c r="E115" s="1924"/>
      <c r="F115" s="1924"/>
      <c r="G115" s="1924"/>
      <c r="H115" s="1924"/>
      <c r="I115" s="1924"/>
      <c r="J115" s="1719"/>
      <c r="K115" s="1805"/>
      <c r="L115" s="1805"/>
      <c r="M115" s="1805"/>
      <c r="N115" s="1805"/>
      <c r="O115" s="1805"/>
      <c r="P115" s="1805"/>
      <c r="Q115" s="1805"/>
    </row>
    <row r="116" spans="1:22" s="176" customFormat="1">
      <c r="A116" s="195"/>
      <c r="B116" s="1924"/>
      <c r="C116" s="1924"/>
      <c r="D116" s="1924"/>
      <c r="E116" s="1924"/>
      <c r="F116" s="1924"/>
      <c r="G116" s="1924"/>
      <c r="H116" s="1924"/>
      <c r="I116" s="1924"/>
      <c r="J116" s="1719"/>
      <c r="K116" s="1805"/>
      <c r="L116" s="1805"/>
      <c r="M116" s="1805"/>
      <c r="N116" s="1805"/>
      <c r="O116" s="1805"/>
      <c r="P116" s="1805"/>
      <c r="Q116" s="1805"/>
    </row>
    <row r="117" spans="1:22" s="176" customFormat="1">
      <c r="A117" s="196"/>
      <c r="B117" s="1924"/>
      <c r="C117" s="1924"/>
      <c r="D117" s="1924"/>
      <c r="E117" s="1924"/>
      <c r="F117" s="1924"/>
      <c r="G117" s="1924"/>
      <c r="H117" s="1924"/>
      <c r="I117" s="1924"/>
      <c r="J117" s="1719"/>
      <c r="K117" s="1805"/>
      <c r="L117" s="1805"/>
      <c r="M117" s="1805"/>
      <c r="N117" s="1805"/>
      <c r="O117" s="1805"/>
      <c r="P117" s="1805"/>
      <c r="Q117" s="1805"/>
    </row>
    <row r="118" spans="1:22" s="176" customFormat="1" ht="17.25" customHeight="1">
      <c r="A118" s="196"/>
      <c r="B118" s="1459"/>
      <c r="C118" s="1459"/>
      <c r="D118" s="1459"/>
      <c r="E118" s="1459"/>
      <c r="F118" s="1459"/>
      <c r="G118" s="1459"/>
      <c r="H118" s="1459"/>
      <c r="I118" s="1459"/>
      <c r="J118" s="1806"/>
      <c r="K118" s="1922"/>
      <c r="L118" s="1922"/>
      <c r="M118" s="1922"/>
      <c r="N118" s="1922"/>
      <c r="O118" s="1922"/>
      <c r="P118" s="1922"/>
      <c r="Q118" s="1922"/>
    </row>
    <row r="119" spans="1:22" s="176" customFormat="1" ht="13.15" customHeight="1">
      <c r="A119" s="196">
        <f>0.1+A115</f>
        <v>6.1999999999999993</v>
      </c>
      <c r="B119" s="1923" t="s">
        <v>2096</v>
      </c>
      <c r="C119" s="1923"/>
      <c r="D119" s="1923"/>
      <c r="E119" s="1923"/>
      <c r="F119" s="1923"/>
      <c r="G119" s="1923"/>
      <c r="H119" s="1923"/>
      <c r="I119" s="1923"/>
      <c r="J119" s="1719"/>
      <c r="K119" s="1922"/>
      <c r="L119" s="1922"/>
      <c r="M119" s="1922"/>
      <c r="N119" s="1922"/>
      <c r="O119" s="1922"/>
      <c r="P119" s="1922"/>
      <c r="Q119" s="1922"/>
    </row>
    <row r="120" spans="1:22" ht="16.5" customHeight="1">
      <c r="D120" s="1720"/>
      <c r="E120" s="1720"/>
      <c r="F120" s="1720"/>
      <c r="G120" s="1720"/>
      <c r="H120" s="1720"/>
      <c r="I120" s="197"/>
      <c r="J120" s="197"/>
    </row>
    <row r="121" spans="1:22">
      <c r="C121" s="1720"/>
      <c r="D121" s="1720"/>
      <c r="E121" s="1720"/>
      <c r="F121" s="1720"/>
      <c r="G121" s="752" t="s">
        <v>1809</v>
      </c>
      <c r="H121" s="1720"/>
      <c r="I121" s="752" t="s">
        <v>1314</v>
      </c>
      <c r="J121" s="1719"/>
      <c r="L121" s="89"/>
      <c r="M121" s="1719"/>
      <c r="N121" s="197"/>
      <c r="P121" s="198"/>
      <c r="Q121" s="159"/>
      <c r="U121" s="618">
        <v>-0.01</v>
      </c>
      <c r="V121" s="617">
        <f>U121/1000</f>
        <v>-1.0000000000000001E-5</v>
      </c>
    </row>
    <row r="122" spans="1:22" s="201" customFormat="1" ht="12.95" customHeight="1">
      <c r="G122" s="173" t="s">
        <v>1952</v>
      </c>
      <c r="I122" s="173" t="s">
        <v>1952</v>
      </c>
      <c r="L122" s="174"/>
      <c r="N122" s="173"/>
      <c r="O122" s="159"/>
      <c r="Q122" s="1807"/>
      <c r="R122" s="208"/>
      <c r="U122" s="618">
        <v>73138037</v>
      </c>
      <c r="V122" s="617">
        <f>U122/1000</f>
        <v>73138.036999999997</v>
      </c>
    </row>
    <row r="123" spans="1:22" s="201" customFormat="1" ht="12.95" customHeight="1">
      <c r="A123" s="170"/>
      <c r="B123" s="157"/>
      <c r="C123" s="1719"/>
      <c r="D123" s="1719"/>
      <c r="E123" s="1719"/>
      <c r="F123" s="177" t="s">
        <v>910</v>
      </c>
      <c r="G123" s="1275" t="s">
        <v>1310</v>
      </c>
      <c r="H123" s="1719"/>
      <c r="I123" s="2"/>
      <c r="L123" s="2"/>
      <c r="N123" s="173"/>
      <c r="O123" s="159"/>
      <c r="Q123" s="1807"/>
      <c r="R123" s="208"/>
      <c r="U123" s="618">
        <v>692965344.70000005</v>
      </c>
      <c r="V123" s="617">
        <f>U123/1000</f>
        <v>692965.34470000002</v>
      </c>
    </row>
    <row r="124" spans="1:22" s="201" customFormat="1" ht="12.95" customHeight="1">
      <c r="A124" s="179">
        <f>+A109+1</f>
        <v>7</v>
      </c>
      <c r="B124" s="157" t="s">
        <v>1009</v>
      </c>
      <c r="C124" s="1719"/>
      <c r="D124" s="1719"/>
      <c r="E124" s="1719"/>
      <c r="F124" s="172"/>
      <c r="H124" s="1719"/>
      <c r="N124" s="1722"/>
      <c r="O124" s="159"/>
      <c r="Q124" s="1807"/>
      <c r="R124" s="208"/>
      <c r="U124" s="618"/>
    </row>
    <row r="125" spans="1:22" s="201" customFormat="1" ht="12.95" customHeight="1">
      <c r="A125" s="170"/>
      <c r="B125" s="157"/>
      <c r="C125" s="1719"/>
      <c r="D125" s="1719"/>
      <c r="E125" s="1719"/>
      <c r="F125" s="172"/>
      <c r="G125" s="1721"/>
      <c r="H125" s="1719"/>
      <c r="I125" s="1722"/>
      <c r="L125" s="1722"/>
      <c r="N125" s="1722"/>
      <c r="O125" s="159"/>
      <c r="Q125" s="1807"/>
      <c r="R125" s="208"/>
      <c r="U125" s="1808"/>
    </row>
    <row r="126" spans="1:22" s="201" customFormat="1" ht="12.95" customHeight="1">
      <c r="A126" s="170"/>
      <c r="B126" s="2" t="s">
        <v>1010</v>
      </c>
      <c r="C126" s="53"/>
      <c r="D126" s="53"/>
      <c r="E126" s="53"/>
      <c r="F126" s="172"/>
      <c r="H126" s="53"/>
      <c r="O126" s="159"/>
      <c r="Q126" s="1807"/>
      <c r="R126" s="208"/>
      <c r="U126" s="618"/>
    </row>
    <row r="127" spans="1:22" s="201" customFormat="1">
      <c r="A127" s="170"/>
      <c r="B127" s="2"/>
      <c r="C127" s="53"/>
      <c r="D127" s="53"/>
      <c r="E127" s="53"/>
      <c r="F127" s="172"/>
      <c r="H127" s="53"/>
      <c r="O127" s="159"/>
      <c r="Q127" s="1807"/>
      <c r="R127" s="208"/>
      <c r="U127" s="618"/>
    </row>
    <row r="128" spans="1:22" s="201" customFormat="1" ht="25.5" customHeight="1">
      <c r="A128" s="202"/>
      <c r="B128" s="1927" t="s">
        <v>1764</v>
      </c>
      <c r="C128" s="1928"/>
      <c r="D128" s="1928"/>
      <c r="E128" s="1928"/>
      <c r="F128" s="1304">
        <f>'5 - 5.1.2'!A1</f>
        <v>7.1</v>
      </c>
      <c r="G128" s="4">
        <v>1718737.5</v>
      </c>
      <c r="H128" s="203"/>
      <c r="I128" s="1305">
        <v>2282147</v>
      </c>
      <c r="J128" s="201">
        <v>224235.14898999999</v>
      </c>
      <c r="L128" s="1719"/>
      <c r="N128" s="159"/>
      <c r="O128" s="159" t="s">
        <v>1012</v>
      </c>
      <c r="P128" s="1809">
        <f>G128+G134</f>
        <v>1718737.5</v>
      </c>
      <c r="Q128" s="1807">
        <f>P128/SOAL!$F$31</f>
        <v>0.2055000277987514</v>
      </c>
      <c r="R128" s="1810">
        <v>6.7</v>
      </c>
      <c r="U128" s="618">
        <f>SUM(U121:U127)</f>
        <v>766103381.69000006</v>
      </c>
    </row>
    <row r="129" spans="1:21" s="201" customFormat="1" ht="13.5" customHeight="1">
      <c r="A129" s="202"/>
      <c r="B129" s="203" t="s">
        <v>1732</v>
      </c>
      <c r="C129" s="203"/>
      <c r="D129" s="203"/>
      <c r="E129" s="203"/>
      <c r="F129" s="205" t="str">
        <f>'5 - 5.1.2'!A83</f>
        <v>7.2</v>
      </c>
      <c r="G129" s="204">
        <v>0</v>
      </c>
      <c r="H129" s="203"/>
      <c r="I129" s="1305">
        <v>0</v>
      </c>
      <c r="J129" s="201">
        <v>433634.25254000002</v>
      </c>
      <c r="L129" s="1719"/>
      <c r="N129" s="159"/>
      <c r="O129" s="159" t="s">
        <v>1013</v>
      </c>
      <c r="P129" s="1809">
        <f>G129</f>
        <v>0</v>
      </c>
      <c r="Q129" s="1807">
        <f>P129/SOAL!$F$31</f>
        <v>0</v>
      </c>
      <c r="R129" s="1811">
        <v>9.2200000000000004E-2</v>
      </c>
      <c r="S129" s="1812">
        <v>6.6400000000000001E-2</v>
      </c>
      <c r="T129" s="1812"/>
      <c r="U129" s="19"/>
    </row>
    <row r="130" spans="1:21" s="201" customFormat="1" ht="13.5" customHeight="1">
      <c r="A130" s="202"/>
      <c r="B130" s="203" t="s">
        <v>1733</v>
      </c>
      <c r="C130" s="203"/>
      <c r="D130" s="203"/>
      <c r="E130" s="203"/>
      <c r="F130" s="205" t="str">
        <f>'5.1.2.1 - 5.1.7'!A49</f>
        <v>7.3</v>
      </c>
      <c r="G130" s="204">
        <v>276076.21461100923</v>
      </c>
      <c r="H130" s="203"/>
      <c r="I130" s="159">
        <v>204992</v>
      </c>
      <c r="L130" s="1719"/>
      <c r="N130" s="159"/>
      <c r="O130" s="159"/>
      <c r="P130" s="1809"/>
      <c r="Q130" s="1807"/>
      <c r="R130" s="1813"/>
      <c r="S130" s="1813"/>
      <c r="T130" s="1813"/>
      <c r="U130" s="19"/>
    </row>
    <row r="131" spans="1:21" s="201" customFormat="1" ht="13.5" customHeight="1">
      <c r="A131" s="202"/>
      <c r="B131" s="203" t="s">
        <v>1734</v>
      </c>
      <c r="C131" s="203"/>
      <c r="D131" s="203"/>
      <c r="E131" s="203"/>
      <c r="F131" s="205" t="str">
        <f>'5.1.2.1 - 5.1.7'!A93</f>
        <v>7.4</v>
      </c>
      <c r="G131" s="204">
        <v>33293.671278664631</v>
      </c>
      <c r="H131" s="203"/>
      <c r="I131" s="159">
        <v>40218</v>
      </c>
      <c r="L131" s="1719"/>
      <c r="N131" s="159">
        <f>'5.1.2.1 - 5.1.7'!H119</f>
        <v>40218</v>
      </c>
      <c r="O131" s="159" t="e">
        <f>N131+#REF!</f>
        <v>#REF!</v>
      </c>
      <c r="P131" s="1809" t="e">
        <f>#REF!-O131</f>
        <v>#REF!</v>
      </c>
      <c r="Q131" s="1807"/>
      <c r="R131" s="1813"/>
      <c r="S131" s="1813"/>
      <c r="T131" s="1813"/>
    </row>
    <row r="132" spans="1:21" s="201" customFormat="1" ht="13.5" customHeight="1">
      <c r="A132" s="202"/>
      <c r="B132" s="203" t="s">
        <v>1883</v>
      </c>
      <c r="F132" s="205" t="str">
        <f>+'5.3'!A1</f>
        <v>7.5</v>
      </c>
      <c r="G132" s="204">
        <v>2046173.9949999999</v>
      </c>
      <c r="I132" s="1702">
        <v>3377757</v>
      </c>
      <c r="J132" s="201">
        <v>400671.36283</v>
      </c>
      <c r="N132" s="159"/>
      <c r="O132" s="159"/>
      <c r="P132" s="1809"/>
      <c r="Q132" s="1807"/>
      <c r="R132" s="1813"/>
      <c r="S132" s="1813"/>
      <c r="T132" s="1813"/>
    </row>
    <row r="133" spans="1:21" s="201" customFormat="1" ht="12.75" customHeight="1">
      <c r="A133" s="202"/>
      <c r="B133" s="1719" t="s">
        <v>1970</v>
      </c>
      <c r="C133" s="1719"/>
      <c r="D133" s="1719"/>
      <c r="E133" s="1719"/>
      <c r="F133" s="206"/>
      <c r="G133" s="207">
        <v>117494.92815000001</v>
      </c>
      <c r="H133" s="206"/>
      <c r="I133" s="208">
        <v>77971</v>
      </c>
      <c r="L133" s="206"/>
      <c r="N133" s="208"/>
      <c r="O133" s="208">
        <v>386280</v>
      </c>
      <c r="P133" s="1809" t="e">
        <f>#REF!-O133</f>
        <v>#REF!</v>
      </c>
      <c r="Q133" s="1807"/>
    </row>
    <row r="134" spans="1:21" s="201" customFormat="1" ht="12.75" customHeight="1">
      <c r="A134" s="202"/>
      <c r="B134" s="203"/>
      <c r="C134" s="203"/>
      <c r="D134" s="203"/>
      <c r="E134" s="203"/>
      <c r="F134" s="205"/>
      <c r="G134" s="207"/>
      <c r="H134" s="203"/>
      <c r="I134" s="208"/>
      <c r="L134" s="206"/>
      <c r="N134" s="208"/>
      <c r="O134" s="159" t="s">
        <v>1013</v>
      </c>
      <c r="Q134" s="1807"/>
    </row>
    <row r="135" spans="1:21" s="201" customFormat="1">
      <c r="A135" s="202"/>
      <c r="B135" s="157"/>
      <c r="C135" s="1719"/>
      <c r="D135" s="1719"/>
      <c r="E135" s="1719"/>
      <c r="F135" s="206"/>
      <c r="G135" s="207"/>
      <c r="H135" s="1719"/>
      <c r="I135" s="208"/>
      <c r="L135" s="206"/>
      <c r="N135" s="208"/>
      <c r="O135" s="208"/>
      <c r="Q135" s="1807"/>
    </row>
    <row r="136" spans="1:21" s="1814" customFormat="1" ht="21" customHeight="1" thickBot="1">
      <c r="A136" s="210"/>
      <c r="B136" s="39"/>
      <c r="C136" s="39"/>
      <c r="D136" s="39"/>
      <c r="E136" s="39"/>
      <c r="F136" s="39"/>
      <c r="G136" s="41">
        <v>4191776.3090396738</v>
      </c>
      <c r="H136" s="39"/>
      <c r="I136" s="43">
        <v>5983085</v>
      </c>
      <c r="J136" s="39"/>
      <c r="L136" s="39"/>
      <c r="N136" s="42">
        <v>492339.08092700003</v>
      </c>
      <c r="O136" s="376">
        <v>580656</v>
      </c>
      <c r="P136" s="1815">
        <v>-88316.919072999968</v>
      </c>
      <c r="Q136" s="1816"/>
      <c r="R136" s="42"/>
      <c r="U136" s="1817"/>
    </row>
    <row r="137" spans="1:21" ht="13.5" thickTop="1">
      <c r="M137" s="1719"/>
    </row>
    <row r="206" spans="7:13">
      <c r="G206" s="1719"/>
      <c r="I206" s="1719"/>
      <c r="J206" s="1719"/>
      <c r="L206" s="1719"/>
      <c r="M206" s="1719"/>
    </row>
    <row r="207" spans="7:13">
      <c r="G207" s="1719"/>
      <c r="I207" s="1719"/>
      <c r="J207" s="1719"/>
      <c r="L207" s="1719"/>
      <c r="M207" s="1719"/>
    </row>
    <row r="208" spans="7:13">
      <c r="G208" s="1719"/>
      <c r="I208" s="1719"/>
      <c r="J208" s="1719"/>
      <c r="L208" s="1719"/>
      <c r="M208" s="1719"/>
    </row>
    <row r="209" spans="6:13">
      <c r="G209" s="1719"/>
      <c r="I209" s="1719"/>
      <c r="J209" s="1719"/>
      <c r="L209" s="1719"/>
      <c r="M209" s="1719"/>
    </row>
    <row r="210" spans="6:13">
      <c r="G210" s="1719"/>
      <c r="I210" s="1719"/>
      <c r="J210" s="1719"/>
      <c r="L210" s="1719"/>
      <c r="M210" s="1719"/>
    </row>
    <row r="211" spans="6:13">
      <c r="G211" s="1719"/>
      <c r="I211" s="1719"/>
      <c r="J211" s="1719"/>
      <c r="L211" s="1719"/>
      <c r="M211" s="1719"/>
    </row>
    <row r="212" spans="6:13">
      <c r="G212" s="1719"/>
      <c r="I212" s="1719"/>
      <c r="J212" s="1719"/>
      <c r="L212" s="1719"/>
      <c r="M212" s="1719"/>
    </row>
    <row r="213" spans="6:13">
      <c r="G213" s="1719"/>
      <c r="I213" s="1719"/>
      <c r="J213" s="1719"/>
      <c r="L213" s="1719"/>
      <c r="M213" s="1719"/>
    </row>
    <row r="214" spans="6:13">
      <c r="G214" s="1719"/>
      <c r="I214" s="1719"/>
      <c r="J214" s="1719"/>
      <c r="L214" s="1719"/>
      <c r="M214" s="1719"/>
    </row>
    <row r="215" spans="6:13">
      <c r="F215" s="198"/>
      <c r="I215" s="1719"/>
      <c r="J215" s="1719"/>
      <c r="L215" s="1719"/>
      <c r="M215" s="1719"/>
    </row>
    <row r="216" spans="6:13">
      <c r="F216" s="198"/>
      <c r="I216" s="1719"/>
      <c r="J216" s="1719"/>
      <c r="L216" s="1719"/>
      <c r="M216" s="1719"/>
    </row>
    <row r="217" spans="6:13">
      <c r="F217" s="198"/>
      <c r="I217" s="1719"/>
      <c r="J217" s="1719"/>
      <c r="L217" s="1719"/>
      <c r="M217" s="1719"/>
    </row>
    <row r="218" spans="6:13">
      <c r="F218" s="198"/>
      <c r="I218" s="1719"/>
      <c r="J218" s="1719"/>
      <c r="L218" s="1719"/>
      <c r="M218" s="1719"/>
    </row>
    <row r="219" spans="6:13">
      <c r="F219" s="198"/>
      <c r="I219" s="1719"/>
      <c r="J219" s="1719"/>
      <c r="L219" s="1719"/>
      <c r="M219" s="1719"/>
    </row>
    <row r="220" spans="6:13">
      <c r="F220" s="198"/>
      <c r="I220" s="1719"/>
      <c r="J220" s="1719"/>
      <c r="L220" s="1719"/>
      <c r="M220" s="1719"/>
    </row>
    <row r="221" spans="6:13">
      <c r="F221" s="198"/>
      <c r="I221" s="1719"/>
      <c r="J221" s="1719"/>
      <c r="L221" s="1719"/>
      <c r="M221" s="1719"/>
    </row>
    <row r="242" spans="7:16">
      <c r="K242" s="201"/>
      <c r="L242" s="1807"/>
      <c r="M242" s="208"/>
      <c r="N242" s="201"/>
      <c r="O242" s="201"/>
      <c r="P242" s="201"/>
    </row>
    <row r="243" spans="7:16">
      <c r="G243" s="159">
        <f>'1 - 4.2'!G133+'1 - 4.2'!G134</f>
        <v>117494.92815000001</v>
      </c>
      <c r="K243" s="201"/>
      <c r="L243" s="1807"/>
      <c r="M243" s="208"/>
      <c r="N243" s="201"/>
      <c r="O243" s="201"/>
      <c r="P243" s="201"/>
    </row>
    <row r="244" spans="7:16">
      <c r="G244" s="200">
        <f>G243/'1 - 4.2'!G136</f>
        <v>2.8029865977490059E-2</v>
      </c>
      <c r="K244" s="201"/>
      <c r="L244" s="1807"/>
      <c r="M244" s="208"/>
      <c r="N244" s="201"/>
      <c r="O244" s="201"/>
      <c r="P244" s="201"/>
    </row>
    <row r="245" spans="7:16">
      <c r="K245" s="201"/>
      <c r="L245" s="1807"/>
      <c r="M245" s="208"/>
      <c r="N245" s="201"/>
      <c r="O245" s="201"/>
      <c r="P245" s="201"/>
    </row>
    <row r="246" spans="7:16">
      <c r="K246" s="201"/>
      <c r="L246" s="1807"/>
      <c r="M246" s="208"/>
      <c r="N246" s="201"/>
      <c r="O246" s="201"/>
      <c r="P246" s="201"/>
    </row>
    <row r="247" spans="7:16">
      <c r="K247" s="201"/>
      <c r="L247" s="1807"/>
      <c r="M247" s="208"/>
      <c r="N247" s="201"/>
      <c r="O247" s="201"/>
      <c r="P247" s="201"/>
    </row>
    <row r="248" spans="7:16">
      <c r="K248" s="201"/>
      <c r="L248" s="1807"/>
      <c r="M248" s="208"/>
      <c r="N248" s="201"/>
      <c r="O248" s="201"/>
      <c r="P248" s="201"/>
    </row>
    <row r="249" spans="7:16">
      <c r="K249" s="201"/>
      <c r="L249" s="1807"/>
      <c r="M249" s="208"/>
      <c r="N249" s="201"/>
      <c r="O249" s="201"/>
      <c r="P249" s="201"/>
    </row>
    <row r="250" spans="7:16">
      <c r="K250" s="201"/>
      <c r="L250" s="1807"/>
      <c r="M250" s="208"/>
      <c r="N250" s="201"/>
      <c r="O250" s="201"/>
      <c r="P250" s="201"/>
    </row>
    <row r="251" spans="7:16">
      <c r="K251" s="201"/>
      <c r="L251" s="1807"/>
      <c r="M251" s="208"/>
      <c r="N251" s="201"/>
      <c r="O251" s="201"/>
      <c r="P251" s="201"/>
    </row>
    <row r="252" spans="7:16">
      <c r="K252" s="201"/>
      <c r="L252" s="1807"/>
      <c r="M252" s="208"/>
      <c r="N252" s="201"/>
      <c r="O252" s="201"/>
      <c r="P252" s="201"/>
    </row>
    <row r="272" spans="11:11">
      <c r="K272" s="159"/>
    </row>
    <row r="273" spans="1:13">
      <c r="K273" s="159"/>
    </row>
    <row r="276" spans="1:13" s="206" customFormat="1">
      <c r="A276" s="162"/>
      <c r="B276" s="1719"/>
      <c r="C276" s="1719"/>
      <c r="D276" s="1719"/>
      <c r="E276" s="1719"/>
      <c r="F276" s="1719"/>
      <c r="G276" s="159"/>
      <c r="H276" s="1719"/>
      <c r="I276" s="159"/>
      <c r="J276" s="159"/>
      <c r="L276" s="1807"/>
      <c r="M276" s="208"/>
    </row>
  </sheetData>
  <mergeCells count="26">
    <mergeCell ref="B128:E128"/>
    <mergeCell ref="B79:I80"/>
    <mergeCell ref="B84:I86"/>
    <mergeCell ref="B88:I89"/>
    <mergeCell ref="B8:I12"/>
    <mergeCell ref="B14:I17"/>
    <mergeCell ref="B19:I23"/>
    <mergeCell ref="B25:I28"/>
    <mergeCell ref="B30:I31"/>
    <mergeCell ref="B33:I34"/>
    <mergeCell ref="B40:I41"/>
    <mergeCell ref="B59:I61"/>
    <mergeCell ref="B70:I72"/>
    <mergeCell ref="B75:I76"/>
    <mergeCell ref="C43:I44"/>
    <mergeCell ref="C46:I47"/>
    <mergeCell ref="C49:I51"/>
    <mergeCell ref="B53:I58"/>
    <mergeCell ref="B62:I65"/>
    <mergeCell ref="B66:I68"/>
    <mergeCell ref="K118:Q119"/>
    <mergeCell ref="B119:I119"/>
    <mergeCell ref="G108:I108"/>
    <mergeCell ref="B115:I117"/>
    <mergeCell ref="B92:I99"/>
    <mergeCell ref="B103:I104"/>
  </mergeCells>
  <pageMargins left="0.56000000000000005" right="0.5" top="0.7" bottom="0.4" header="0.45" footer="0.5"/>
  <pageSetup scale="90" orientation="portrait" useFirstPageNumber="1"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R99"/>
  <sheetViews>
    <sheetView showGridLines="0" view="pageBreakPreview" topLeftCell="H25" zoomScale="120" zoomScaleNormal="100" zoomScaleSheetLayoutView="120" workbookViewId="0">
      <selection activeCell="N1" sqref="N1:XFD1048576"/>
    </sheetView>
  </sheetViews>
  <sheetFormatPr defaultColWidth="0" defaultRowHeight="15.75"/>
  <cols>
    <col min="1" max="1" width="7.7109375" style="250" customWidth="1"/>
    <col min="2" max="2" width="22.7109375" style="250" customWidth="1"/>
    <col min="3" max="3" width="10.7109375" style="250" customWidth="1"/>
    <col min="4" max="4" width="8.5703125" style="250" customWidth="1"/>
    <col min="5" max="5" width="11.140625" style="250" customWidth="1"/>
    <col min="6" max="6" width="9" style="250" customWidth="1"/>
    <col min="7" max="7" width="9.5703125" style="250" customWidth="1"/>
    <col min="8" max="9" width="10.140625" style="250" customWidth="1"/>
    <col min="10" max="11" width="11.7109375" style="250" customWidth="1"/>
    <col min="12" max="12" width="1.28515625" style="250" customWidth="1"/>
    <col min="13" max="13" width="11.7109375" style="250" customWidth="1"/>
    <col min="14" max="20" width="9.140625" style="250" hidden="1"/>
    <col min="21" max="21" width="16" style="250" hidden="1"/>
    <col min="22" max="22" width="12.7109375" style="250" hidden="1"/>
    <col min="23" max="174" width="0" style="250" hidden="1"/>
    <col min="175" max="16384" width="9.140625" style="250" hidden="1"/>
  </cols>
  <sheetData>
    <row r="1" spans="1:174" s="215" customFormat="1" ht="12.75">
      <c r="A1" s="213">
        <f>'1 - 4.2'!A124+0.1</f>
        <v>7.1</v>
      </c>
      <c r="B1" s="167" t="str">
        <f>'1 - 4.2'!B126</f>
        <v>Financial assets 'at fair value through profit or loss' - net</v>
      </c>
      <c r="C1" s="214"/>
      <c r="D1" s="214"/>
      <c r="E1" s="214"/>
      <c r="F1" s="214"/>
      <c r="G1" s="214"/>
      <c r="H1" s="214"/>
      <c r="I1" s="214"/>
      <c r="J1" s="214"/>
      <c r="K1" s="167"/>
      <c r="L1" s="214"/>
      <c r="M1" s="214"/>
      <c r="Q1" s="216"/>
      <c r="R1" s="216"/>
      <c r="S1" s="217"/>
      <c r="T1" s="217"/>
      <c r="X1" s="218">
        <v>0</v>
      </c>
      <c r="Y1" s="218">
        <v>0</v>
      </c>
    </row>
    <row r="2" spans="1:174" s="215" customFormat="1" ht="9" customHeight="1">
      <c r="A2" s="219"/>
      <c r="B2" s="214"/>
      <c r="C2" s="214"/>
      <c r="D2" s="214"/>
      <c r="E2" s="214"/>
      <c r="F2" s="214"/>
      <c r="G2" s="214"/>
      <c r="H2" s="214"/>
      <c r="I2" s="214"/>
      <c r="J2" s="214"/>
      <c r="K2" s="167"/>
      <c r="L2" s="214"/>
      <c r="M2" s="214"/>
      <c r="N2" s="215">
        <v>492339.08092700003</v>
      </c>
      <c r="Q2" s="216"/>
      <c r="R2" s="216">
        <f>+'5.1.2.1 - 5.1.7'!H71</f>
        <v>276076.21461100923</v>
      </c>
      <c r="S2" s="217"/>
      <c r="T2" s="217"/>
    </row>
    <row r="3" spans="1:174" s="223" customFormat="1" ht="12.75">
      <c r="A3" s="213" t="str">
        <f>$A$1&amp;".1"</f>
        <v>7.1.1</v>
      </c>
      <c r="B3" s="220" t="s">
        <v>2097</v>
      </c>
      <c r="C3" s="221"/>
      <c r="D3" s="221"/>
      <c r="E3" s="221"/>
      <c r="F3" s="221"/>
      <c r="G3" s="221"/>
      <c r="H3" s="221"/>
      <c r="I3" s="222"/>
      <c r="J3" s="222"/>
      <c r="K3" s="222"/>
      <c r="L3" s="222"/>
      <c r="M3" s="222"/>
      <c r="U3" s="224"/>
      <c r="V3" s="224"/>
      <c r="W3" s="224"/>
      <c r="X3" s="218" t="e">
        <v>#REF!</v>
      </c>
      <c r="Y3" s="218" t="e">
        <v>#REF!</v>
      </c>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row>
    <row r="4" spans="1:174" s="5" customFormat="1" ht="8.25" hidden="1" customHeight="1">
      <c r="A4" s="225"/>
      <c r="B4" s="225"/>
      <c r="C4" s="225"/>
      <c r="D4" s="225"/>
      <c r="E4" s="225"/>
      <c r="F4" s="225"/>
      <c r="G4" s="225"/>
      <c r="H4" s="225"/>
      <c r="I4" s="225"/>
      <c r="J4" s="225"/>
      <c r="K4" s="225"/>
      <c r="L4" s="225"/>
      <c r="M4" s="75"/>
    </row>
    <row r="5" spans="1:174" s="5" customFormat="1" ht="12" hidden="1">
      <c r="A5" s="20" t="s">
        <v>1015</v>
      </c>
      <c r="B5" s="20" t="s">
        <v>1016</v>
      </c>
      <c r="C5" s="20"/>
      <c r="E5" s="225"/>
      <c r="F5" s="225"/>
      <c r="G5" s="225"/>
      <c r="H5" s="225"/>
      <c r="I5" s="225"/>
      <c r="J5" s="225"/>
      <c r="K5" s="225"/>
      <c r="L5" s="225"/>
      <c r="M5" s="75"/>
    </row>
    <row r="6" spans="1:174" s="5" customFormat="1" ht="12">
      <c r="A6" s="225"/>
      <c r="B6" s="225"/>
      <c r="C6" s="225"/>
      <c r="D6" s="225"/>
      <c r="E6" s="225"/>
      <c r="F6" s="225"/>
      <c r="G6" s="225"/>
      <c r="H6" s="225"/>
      <c r="I6" s="225"/>
      <c r="J6" s="225"/>
      <c r="K6" s="225"/>
      <c r="L6" s="225"/>
      <c r="M6" s="75"/>
    </row>
    <row r="7" spans="1:174" s="226" customFormat="1" ht="11.25" customHeight="1">
      <c r="B7" s="1944" t="s">
        <v>971</v>
      </c>
      <c r="C7" s="1947" t="s">
        <v>1017</v>
      </c>
      <c r="D7" s="1950" t="s">
        <v>1018</v>
      </c>
      <c r="E7" s="1951"/>
      <c r="F7" s="1951"/>
      <c r="G7" s="1952"/>
      <c r="H7" s="1960" t="s">
        <v>1974</v>
      </c>
      <c r="I7" s="1961"/>
      <c r="J7" s="1962"/>
      <c r="K7" s="1953" t="s">
        <v>1021</v>
      </c>
      <c r="L7" s="227"/>
      <c r="M7" s="1939" t="s">
        <v>1022</v>
      </c>
      <c r="Q7" s="228">
        <f>'5.2 - 5.3'!L18</f>
        <v>0</v>
      </c>
      <c r="R7" s="228">
        <f>'5.2 - 5.3'!N18</f>
        <v>0</v>
      </c>
    </row>
    <row r="8" spans="1:174" s="226" customFormat="1" ht="11.25" customHeight="1">
      <c r="B8" s="1945"/>
      <c r="C8" s="1948"/>
      <c r="D8" s="1956" t="s">
        <v>1971</v>
      </c>
      <c r="E8" s="1957" t="s">
        <v>1972</v>
      </c>
      <c r="F8" s="1957" t="s">
        <v>1973</v>
      </c>
      <c r="G8" s="1957" t="s">
        <v>1974</v>
      </c>
      <c r="H8" s="1957" t="s">
        <v>1476</v>
      </c>
      <c r="I8" s="1957" t="s">
        <v>1477</v>
      </c>
      <c r="J8" s="1957" t="s">
        <v>1432</v>
      </c>
      <c r="K8" s="1954"/>
      <c r="L8" s="229"/>
      <c r="M8" s="1940"/>
      <c r="Q8" s="230">
        <f>SUM(Q7:Q7)</f>
        <v>0</v>
      </c>
      <c r="R8" s="230">
        <f>SUM(R7:R7)</f>
        <v>0</v>
      </c>
    </row>
    <row r="9" spans="1:174" s="226" customFormat="1" ht="9">
      <c r="B9" s="1945"/>
      <c r="C9" s="1948"/>
      <c r="D9" s="1956"/>
      <c r="E9" s="1958"/>
      <c r="F9" s="1958"/>
      <c r="G9" s="1958"/>
      <c r="H9" s="1958"/>
      <c r="I9" s="1958"/>
      <c r="J9" s="1958"/>
      <c r="K9" s="1954"/>
      <c r="L9" s="229"/>
      <c r="M9" s="1940"/>
      <c r="Q9" s="231" t="e">
        <f>ROUND('1 - 4.2'!#REF!/SOAL!F31,4)-0.01%</f>
        <v>#REF!</v>
      </c>
      <c r="R9" s="231" t="e">
        <f>'1 - 4.2'!#REF!/'1 - 4.2'!G136+0.01%</f>
        <v>#REF!</v>
      </c>
    </row>
    <row r="10" spans="1:174" s="226" customFormat="1" ht="4.5" customHeight="1">
      <c r="B10" s="1945"/>
      <c r="C10" s="1948"/>
      <c r="D10" s="1956"/>
      <c r="E10" s="1958"/>
      <c r="F10" s="1958"/>
      <c r="G10" s="1958"/>
      <c r="H10" s="1958"/>
      <c r="I10" s="1958"/>
      <c r="J10" s="1958"/>
      <c r="K10" s="1954"/>
      <c r="L10" s="229"/>
      <c r="M10" s="1940"/>
      <c r="Q10" s="231"/>
      <c r="R10" s="231"/>
    </row>
    <row r="11" spans="1:174" s="226" customFormat="1" ht="9.75" thickBot="1">
      <c r="B11" s="1945"/>
      <c r="C11" s="1948"/>
      <c r="D11" s="1956"/>
      <c r="E11" s="1958"/>
      <c r="F11" s="1958"/>
      <c r="G11" s="1958"/>
      <c r="H11" s="1958"/>
      <c r="I11" s="1958"/>
      <c r="J11" s="1958"/>
      <c r="K11" s="1954"/>
      <c r="L11" s="229"/>
      <c r="M11" s="1940"/>
      <c r="Q11" s="232" t="e">
        <f>SUM(Q8:Q9)</f>
        <v>#REF!</v>
      </c>
      <c r="R11" s="232" t="e">
        <f>SUM(R8:R9)</f>
        <v>#REF!</v>
      </c>
    </row>
    <row r="12" spans="1:174" s="226" customFormat="1" ht="9.75" thickTop="1">
      <c r="B12" s="1946"/>
      <c r="C12" s="1949"/>
      <c r="D12" s="1956"/>
      <c r="E12" s="1959"/>
      <c r="F12" s="1959"/>
      <c r="G12" s="1959"/>
      <c r="H12" s="1959"/>
      <c r="I12" s="1959"/>
      <c r="J12" s="1959"/>
      <c r="K12" s="1955"/>
      <c r="L12" s="233"/>
      <c r="M12" s="1941"/>
    </row>
    <row r="13" spans="1:174" s="234" customFormat="1" ht="19.5" customHeight="1">
      <c r="B13" s="235"/>
      <c r="C13" s="235"/>
      <c r="D13" s="1937" t="s">
        <v>1310</v>
      </c>
      <c r="E13" s="1937"/>
      <c r="F13" s="1937"/>
      <c r="G13" s="1937"/>
      <c r="H13" s="1937"/>
      <c r="I13" s="1937"/>
      <c r="J13" s="1937"/>
      <c r="K13" s="1938" t="s">
        <v>1502</v>
      </c>
      <c r="L13" s="1938"/>
      <c r="M13" s="1938"/>
      <c r="N13" s="237"/>
      <c r="O13" s="237"/>
      <c r="P13" s="237"/>
      <c r="Q13" s="238">
        <f>ROUND(SOAL!F12/SOAL!F31,4)</f>
        <v>0.50119999999999998</v>
      </c>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37"/>
      <c r="AW13" s="237"/>
      <c r="AX13" s="237"/>
      <c r="AY13" s="237"/>
      <c r="AZ13" s="237"/>
      <c r="BA13" s="237"/>
      <c r="BB13" s="237"/>
      <c r="BC13" s="237"/>
      <c r="BD13" s="237"/>
      <c r="BE13" s="237"/>
      <c r="BF13" s="237"/>
      <c r="BG13" s="237"/>
      <c r="BH13" s="237"/>
      <c r="BI13" s="237"/>
      <c r="BJ13" s="237"/>
      <c r="BK13" s="237"/>
      <c r="BL13" s="237"/>
      <c r="BM13" s="237"/>
      <c r="BN13" s="237"/>
      <c r="BO13" s="237"/>
      <c r="BP13" s="237"/>
      <c r="BQ13" s="237"/>
      <c r="BR13" s="237"/>
      <c r="BS13" s="237"/>
      <c r="BT13" s="237"/>
      <c r="BU13" s="237"/>
      <c r="BV13" s="237"/>
      <c r="BW13" s="237"/>
      <c r="BX13" s="237"/>
      <c r="BY13" s="237"/>
      <c r="BZ13" s="237"/>
      <c r="CA13" s="237"/>
      <c r="CB13" s="237"/>
      <c r="CC13" s="237"/>
      <c r="CD13" s="237"/>
      <c r="CE13" s="237"/>
      <c r="CF13" s="237"/>
      <c r="CG13" s="237"/>
      <c r="CH13" s="237"/>
      <c r="CI13" s="237"/>
      <c r="CJ13" s="237"/>
      <c r="CK13" s="237"/>
      <c r="CL13" s="237"/>
      <c r="CM13" s="237"/>
      <c r="CN13" s="237"/>
      <c r="CO13" s="237"/>
      <c r="CP13" s="237"/>
      <c r="CQ13" s="237"/>
      <c r="CR13" s="237"/>
      <c r="CS13" s="237"/>
      <c r="CT13" s="237"/>
      <c r="CU13" s="237"/>
      <c r="CV13" s="237"/>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37"/>
      <c r="DS13" s="237"/>
      <c r="DT13" s="237"/>
      <c r="DU13" s="237"/>
      <c r="DV13" s="237"/>
      <c r="DW13" s="237"/>
      <c r="DX13" s="237"/>
      <c r="DY13" s="237"/>
      <c r="DZ13" s="237"/>
      <c r="EA13" s="237"/>
      <c r="EB13" s="237"/>
      <c r="EC13" s="237"/>
      <c r="ED13" s="237"/>
      <c r="EE13" s="237"/>
      <c r="EF13" s="237"/>
      <c r="EG13" s="237"/>
      <c r="EH13" s="237"/>
      <c r="EI13" s="237"/>
      <c r="EJ13" s="237"/>
      <c r="EK13" s="237"/>
      <c r="EL13" s="237"/>
      <c r="EM13" s="237"/>
      <c r="EN13" s="237"/>
      <c r="EO13" s="237"/>
      <c r="EP13" s="237"/>
      <c r="EQ13" s="237"/>
      <c r="ER13" s="237"/>
      <c r="ES13" s="237"/>
      <c r="ET13" s="237"/>
      <c r="EU13" s="237"/>
      <c r="EV13" s="237"/>
      <c r="EW13" s="237"/>
      <c r="EX13" s="237"/>
      <c r="EY13" s="237"/>
      <c r="EZ13" s="237"/>
      <c r="FA13" s="237"/>
      <c r="FB13" s="237"/>
      <c r="FC13" s="237"/>
      <c r="FD13" s="237"/>
      <c r="FE13" s="237"/>
      <c r="FF13" s="237"/>
      <c r="FG13" s="237"/>
      <c r="FH13" s="237"/>
      <c r="FI13" s="237"/>
      <c r="FJ13" s="237"/>
      <c r="FK13" s="237"/>
    </row>
    <row r="14" spans="1:174" s="234" customFormat="1" ht="3.75" customHeight="1">
      <c r="D14" s="239"/>
      <c r="E14" s="239"/>
      <c r="F14" s="239"/>
      <c r="G14" s="239"/>
      <c r="H14" s="240"/>
      <c r="I14" s="241"/>
      <c r="J14" s="241"/>
      <c r="K14" s="242"/>
      <c r="L14" s="242"/>
      <c r="M14" s="135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c r="AP14" s="237"/>
      <c r="AQ14" s="237"/>
      <c r="AR14" s="237"/>
      <c r="AS14" s="237"/>
      <c r="AT14" s="237"/>
      <c r="AU14" s="237"/>
      <c r="AV14" s="237"/>
      <c r="AW14" s="237"/>
      <c r="AX14" s="237"/>
      <c r="AY14" s="237"/>
      <c r="AZ14" s="237"/>
      <c r="BA14" s="237"/>
      <c r="BB14" s="237"/>
      <c r="BC14" s="237"/>
      <c r="BD14" s="237"/>
      <c r="BE14" s="237"/>
      <c r="BF14" s="237"/>
      <c r="BG14" s="237"/>
      <c r="BH14" s="237"/>
      <c r="BI14" s="237"/>
      <c r="BJ14" s="237"/>
      <c r="BK14" s="237"/>
      <c r="BL14" s="237"/>
      <c r="BM14" s="237"/>
      <c r="BN14" s="237"/>
      <c r="BO14" s="237"/>
      <c r="BP14" s="237"/>
      <c r="BQ14" s="237"/>
      <c r="BR14" s="237"/>
      <c r="BS14" s="237"/>
      <c r="BT14" s="237"/>
      <c r="BU14" s="237"/>
      <c r="BV14" s="237"/>
      <c r="BW14" s="237"/>
      <c r="BX14" s="237"/>
      <c r="BY14" s="237"/>
      <c r="BZ14" s="237"/>
      <c r="CA14" s="237"/>
      <c r="CB14" s="237"/>
      <c r="CC14" s="237"/>
      <c r="CD14" s="237"/>
      <c r="CE14" s="237"/>
      <c r="CF14" s="237"/>
      <c r="CG14" s="237"/>
      <c r="CH14" s="237"/>
      <c r="CI14" s="237"/>
      <c r="CJ14" s="237"/>
      <c r="CK14" s="237"/>
      <c r="CL14" s="237"/>
      <c r="CM14" s="237"/>
      <c r="CN14" s="237"/>
      <c r="CO14" s="237"/>
      <c r="CP14" s="237"/>
      <c r="CQ14" s="237"/>
      <c r="CR14" s="237"/>
      <c r="CS14" s="237"/>
      <c r="CT14" s="237"/>
      <c r="CU14" s="237"/>
      <c r="CV14" s="237"/>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37"/>
      <c r="DS14" s="237"/>
      <c r="DT14" s="237"/>
      <c r="DU14" s="237"/>
      <c r="DV14" s="237"/>
      <c r="DW14" s="237"/>
      <c r="DX14" s="237"/>
      <c r="DY14" s="237"/>
      <c r="DZ14" s="237"/>
      <c r="EA14" s="237"/>
      <c r="EB14" s="237"/>
      <c r="EC14" s="237"/>
      <c r="ED14" s="237"/>
      <c r="EE14" s="237"/>
      <c r="EF14" s="237"/>
      <c r="EG14" s="237"/>
      <c r="EH14" s="237"/>
      <c r="EI14" s="237"/>
      <c r="EJ14" s="237"/>
      <c r="EK14" s="237"/>
      <c r="EL14" s="237"/>
      <c r="EM14" s="237"/>
      <c r="EN14" s="237"/>
      <c r="EO14" s="237"/>
      <c r="EP14" s="237"/>
      <c r="EQ14" s="237"/>
      <c r="ER14" s="237"/>
      <c r="ES14" s="237"/>
      <c r="ET14" s="237"/>
      <c r="EU14" s="237"/>
      <c r="EV14" s="237"/>
      <c r="EW14" s="237"/>
      <c r="EX14" s="237"/>
      <c r="EY14" s="237"/>
      <c r="EZ14" s="237"/>
      <c r="FA14" s="237"/>
      <c r="FB14" s="237"/>
      <c r="FC14" s="237"/>
      <c r="FD14" s="237"/>
      <c r="FE14" s="237"/>
      <c r="FF14" s="237"/>
      <c r="FG14" s="237"/>
      <c r="FH14" s="237"/>
      <c r="FI14" s="237"/>
      <c r="FJ14" s="237"/>
      <c r="FK14" s="237"/>
    </row>
    <row r="15" spans="1:174" s="234" customFormat="1" ht="9">
      <c r="B15" s="271" t="s">
        <v>1030</v>
      </c>
      <c r="C15" s="1467" t="s">
        <v>2053</v>
      </c>
      <c r="D15" s="1358">
        <v>0</v>
      </c>
      <c r="E15" s="1358">
        <v>425000</v>
      </c>
      <c r="F15" s="1358">
        <v>425000</v>
      </c>
      <c r="G15" s="1358">
        <f>D15+E15-F15</f>
        <v>0</v>
      </c>
      <c r="H15" s="1359">
        <v>0</v>
      </c>
      <c r="I15" s="1360">
        <v>0</v>
      </c>
      <c r="J15" s="1360">
        <v>0</v>
      </c>
      <c r="K15" s="1360">
        <f>ROUND(I15/SOAL!$F$31,4)*100</f>
        <v>0</v>
      </c>
      <c r="L15" s="271"/>
      <c r="M15" s="1360">
        <f>ROUND(I15/SOAL!$F$12,4)*100</f>
        <v>0</v>
      </c>
      <c r="N15" s="1212"/>
      <c r="P15" s="237"/>
      <c r="Q15" s="237"/>
      <c r="R15" s="237"/>
      <c r="S15" s="237"/>
      <c r="T15" s="237"/>
      <c r="U15" s="237"/>
      <c r="V15" s="237"/>
      <c r="W15" s="237"/>
      <c r="X15" s="237"/>
      <c r="Y15" s="237"/>
      <c r="Z15" s="237"/>
      <c r="AA15" s="237"/>
      <c r="AB15" s="237"/>
      <c r="AC15" s="237"/>
      <c r="AD15" s="237"/>
      <c r="AE15" s="237"/>
      <c r="AF15" s="237"/>
      <c r="AG15" s="237"/>
      <c r="AH15" s="237"/>
      <c r="AI15" s="237"/>
      <c r="AJ15" s="237"/>
      <c r="AK15" s="237"/>
      <c r="AL15" s="237"/>
      <c r="AM15" s="237"/>
      <c r="AN15" s="237"/>
      <c r="AO15" s="237"/>
      <c r="AP15" s="237"/>
      <c r="AQ15" s="237"/>
      <c r="AR15" s="237"/>
      <c r="AS15" s="237"/>
      <c r="AT15" s="237"/>
      <c r="AU15" s="237"/>
      <c r="AV15" s="237"/>
      <c r="AW15" s="237"/>
      <c r="AX15" s="237"/>
      <c r="AY15" s="237"/>
      <c r="AZ15" s="237"/>
      <c r="BA15" s="237"/>
      <c r="BB15" s="237"/>
      <c r="BC15" s="237"/>
      <c r="BD15" s="237"/>
      <c r="BE15" s="237"/>
      <c r="BF15" s="237"/>
      <c r="BG15" s="237"/>
      <c r="BH15" s="237"/>
      <c r="BI15" s="237"/>
      <c r="BJ15" s="237"/>
      <c r="BK15" s="237"/>
      <c r="BL15" s="237"/>
      <c r="BM15" s="237"/>
      <c r="BN15" s="237"/>
      <c r="BO15" s="237"/>
      <c r="BP15" s="237"/>
      <c r="BQ15" s="237"/>
      <c r="BR15" s="237"/>
      <c r="BS15" s="237"/>
      <c r="BT15" s="237"/>
      <c r="BU15" s="237"/>
      <c r="BV15" s="237"/>
      <c r="BW15" s="237"/>
      <c r="BX15" s="237"/>
      <c r="BY15" s="237"/>
      <c r="BZ15" s="237"/>
      <c r="CA15" s="237"/>
      <c r="CB15" s="237"/>
      <c r="CC15" s="237"/>
      <c r="CD15" s="237"/>
      <c r="CE15" s="237"/>
      <c r="CF15" s="237"/>
      <c r="CG15" s="237"/>
      <c r="CH15" s="237"/>
      <c r="CI15" s="237"/>
      <c r="CJ15" s="237"/>
      <c r="CK15" s="237"/>
      <c r="CL15" s="237"/>
      <c r="CM15" s="237"/>
      <c r="CN15" s="237"/>
      <c r="CO15" s="237"/>
      <c r="CP15" s="237"/>
      <c r="CQ15" s="237"/>
      <c r="CR15" s="237"/>
      <c r="CS15" s="237"/>
      <c r="CT15" s="237"/>
      <c r="CU15" s="237"/>
      <c r="CV15" s="237"/>
      <c r="CW15" s="237"/>
      <c r="CX15" s="237"/>
      <c r="CY15" s="237"/>
      <c r="CZ15" s="237"/>
      <c r="DA15" s="237"/>
      <c r="DB15" s="237"/>
      <c r="DC15" s="237"/>
      <c r="DD15" s="237"/>
      <c r="DE15" s="237"/>
      <c r="DF15" s="237"/>
      <c r="DG15" s="237"/>
      <c r="DH15" s="237"/>
      <c r="DI15" s="237"/>
      <c r="DJ15" s="237"/>
      <c r="DK15" s="237"/>
      <c r="DL15" s="237"/>
      <c r="DM15" s="237"/>
      <c r="DN15" s="237"/>
      <c r="DO15" s="237"/>
      <c r="DP15" s="237"/>
      <c r="DQ15" s="237"/>
      <c r="DR15" s="237"/>
      <c r="DS15" s="237"/>
      <c r="DT15" s="237"/>
      <c r="DU15" s="237"/>
      <c r="DV15" s="237"/>
      <c r="DW15" s="237"/>
      <c r="DX15" s="237"/>
      <c r="DY15" s="237"/>
      <c r="DZ15" s="237"/>
      <c r="EA15" s="237"/>
      <c r="EB15" s="237"/>
      <c r="EC15" s="237"/>
      <c r="ED15" s="237"/>
      <c r="EE15" s="237"/>
      <c r="EF15" s="237"/>
      <c r="EG15" s="237"/>
      <c r="EH15" s="237"/>
      <c r="EI15" s="237"/>
      <c r="EJ15" s="237"/>
      <c r="EK15" s="237"/>
      <c r="EL15" s="237"/>
      <c r="EM15" s="237"/>
      <c r="EN15" s="237"/>
      <c r="EO15" s="237"/>
      <c r="EP15" s="237"/>
      <c r="EQ15" s="237"/>
      <c r="ER15" s="237"/>
      <c r="ES15" s="237"/>
      <c r="ET15" s="237"/>
      <c r="EU15" s="237"/>
      <c r="EV15" s="237"/>
      <c r="EW15" s="237"/>
      <c r="EX15" s="237"/>
      <c r="EY15" s="237"/>
      <c r="EZ15" s="237"/>
      <c r="FA15" s="237"/>
      <c r="FB15" s="237"/>
      <c r="FC15" s="237"/>
      <c r="FD15" s="237"/>
      <c r="FE15" s="237"/>
      <c r="FF15" s="237"/>
      <c r="FG15" s="237"/>
      <c r="FH15" s="237"/>
      <c r="FI15" s="237"/>
      <c r="FJ15" s="237"/>
      <c r="FK15" s="237"/>
    </row>
    <row r="16" spans="1:174" s="234" customFormat="1" ht="9">
      <c r="B16" s="271" t="s">
        <v>1030</v>
      </c>
      <c r="C16" s="1467" t="s">
        <v>2054</v>
      </c>
      <c r="D16" s="1358">
        <v>0</v>
      </c>
      <c r="E16" s="1358">
        <v>4500000</v>
      </c>
      <c r="F16" s="1358">
        <v>4500000</v>
      </c>
      <c r="G16" s="1358">
        <f t="shared" ref="G16:G24" si="0">D16+E16-F16</f>
        <v>0</v>
      </c>
      <c r="H16" s="1359">
        <v>0</v>
      </c>
      <c r="I16" s="1360">
        <v>0</v>
      </c>
      <c r="J16" s="1360">
        <v>0</v>
      </c>
      <c r="K16" s="1360">
        <f>ROUND(I16/SOAL!$F$31,4)*100</f>
        <v>0</v>
      </c>
      <c r="L16" s="271"/>
      <c r="M16" s="1360">
        <f>ROUND(I16/SOAL!$F$12,4)*100</f>
        <v>0</v>
      </c>
      <c r="N16" s="1212"/>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37"/>
      <c r="BD16" s="237"/>
      <c r="BE16" s="237"/>
      <c r="BF16" s="237"/>
      <c r="BG16" s="237"/>
      <c r="BH16" s="237"/>
      <c r="BI16" s="237"/>
      <c r="BJ16" s="237"/>
      <c r="BK16" s="237"/>
      <c r="BL16" s="237"/>
      <c r="BM16" s="237"/>
      <c r="BN16" s="237"/>
      <c r="BO16" s="237"/>
      <c r="BP16" s="237"/>
      <c r="BQ16" s="237"/>
      <c r="BR16" s="237"/>
      <c r="BS16" s="237"/>
      <c r="BT16" s="237"/>
      <c r="BU16" s="237"/>
      <c r="BV16" s="237"/>
      <c r="BW16" s="237"/>
      <c r="BX16" s="237"/>
      <c r="BY16" s="237"/>
      <c r="BZ16" s="237"/>
      <c r="CA16" s="237"/>
      <c r="CB16" s="237"/>
      <c r="CC16" s="237"/>
      <c r="CD16" s="237"/>
      <c r="CE16" s="237"/>
      <c r="CF16" s="237"/>
      <c r="CG16" s="237"/>
      <c r="CH16" s="237"/>
      <c r="CI16" s="237"/>
      <c r="CJ16" s="237"/>
      <c r="CK16" s="237"/>
      <c r="CL16" s="237"/>
      <c r="CM16" s="237"/>
      <c r="CN16" s="237"/>
      <c r="CO16" s="237"/>
      <c r="CP16" s="237"/>
      <c r="CQ16" s="237"/>
      <c r="CR16" s="237"/>
      <c r="CS16" s="237"/>
      <c r="CT16" s="237"/>
      <c r="CU16" s="237"/>
      <c r="CV16" s="237"/>
      <c r="CW16" s="237"/>
      <c r="CX16" s="237"/>
      <c r="CY16" s="237"/>
      <c r="CZ16" s="237"/>
      <c r="DA16" s="237"/>
      <c r="DB16" s="237"/>
      <c r="DC16" s="237"/>
      <c r="DD16" s="237"/>
      <c r="DE16" s="237"/>
      <c r="DF16" s="237"/>
      <c r="DG16" s="237"/>
      <c r="DH16" s="237"/>
      <c r="DI16" s="237"/>
      <c r="DJ16" s="237"/>
      <c r="DK16" s="237"/>
      <c r="DL16" s="237"/>
      <c r="DM16" s="237"/>
      <c r="DN16" s="237"/>
      <c r="DO16" s="237"/>
      <c r="DP16" s="237"/>
      <c r="DQ16" s="237"/>
      <c r="DR16" s="237"/>
      <c r="DS16" s="237"/>
      <c r="DT16" s="237"/>
      <c r="DU16" s="237"/>
      <c r="DV16" s="237"/>
      <c r="DW16" s="237"/>
      <c r="DX16" s="237"/>
      <c r="DY16" s="237"/>
      <c r="DZ16" s="237"/>
      <c r="EA16" s="237"/>
      <c r="EB16" s="237"/>
      <c r="EC16" s="237"/>
      <c r="ED16" s="237"/>
      <c r="EE16" s="237"/>
      <c r="EF16" s="237"/>
      <c r="EG16" s="237"/>
      <c r="EH16" s="237"/>
      <c r="EI16" s="237"/>
      <c r="EJ16" s="237"/>
      <c r="EK16" s="237"/>
      <c r="EL16" s="237"/>
      <c r="EM16" s="237"/>
      <c r="EN16" s="237"/>
      <c r="EO16" s="237"/>
      <c r="EP16" s="237"/>
      <c r="EQ16" s="237"/>
      <c r="ER16" s="237"/>
      <c r="ES16" s="237"/>
      <c r="ET16" s="237"/>
      <c r="EU16" s="237"/>
      <c r="EV16" s="237"/>
      <c r="EW16" s="237"/>
      <c r="EX16" s="237"/>
      <c r="EY16" s="237"/>
      <c r="EZ16" s="237"/>
      <c r="FA16" s="237"/>
      <c r="FB16" s="237"/>
      <c r="FC16" s="237"/>
      <c r="FD16" s="237"/>
      <c r="FE16" s="237"/>
      <c r="FF16" s="237"/>
      <c r="FG16" s="237"/>
      <c r="FH16" s="237"/>
      <c r="FI16" s="237"/>
      <c r="FJ16" s="237"/>
      <c r="FK16" s="237"/>
    </row>
    <row r="17" spans="2:167" s="234" customFormat="1" ht="9">
      <c r="B17" s="271" t="s">
        <v>1030</v>
      </c>
      <c r="C17" s="1467" t="s">
        <v>2055</v>
      </c>
      <c r="D17" s="1358">
        <v>0</v>
      </c>
      <c r="E17" s="1358">
        <v>3000000</v>
      </c>
      <c r="F17" s="1358">
        <v>3000000</v>
      </c>
      <c r="G17" s="1358">
        <f t="shared" si="0"/>
        <v>0</v>
      </c>
      <c r="H17" s="1359">
        <v>0</v>
      </c>
      <c r="I17" s="1360">
        <v>0</v>
      </c>
      <c r="J17" s="1360">
        <v>0</v>
      </c>
      <c r="K17" s="1360">
        <f>ROUND(I17/SOAL!$F$31,4)*100</f>
        <v>0</v>
      </c>
      <c r="L17" s="271"/>
      <c r="M17" s="1360">
        <f>ROUND(I17/SOAL!$F$12,4)*100</f>
        <v>0</v>
      </c>
      <c r="N17" s="1212"/>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c r="AP17" s="237"/>
      <c r="AQ17" s="237"/>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7"/>
      <c r="BS17" s="237"/>
      <c r="BT17" s="237"/>
      <c r="BU17" s="237"/>
      <c r="BV17" s="237"/>
      <c r="BW17" s="237"/>
      <c r="BX17" s="237"/>
      <c r="BY17" s="237"/>
      <c r="BZ17" s="237"/>
      <c r="CA17" s="237"/>
      <c r="CB17" s="237"/>
      <c r="CC17" s="237"/>
      <c r="CD17" s="237"/>
      <c r="CE17" s="237"/>
      <c r="CF17" s="237"/>
      <c r="CG17" s="237"/>
      <c r="CH17" s="237"/>
      <c r="CI17" s="237"/>
      <c r="CJ17" s="237"/>
      <c r="CK17" s="237"/>
      <c r="CL17" s="237"/>
      <c r="CM17" s="237"/>
      <c r="CN17" s="237"/>
      <c r="CO17" s="237"/>
      <c r="CP17" s="237"/>
      <c r="CQ17" s="237"/>
      <c r="CR17" s="237"/>
      <c r="CS17" s="237"/>
      <c r="CT17" s="237"/>
      <c r="CU17" s="237"/>
      <c r="CV17" s="237"/>
      <c r="CW17" s="237"/>
      <c r="CX17" s="237"/>
      <c r="CY17" s="237"/>
      <c r="CZ17" s="237"/>
      <c r="DA17" s="237"/>
      <c r="DB17" s="237"/>
      <c r="DC17" s="237"/>
      <c r="DD17" s="237"/>
      <c r="DE17" s="237"/>
      <c r="DF17" s="237"/>
      <c r="DG17" s="237"/>
      <c r="DH17" s="237"/>
      <c r="DI17" s="237"/>
      <c r="DJ17" s="237"/>
      <c r="DK17" s="237"/>
      <c r="DL17" s="237"/>
      <c r="DM17" s="237"/>
      <c r="DN17" s="237"/>
      <c r="DO17" s="237"/>
      <c r="DP17" s="237"/>
      <c r="DQ17" s="237"/>
      <c r="DR17" s="237"/>
      <c r="DS17" s="237"/>
      <c r="DT17" s="237"/>
      <c r="DU17" s="237"/>
      <c r="DV17" s="237"/>
      <c r="DW17" s="237"/>
      <c r="DX17" s="237"/>
      <c r="DY17" s="237"/>
      <c r="DZ17" s="237"/>
      <c r="EA17" s="237"/>
      <c r="EB17" s="237"/>
      <c r="EC17" s="237"/>
      <c r="ED17" s="237"/>
      <c r="EE17" s="237"/>
      <c r="EF17" s="237"/>
      <c r="EG17" s="237"/>
      <c r="EH17" s="237"/>
      <c r="EI17" s="237"/>
      <c r="EJ17" s="237"/>
      <c r="EK17" s="237"/>
      <c r="EL17" s="237"/>
      <c r="EM17" s="237"/>
      <c r="EN17" s="237"/>
      <c r="EO17" s="237"/>
      <c r="EP17" s="237"/>
      <c r="EQ17" s="237"/>
      <c r="ER17" s="237"/>
      <c r="ES17" s="237"/>
      <c r="ET17" s="237"/>
      <c r="EU17" s="237"/>
      <c r="EV17" s="237"/>
      <c r="EW17" s="237"/>
      <c r="EX17" s="237"/>
      <c r="EY17" s="237"/>
      <c r="EZ17" s="237"/>
      <c r="FA17" s="237"/>
      <c r="FB17" s="237"/>
      <c r="FC17" s="237"/>
      <c r="FD17" s="237"/>
      <c r="FE17" s="237"/>
      <c r="FF17" s="237"/>
      <c r="FG17" s="237"/>
      <c r="FH17" s="237"/>
      <c r="FI17" s="237"/>
      <c r="FJ17" s="237"/>
      <c r="FK17" s="237"/>
    </row>
    <row r="18" spans="2:167" s="234" customFormat="1" ht="9">
      <c r="B18" s="271" t="s">
        <v>1030</v>
      </c>
      <c r="C18" s="1467" t="s">
        <v>2056</v>
      </c>
      <c r="D18" s="1358">
        <v>0</v>
      </c>
      <c r="E18" s="1358">
        <v>500000</v>
      </c>
      <c r="F18" s="1358">
        <v>500000</v>
      </c>
      <c r="G18" s="1358">
        <f t="shared" si="0"/>
        <v>0</v>
      </c>
      <c r="H18" s="1359">
        <v>0</v>
      </c>
      <c r="I18" s="1360">
        <v>0</v>
      </c>
      <c r="J18" s="1360">
        <v>0</v>
      </c>
      <c r="K18" s="1360">
        <f>ROUND(I18/SOAL!$F$31,4)*100</f>
        <v>0</v>
      </c>
      <c r="L18" s="271"/>
      <c r="M18" s="1360">
        <f>ROUND(I18/SOAL!$F$12,4)*100</f>
        <v>0</v>
      </c>
      <c r="N18" s="1212"/>
    </row>
    <row r="19" spans="2:167" s="234" customFormat="1" ht="9">
      <c r="B19" s="271" t="s">
        <v>1030</v>
      </c>
      <c r="C19" s="1467" t="s">
        <v>2057</v>
      </c>
      <c r="D19" s="1358">
        <v>0</v>
      </c>
      <c r="E19" s="1358">
        <v>350000</v>
      </c>
      <c r="F19" s="1358">
        <v>350000</v>
      </c>
      <c r="G19" s="1358">
        <f t="shared" si="0"/>
        <v>0</v>
      </c>
      <c r="H19" s="1359">
        <v>0</v>
      </c>
      <c r="I19" s="1360">
        <v>0</v>
      </c>
      <c r="J19" s="1360">
        <v>0</v>
      </c>
      <c r="K19" s="1360">
        <f>ROUND(I19/SOAL!$F$31,4)*100</f>
        <v>0</v>
      </c>
      <c r="L19" s="271"/>
      <c r="M19" s="1360">
        <f>ROUND(I19/SOAL!$F$12,4)*100</f>
        <v>0</v>
      </c>
      <c r="N19" s="1212"/>
    </row>
    <row r="20" spans="2:167" s="234" customFormat="1" ht="9">
      <c r="B20" s="271" t="s">
        <v>1030</v>
      </c>
      <c r="C20" s="1467" t="s">
        <v>2058</v>
      </c>
      <c r="D20" s="1358">
        <v>0</v>
      </c>
      <c r="E20" s="1358">
        <v>500000</v>
      </c>
      <c r="F20" s="1358">
        <v>500000</v>
      </c>
      <c r="G20" s="1358">
        <f t="shared" si="0"/>
        <v>0</v>
      </c>
      <c r="H20" s="1359">
        <v>0</v>
      </c>
      <c r="I20" s="1360">
        <v>0</v>
      </c>
      <c r="J20" s="1360">
        <v>0</v>
      </c>
      <c r="K20" s="1360">
        <f>ROUND(I20/SOAL!$F$31,4)*100</f>
        <v>0</v>
      </c>
      <c r="L20" s="271"/>
      <c r="M20" s="1360">
        <f>ROUND(I20/SOAL!$F$12,4)*100</f>
        <v>0</v>
      </c>
      <c r="N20" s="1212"/>
    </row>
    <row r="21" spans="2:167" s="234" customFormat="1" ht="9">
      <c r="B21" s="271" t="s">
        <v>1030</v>
      </c>
      <c r="C21" s="1467" t="s">
        <v>2059</v>
      </c>
      <c r="D21" s="1358">
        <v>0</v>
      </c>
      <c r="E21" s="1358">
        <v>4400000</v>
      </c>
      <c r="F21" s="1358">
        <v>4400000</v>
      </c>
      <c r="G21" s="1358">
        <f t="shared" si="0"/>
        <v>0</v>
      </c>
      <c r="H21" s="1359">
        <v>0</v>
      </c>
      <c r="I21" s="1360">
        <v>0</v>
      </c>
      <c r="J21" s="1360">
        <v>0</v>
      </c>
      <c r="K21" s="1360">
        <f>ROUND(I21/SOAL!$F$31,4)*100</f>
        <v>0</v>
      </c>
      <c r="L21" s="271"/>
      <c r="M21" s="1360">
        <f>ROUND(I21/SOAL!$F$12,4)*100</f>
        <v>0</v>
      </c>
      <c r="N21" s="1212"/>
    </row>
    <row r="22" spans="2:167" s="234" customFormat="1" ht="9">
      <c r="B22" s="271" t="s">
        <v>1030</v>
      </c>
      <c r="C22" s="1467" t="s">
        <v>2060</v>
      </c>
      <c r="D22" s="1358">
        <v>0</v>
      </c>
      <c r="E22" s="1358">
        <v>500000</v>
      </c>
      <c r="F22" s="1358">
        <v>500000</v>
      </c>
      <c r="G22" s="1358">
        <f t="shared" si="0"/>
        <v>0</v>
      </c>
      <c r="H22" s="1359">
        <v>0</v>
      </c>
      <c r="I22" s="1360">
        <v>0</v>
      </c>
      <c r="J22" s="1360">
        <v>0</v>
      </c>
      <c r="K22" s="1360">
        <f>ROUND(I22/SOAL!$F$31,4)*100</f>
        <v>0</v>
      </c>
      <c r="L22" s="271"/>
      <c r="M22" s="1360">
        <f>ROUND(I22/SOAL!$F$12,4)*100</f>
        <v>0</v>
      </c>
      <c r="N22" s="1212"/>
    </row>
    <row r="23" spans="2:167" s="234" customFormat="1" ht="9">
      <c r="B23" s="271" t="s">
        <v>1030</v>
      </c>
      <c r="C23" s="1467" t="s">
        <v>2061</v>
      </c>
      <c r="D23" s="1358">
        <v>0</v>
      </c>
      <c r="E23" s="1358">
        <v>500000</v>
      </c>
      <c r="F23" s="1358">
        <v>500000</v>
      </c>
      <c r="G23" s="1358">
        <f t="shared" si="0"/>
        <v>0</v>
      </c>
      <c r="H23" s="1359">
        <v>0</v>
      </c>
      <c r="I23" s="1360">
        <v>0</v>
      </c>
      <c r="J23" s="1360">
        <v>0</v>
      </c>
      <c r="K23" s="1360">
        <f>ROUND(I23/SOAL!$F$31,4)*100</f>
        <v>0</v>
      </c>
      <c r="L23" s="271"/>
      <c r="M23" s="1360">
        <f>ROUND(I23/SOAL!$F$12,4)*100</f>
        <v>0</v>
      </c>
      <c r="N23" s="1212"/>
      <c r="O23" s="234">
        <v>197276.79999999999</v>
      </c>
    </row>
    <row r="24" spans="2:167" s="234" customFormat="1" ht="9">
      <c r="B24" s="271" t="s">
        <v>1030</v>
      </c>
      <c r="C24" s="1467" t="s">
        <v>2062</v>
      </c>
      <c r="D24" s="1358">
        <v>0</v>
      </c>
      <c r="E24" s="1358">
        <v>600000</v>
      </c>
      <c r="F24" s="1358">
        <v>600000</v>
      </c>
      <c r="G24" s="1358">
        <f t="shared" si="0"/>
        <v>0</v>
      </c>
      <c r="H24" s="1359">
        <v>0</v>
      </c>
      <c r="I24" s="1360">
        <v>0</v>
      </c>
      <c r="J24" s="1360">
        <v>0</v>
      </c>
      <c r="K24" s="1360">
        <f>ROUND(I24/SOAL!$F$31,4)*100</f>
        <v>0</v>
      </c>
      <c r="L24" s="271"/>
      <c r="M24" s="1360">
        <f>ROUND(I24/SOAL!$F$12,4)*100</f>
        <v>0</v>
      </c>
      <c r="N24" s="1212"/>
    </row>
    <row r="25" spans="2:167" s="234" customFormat="1" ht="9">
      <c r="B25" s="271" t="s">
        <v>1031</v>
      </c>
      <c r="C25" s="1467" t="s">
        <v>2053</v>
      </c>
      <c r="D25" s="1358">
        <v>0</v>
      </c>
      <c r="E25" s="1358">
        <v>1000850</v>
      </c>
      <c r="F25" s="1358">
        <v>1000850</v>
      </c>
      <c r="G25" s="1358">
        <f t="shared" ref="G25:G34" si="1">D25+E25-F25</f>
        <v>0</v>
      </c>
      <c r="H25" s="1359">
        <v>0</v>
      </c>
      <c r="I25" s="1360">
        <v>0</v>
      </c>
      <c r="J25" s="1360">
        <v>0</v>
      </c>
      <c r="K25" s="1360">
        <f>ROUND(I25/SOAL!$F$31,4)*100</f>
        <v>0</v>
      </c>
      <c r="L25" s="271"/>
      <c r="M25" s="1360">
        <f>ROUND(I25/SOAL!$F$12,4)*100</f>
        <v>0</v>
      </c>
      <c r="N25" s="1212"/>
    </row>
    <row r="26" spans="2:167" s="234" customFormat="1" ht="9">
      <c r="B26" s="271" t="s">
        <v>1031</v>
      </c>
      <c r="C26" s="1467" t="s">
        <v>2056</v>
      </c>
      <c r="D26" s="1358">
        <v>0</v>
      </c>
      <c r="E26" s="1358">
        <v>500000</v>
      </c>
      <c r="F26" s="1358">
        <v>500000</v>
      </c>
      <c r="G26" s="1358">
        <f t="shared" si="1"/>
        <v>0</v>
      </c>
      <c r="H26" s="1359">
        <v>0</v>
      </c>
      <c r="I26" s="1360">
        <v>0</v>
      </c>
      <c r="J26" s="1360">
        <v>0</v>
      </c>
      <c r="K26" s="1360">
        <f>ROUND(I26/SOAL!$F$31,4)*100</f>
        <v>0</v>
      </c>
      <c r="L26" s="271"/>
      <c r="M26" s="1360">
        <f>ROUND(I26/SOAL!$F$12,4)*100</f>
        <v>0</v>
      </c>
      <c r="N26" s="1212"/>
    </row>
    <row r="27" spans="2:167" s="234" customFormat="1" ht="9">
      <c r="B27" s="271" t="s">
        <v>1031</v>
      </c>
      <c r="C27" s="1467" t="s">
        <v>2063</v>
      </c>
      <c r="D27" s="1358">
        <v>0</v>
      </c>
      <c r="E27" s="1358">
        <v>1250000</v>
      </c>
      <c r="F27" s="1358">
        <v>1250000</v>
      </c>
      <c r="G27" s="1358">
        <f t="shared" si="1"/>
        <v>0</v>
      </c>
      <c r="H27" s="1359">
        <v>0</v>
      </c>
      <c r="I27" s="1360">
        <v>0</v>
      </c>
      <c r="J27" s="1360">
        <v>0</v>
      </c>
      <c r="K27" s="1360">
        <f>ROUND(I27/SOAL!$F$31,4)*100</f>
        <v>0</v>
      </c>
      <c r="L27" s="271"/>
      <c r="M27" s="1360">
        <f>ROUND(I27/SOAL!$F$12,4)*100</f>
        <v>0</v>
      </c>
      <c r="N27" s="1212"/>
    </row>
    <row r="28" spans="2:167" s="234" customFormat="1" ht="9">
      <c r="B28" s="271" t="s">
        <v>1031</v>
      </c>
      <c r="C28" s="1467" t="s">
        <v>2064</v>
      </c>
      <c r="D28" s="1358">
        <v>0</v>
      </c>
      <c r="E28" s="1358">
        <v>1600000</v>
      </c>
      <c r="F28" s="1358">
        <v>1600000</v>
      </c>
      <c r="G28" s="1358">
        <f t="shared" si="1"/>
        <v>0</v>
      </c>
      <c r="H28" s="1359">
        <v>0</v>
      </c>
      <c r="I28" s="1360">
        <v>0</v>
      </c>
      <c r="J28" s="1360">
        <v>0</v>
      </c>
      <c r="K28" s="1360">
        <f>ROUND(I28/SOAL!$F$31,4)*100</f>
        <v>0</v>
      </c>
      <c r="L28" s="271"/>
      <c r="M28" s="1360">
        <f>ROUND(I28/SOAL!$F$12,4)*100</f>
        <v>0</v>
      </c>
      <c r="N28" s="1212"/>
    </row>
    <row r="29" spans="2:167" s="234" customFormat="1" ht="9">
      <c r="B29" s="271" t="s">
        <v>1031</v>
      </c>
      <c r="C29" s="1467" t="s">
        <v>2061</v>
      </c>
      <c r="D29" s="1358">
        <v>0</v>
      </c>
      <c r="E29" s="1358">
        <v>11300000</v>
      </c>
      <c r="F29" s="1358">
        <v>11300000</v>
      </c>
      <c r="G29" s="1358">
        <f t="shared" si="1"/>
        <v>0</v>
      </c>
      <c r="H29" s="1359">
        <v>0</v>
      </c>
      <c r="I29" s="1360">
        <v>0</v>
      </c>
      <c r="J29" s="1360">
        <v>0</v>
      </c>
      <c r="K29" s="1360">
        <f>ROUND(I29/SOAL!$F$31,4)*100</f>
        <v>0</v>
      </c>
      <c r="L29" s="271"/>
      <c r="M29" s="1360">
        <f>ROUND(I29/SOAL!$F$12,4)*100</f>
        <v>0</v>
      </c>
      <c r="N29" s="1212"/>
    </row>
    <row r="30" spans="2:167" s="234" customFormat="1" ht="9">
      <c r="B30" s="271" t="s">
        <v>1031</v>
      </c>
      <c r="C30" s="1467" t="s">
        <v>2058</v>
      </c>
      <c r="D30" s="1358">
        <v>0</v>
      </c>
      <c r="E30" s="1358">
        <v>3676500</v>
      </c>
      <c r="F30" s="1358">
        <v>3676500</v>
      </c>
      <c r="G30" s="1358">
        <f t="shared" si="1"/>
        <v>0</v>
      </c>
      <c r="H30" s="1359">
        <v>0</v>
      </c>
      <c r="I30" s="1360">
        <v>0</v>
      </c>
      <c r="J30" s="1360">
        <v>0</v>
      </c>
      <c r="K30" s="1360">
        <f>ROUND(I30/SOAL!$F$31,4)*100</f>
        <v>0</v>
      </c>
      <c r="L30" s="271"/>
      <c r="M30" s="1360">
        <f>ROUND(I30/SOAL!$F$12,4)*100</f>
        <v>0</v>
      </c>
      <c r="N30" s="1212"/>
    </row>
    <row r="31" spans="2:167" s="234" customFormat="1" ht="9">
      <c r="B31" s="271" t="s">
        <v>1031</v>
      </c>
      <c r="C31" s="1467" t="s">
        <v>2059</v>
      </c>
      <c r="D31" s="1358">
        <v>0</v>
      </c>
      <c r="E31" s="1358">
        <v>5000000</v>
      </c>
      <c r="F31" s="1358">
        <v>5000000</v>
      </c>
      <c r="G31" s="1358">
        <f t="shared" si="1"/>
        <v>0</v>
      </c>
      <c r="H31" s="1359">
        <v>0</v>
      </c>
      <c r="I31" s="1360">
        <v>0</v>
      </c>
      <c r="J31" s="1360">
        <v>0</v>
      </c>
      <c r="K31" s="1360">
        <f>ROUND(I31/SOAL!$F$31,4)*100</f>
        <v>0</v>
      </c>
      <c r="L31" s="271"/>
      <c r="M31" s="1360">
        <f>ROUND(I31/SOAL!$F$12,4)*100</f>
        <v>0</v>
      </c>
      <c r="N31" s="1212"/>
    </row>
    <row r="32" spans="2:167" s="234" customFormat="1" ht="9">
      <c r="B32" s="271" t="s">
        <v>1031</v>
      </c>
      <c r="C32" s="1467" t="s">
        <v>2060</v>
      </c>
      <c r="D32" s="1358">
        <v>0</v>
      </c>
      <c r="E32" s="1358">
        <v>4500000</v>
      </c>
      <c r="F32" s="1358">
        <v>4500000</v>
      </c>
      <c r="G32" s="1358">
        <f t="shared" si="1"/>
        <v>0</v>
      </c>
      <c r="H32" s="1359">
        <v>0</v>
      </c>
      <c r="I32" s="1360">
        <v>0</v>
      </c>
      <c r="J32" s="1360">
        <v>0</v>
      </c>
      <c r="K32" s="1360">
        <f>ROUND(I32/SOAL!$F$31,4)*100</f>
        <v>0</v>
      </c>
      <c r="L32" s="271"/>
      <c r="M32" s="1360">
        <f>ROUND(I32/SOAL!$F$12,4)*100</f>
        <v>0</v>
      </c>
      <c r="N32" s="1212"/>
    </row>
    <row r="33" spans="1:18" s="234" customFormat="1" ht="9">
      <c r="B33" s="271" t="s">
        <v>1031</v>
      </c>
      <c r="C33" s="1467" t="s">
        <v>2054</v>
      </c>
      <c r="D33" s="1358">
        <v>0</v>
      </c>
      <c r="E33" s="1358">
        <v>500000</v>
      </c>
      <c r="F33" s="1358">
        <v>500000</v>
      </c>
      <c r="G33" s="1358">
        <f t="shared" si="1"/>
        <v>0</v>
      </c>
      <c r="H33" s="1359">
        <v>0</v>
      </c>
      <c r="I33" s="1360">
        <v>0</v>
      </c>
      <c r="J33" s="1360">
        <v>0</v>
      </c>
      <c r="K33" s="1360">
        <f>ROUND(I33/SOAL!$F$31,4)*100</f>
        <v>0</v>
      </c>
      <c r="L33" s="271"/>
      <c r="M33" s="1360">
        <f>ROUND(I33/SOAL!$F$12,4)*100</f>
        <v>0</v>
      </c>
      <c r="N33" s="1212"/>
    </row>
    <row r="34" spans="1:18" s="234" customFormat="1" ht="9">
      <c r="B34" s="271" t="s">
        <v>1031</v>
      </c>
      <c r="C34" s="1467" t="s">
        <v>2065</v>
      </c>
      <c r="D34" s="1358">
        <v>0</v>
      </c>
      <c r="E34" s="1358">
        <v>1000000</v>
      </c>
      <c r="F34" s="1358">
        <v>1000000</v>
      </c>
      <c r="G34" s="1358">
        <f t="shared" si="1"/>
        <v>0</v>
      </c>
      <c r="H34" s="1359">
        <v>0</v>
      </c>
      <c r="I34" s="1360">
        <v>0</v>
      </c>
      <c r="J34" s="1360">
        <v>0</v>
      </c>
      <c r="K34" s="1360">
        <f>ROUND(I34/SOAL!$F$31,4)*100</f>
        <v>0</v>
      </c>
      <c r="L34" s="271"/>
      <c r="M34" s="1360">
        <f>ROUND(I34/SOAL!$F$12,4)*100</f>
        <v>0</v>
      </c>
      <c r="N34" s="1212"/>
    </row>
    <row r="35" spans="1:18" s="234" customFormat="1" ht="9">
      <c r="B35" s="1361"/>
      <c r="C35" s="1467"/>
      <c r="D35" s="1358"/>
      <c r="E35" s="1358"/>
      <c r="F35" s="1358"/>
      <c r="G35" s="1358"/>
      <c r="H35" s="1359"/>
      <c r="I35" s="1360"/>
      <c r="J35" s="1360"/>
      <c r="K35" s="1360"/>
      <c r="L35" s="271"/>
      <c r="M35" s="1362"/>
      <c r="N35" s="1212"/>
    </row>
    <row r="36" spans="1:18" s="1016" customFormat="1" ht="21" customHeight="1" thickBot="1">
      <c r="B36" s="1015" t="s">
        <v>1975</v>
      </c>
      <c r="C36" s="1015"/>
      <c r="D36" s="1363"/>
      <c r="E36" s="1363"/>
      <c r="F36" s="1363"/>
      <c r="G36" s="1363"/>
      <c r="H36" s="1364">
        <f>SUM(H15:H34)</f>
        <v>0</v>
      </c>
      <c r="I36" s="1364">
        <f>SUM(I15:I34)</f>
        <v>0</v>
      </c>
      <c r="J36" s="1364">
        <f>SUM(J15:J34)</f>
        <v>0</v>
      </c>
      <c r="K36" s="1211"/>
      <c r="L36" s="1008"/>
      <c r="M36" s="1018"/>
    </row>
    <row r="37" spans="1:18" s="1008" customFormat="1" ht="8.25" customHeight="1" thickTop="1">
      <c r="B37" s="1365"/>
      <c r="C37" s="1365"/>
      <c r="D37" s="1012"/>
      <c r="E37" s="1013"/>
      <c r="F37" s="1013"/>
      <c r="G37" s="1013"/>
      <c r="H37" s="1366"/>
      <c r="I37" s="1366"/>
      <c r="J37" s="1366"/>
      <c r="K37" s="1014"/>
      <c r="L37" s="1014"/>
      <c r="M37" s="1014"/>
    </row>
    <row r="38" spans="1:18" s="1008" customFormat="1" ht="12" customHeight="1" thickBot="1">
      <c r="B38" s="1015" t="s">
        <v>1976</v>
      </c>
      <c r="C38" s="1015"/>
      <c r="D38" s="1012"/>
      <c r="E38" s="1013"/>
      <c r="F38" s="1013"/>
      <c r="G38" s="1013"/>
      <c r="H38" s="1367">
        <v>0</v>
      </c>
      <c r="I38" s="1367">
        <v>0</v>
      </c>
      <c r="J38" s="1367">
        <v>0</v>
      </c>
      <c r="K38" s="1017"/>
      <c r="L38" s="1018"/>
      <c r="M38" s="1017"/>
    </row>
    <row r="39" spans="1:18" s="1008" customFormat="1" ht="9.75" thickTop="1">
      <c r="B39" s="1015"/>
      <c r="C39" s="1015"/>
      <c r="D39" s="1012"/>
      <c r="E39" s="1013"/>
      <c r="F39" s="1013"/>
      <c r="G39" s="1013"/>
      <c r="H39" s="1211"/>
      <c r="I39" s="1211"/>
      <c r="J39" s="1211"/>
      <c r="K39" s="1017"/>
      <c r="L39" s="1018"/>
      <c r="M39" s="1017"/>
    </row>
    <row r="40" spans="1:18" s="243" customFormat="1" ht="12.75">
      <c r="A40" s="246"/>
      <c r="B40" s="247"/>
      <c r="C40" s="248"/>
      <c r="D40" s="248"/>
      <c r="E40" s="248"/>
      <c r="F40" s="248"/>
      <c r="G40" s="248"/>
      <c r="H40" s="248"/>
      <c r="I40" s="246"/>
      <c r="J40" s="249"/>
      <c r="K40" s="246"/>
      <c r="L40" s="249"/>
      <c r="M40" s="249"/>
      <c r="N40" s="245"/>
      <c r="O40" s="245"/>
      <c r="P40" s="245"/>
      <c r="R40" s="223"/>
    </row>
    <row r="41" spans="1:18" s="1010" customFormat="1" ht="16.5" customHeight="1">
      <c r="A41" s="213" t="s">
        <v>2098</v>
      </c>
      <c r="B41" s="220" t="s">
        <v>1977</v>
      </c>
      <c r="C41" s="248"/>
      <c r="D41" s="248"/>
      <c r="E41" s="248"/>
      <c r="F41" s="248"/>
      <c r="G41" s="248"/>
      <c r="H41" s="248"/>
      <c r="I41" s="246"/>
      <c r="J41" s="249"/>
      <c r="K41" s="246"/>
      <c r="L41" s="249"/>
      <c r="M41" s="249"/>
      <c r="N41" s="1009"/>
      <c r="O41" s="1009"/>
      <c r="P41" s="1009"/>
      <c r="R41" s="1011"/>
    </row>
    <row r="42" spans="1:18" s="1010" customFormat="1" ht="16.5" customHeight="1">
      <c r="A42" s="213"/>
      <c r="B42" s="250"/>
      <c r="C42" s="250"/>
      <c r="D42" s="250"/>
      <c r="E42" s="250"/>
      <c r="F42" s="250"/>
      <c r="G42" s="250"/>
      <c r="H42" s="250"/>
      <c r="I42" s="250"/>
      <c r="J42" s="250"/>
      <c r="K42" s="250"/>
      <c r="L42" s="250"/>
      <c r="M42" s="249"/>
      <c r="N42" s="1009"/>
      <c r="O42" s="1009"/>
      <c r="P42" s="1009"/>
      <c r="R42" s="1011"/>
    </row>
    <row r="43" spans="1:18" s="1010" customFormat="1" ht="16.5" customHeight="1">
      <c r="A43" s="213"/>
      <c r="B43" s="1944" t="s">
        <v>971</v>
      </c>
      <c r="C43" s="1947" t="s">
        <v>1017</v>
      </c>
      <c r="D43" s="1950" t="s">
        <v>1018</v>
      </c>
      <c r="E43" s="1951"/>
      <c r="F43" s="1951"/>
      <c r="G43" s="1952"/>
      <c r="H43" s="1960" t="s">
        <v>1974</v>
      </c>
      <c r="I43" s="1961"/>
      <c r="J43" s="1962"/>
      <c r="K43" s="1953" t="s">
        <v>1021</v>
      </c>
      <c r="L43" s="227"/>
      <c r="M43" s="1939" t="s">
        <v>1022</v>
      </c>
      <c r="N43" s="1009"/>
      <c r="O43" s="1009"/>
      <c r="P43" s="1009"/>
      <c r="R43" s="1011"/>
    </row>
    <row r="44" spans="1:18" s="1010" customFormat="1" ht="16.5" customHeight="1">
      <c r="A44" s="213"/>
      <c r="B44" s="1945"/>
      <c r="C44" s="1948"/>
      <c r="D44" s="1956" t="s">
        <v>1971</v>
      </c>
      <c r="E44" s="1957" t="s">
        <v>1972</v>
      </c>
      <c r="F44" s="1957" t="s">
        <v>1825</v>
      </c>
      <c r="G44" s="1957" t="s">
        <v>1974</v>
      </c>
      <c r="H44" s="1957" t="s">
        <v>1476</v>
      </c>
      <c r="I44" s="1957" t="s">
        <v>1477</v>
      </c>
      <c r="J44" s="1957" t="s">
        <v>1432</v>
      </c>
      <c r="K44" s="1954"/>
      <c r="L44" s="229"/>
      <c r="M44" s="1940"/>
      <c r="N44" s="1009"/>
      <c r="O44" s="1009"/>
      <c r="P44" s="1009"/>
      <c r="R44" s="1011"/>
    </row>
    <row r="45" spans="1:18" s="1010" customFormat="1" ht="16.5" customHeight="1">
      <c r="A45" s="213"/>
      <c r="B45" s="1945"/>
      <c r="C45" s="1948"/>
      <c r="D45" s="1956"/>
      <c r="E45" s="1958"/>
      <c r="F45" s="1958"/>
      <c r="G45" s="1958"/>
      <c r="H45" s="1958"/>
      <c r="I45" s="1958"/>
      <c r="J45" s="1958"/>
      <c r="K45" s="1954"/>
      <c r="L45" s="229"/>
      <c r="M45" s="1940"/>
      <c r="N45" s="1009"/>
      <c r="O45" s="1009"/>
      <c r="P45" s="1009"/>
      <c r="R45" s="1011"/>
    </row>
    <row r="46" spans="1:18" s="1010" customFormat="1" ht="16.5" customHeight="1">
      <c r="A46" s="213"/>
      <c r="B46" s="1945"/>
      <c r="C46" s="1948"/>
      <c r="D46" s="1956"/>
      <c r="E46" s="1958"/>
      <c r="F46" s="1958"/>
      <c r="G46" s="1958"/>
      <c r="H46" s="1958"/>
      <c r="I46" s="1958"/>
      <c r="J46" s="1958"/>
      <c r="K46" s="1954"/>
      <c r="L46" s="229"/>
      <c r="M46" s="1940"/>
      <c r="N46" s="1009"/>
      <c r="O46" s="1009"/>
      <c r="P46" s="1009"/>
      <c r="R46" s="1011"/>
    </row>
    <row r="47" spans="1:18" s="1010" customFormat="1" ht="16.5" customHeight="1">
      <c r="A47" s="213"/>
      <c r="B47" s="1945"/>
      <c r="C47" s="1948"/>
      <c r="D47" s="1956"/>
      <c r="E47" s="1958"/>
      <c r="F47" s="1958"/>
      <c r="G47" s="1958"/>
      <c r="H47" s="1958"/>
      <c r="I47" s="1958"/>
      <c r="J47" s="1958"/>
      <c r="K47" s="1954"/>
      <c r="L47" s="229"/>
      <c r="M47" s="1940"/>
      <c r="N47" s="1009"/>
      <c r="O47" s="1009"/>
      <c r="P47" s="1009"/>
      <c r="R47" s="1011"/>
    </row>
    <row r="48" spans="1:18" s="1010" customFormat="1" ht="16.5" customHeight="1">
      <c r="A48" s="213"/>
      <c r="B48" s="1946"/>
      <c r="C48" s="1949"/>
      <c r="D48" s="1956"/>
      <c r="E48" s="1959"/>
      <c r="F48" s="1959"/>
      <c r="G48" s="1959"/>
      <c r="H48" s="1959"/>
      <c r="I48" s="1959"/>
      <c r="J48" s="1959"/>
      <c r="K48" s="1955"/>
      <c r="L48" s="233"/>
      <c r="M48" s="1941"/>
      <c r="N48" s="1009"/>
      <c r="O48" s="1009"/>
      <c r="P48" s="1009"/>
      <c r="R48" s="1011"/>
    </row>
    <row r="49" spans="1:18" s="1010" customFormat="1" ht="16.5" customHeight="1">
      <c r="A49" s="213"/>
      <c r="B49" s="234"/>
      <c r="C49" s="251"/>
      <c r="D49" s="1942" t="s">
        <v>1028</v>
      </c>
      <c r="E49" s="1942"/>
      <c r="F49" s="1942"/>
      <c r="G49" s="1942"/>
      <c r="H49" s="1942"/>
      <c r="I49" s="1942"/>
      <c r="J49" s="1942"/>
      <c r="K49" s="1943" t="s">
        <v>1502</v>
      </c>
      <c r="L49" s="1943"/>
      <c r="M49" s="1943"/>
      <c r="N49" s="1009"/>
      <c r="O49" s="1009"/>
      <c r="P49" s="1009"/>
      <c r="R49" s="1011"/>
    </row>
    <row r="50" spans="1:18" s="1010" customFormat="1" ht="16.5" customHeight="1">
      <c r="A50" s="234"/>
      <c r="B50" s="234" t="s">
        <v>1978</v>
      </c>
      <c r="C50" s="1468">
        <v>44140</v>
      </c>
      <c r="D50" s="1469">
        <v>550000</v>
      </c>
      <c r="E50" s="1469"/>
      <c r="F50" s="1469"/>
      <c r="G50" s="1469">
        <f>D50+E50-F50</f>
        <v>550000</v>
      </c>
      <c r="H50" s="1470">
        <f>548434959
/1000</f>
        <v>548434.95900000003</v>
      </c>
      <c r="I50" s="1471">
        <f>548075000
/1000</f>
        <v>548075</v>
      </c>
      <c r="J50" s="1471">
        <f>I50-H50</f>
        <v>-359.95900000003166</v>
      </c>
      <c r="K50" s="1716">
        <f>ROUND(I50/SOAL!$F$31,4)*100</f>
        <v>6.5500000000000007</v>
      </c>
      <c r="L50" s="1717"/>
      <c r="M50" s="1716">
        <f>ROUND(I50/SOAL!$F$12,4)*100</f>
        <v>13.08</v>
      </c>
      <c r="N50" s="1009"/>
      <c r="O50" s="1009"/>
      <c r="P50" s="1009"/>
      <c r="R50" s="1011"/>
    </row>
    <row r="51" spans="1:18" s="1010" customFormat="1" ht="16.5" customHeight="1">
      <c r="A51" s="234"/>
      <c r="B51" s="234" t="s">
        <v>1979</v>
      </c>
      <c r="C51" s="1468">
        <v>44126</v>
      </c>
      <c r="D51" s="1469">
        <v>300000</v>
      </c>
      <c r="E51" s="1469">
        <v>550000</v>
      </c>
      <c r="F51" s="1469">
        <v>500000</v>
      </c>
      <c r="G51" s="1469">
        <f t="shared" ref="G51:G52" si="2">D51+E51-F51</f>
        <v>350000</v>
      </c>
      <c r="H51" s="1470">
        <f>347497500/1000</f>
        <v>347497.5</v>
      </c>
      <c r="I51" s="1471">
        <f>347480000/1000</f>
        <v>347480</v>
      </c>
      <c r="J51" s="1471">
        <f t="shared" ref="J51:J52" si="3">I51-H51</f>
        <v>-17.5</v>
      </c>
      <c r="K51" s="1716">
        <f>ROUND(I51/SOAL!$F$31,4)*100</f>
        <v>4.1500000000000004</v>
      </c>
      <c r="L51" s="1717"/>
      <c r="M51" s="1716">
        <f>ROUND(I51/SOAL!$F$12,4)*100</f>
        <v>8.2900000000000009</v>
      </c>
      <c r="N51" s="1009"/>
      <c r="O51" s="1009"/>
      <c r="P51" s="1009"/>
      <c r="R51" s="1011"/>
    </row>
    <row r="52" spans="1:18" s="1010" customFormat="1" ht="16.5" customHeight="1">
      <c r="A52" s="234"/>
      <c r="B52" s="234" t="s">
        <v>1979</v>
      </c>
      <c r="C52" s="1468">
        <v>44000</v>
      </c>
      <c r="D52" s="1469">
        <v>650000</v>
      </c>
      <c r="E52" s="1469">
        <v>650000</v>
      </c>
      <c r="F52" s="1469">
        <v>650000</v>
      </c>
      <c r="G52" s="1469">
        <f t="shared" si="2"/>
        <v>650000</v>
      </c>
      <c r="H52" s="1470">
        <f>651170000/1000</f>
        <v>651170</v>
      </c>
      <c r="I52" s="1471">
        <f>651105000/1000</f>
        <v>651105</v>
      </c>
      <c r="J52" s="1471">
        <f t="shared" si="3"/>
        <v>-65</v>
      </c>
      <c r="K52" s="1716">
        <f>ROUND(I52/SOAL!$F$31,4)*100</f>
        <v>7.7799999999999994</v>
      </c>
      <c r="L52" s="1717"/>
      <c r="M52" s="1716">
        <f>ROUND(I52/SOAL!$F$12,4)*100</f>
        <v>15.53</v>
      </c>
      <c r="N52" s="1009"/>
      <c r="O52" s="1009"/>
      <c r="P52" s="1009"/>
      <c r="R52" s="1011"/>
    </row>
    <row r="53" spans="1:18" s="1010" customFormat="1" ht="16.5" customHeight="1">
      <c r="A53" s="234"/>
      <c r="B53" s="234" t="s">
        <v>1979</v>
      </c>
      <c r="C53" s="1468">
        <v>44322</v>
      </c>
      <c r="D53" s="1469">
        <v>0</v>
      </c>
      <c r="E53" s="1469">
        <v>350000</v>
      </c>
      <c r="F53" s="1469">
        <v>175000</v>
      </c>
      <c r="G53" s="1469">
        <f t="shared" ref="G53" si="4">D53+E53-F53</f>
        <v>175000</v>
      </c>
      <c r="H53" s="1470">
        <f>172011875
/1000</f>
        <v>172011.875</v>
      </c>
      <c r="I53" s="1471">
        <f>172077500
/1000</f>
        <v>172077.5</v>
      </c>
      <c r="J53" s="1471">
        <f t="shared" ref="J53" si="5">I53-H53</f>
        <v>65.625</v>
      </c>
      <c r="K53" s="1716">
        <f>ROUND(I53/SOAL!$F$31,4)*100</f>
        <v>2.06</v>
      </c>
      <c r="L53" s="1717"/>
      <c r="M53" s="1716">
        <f>ROUND(I53/SOAL!$F$12,4)*100</f>
        <v>4.1099999999999994</v>
      </c>
      <c r="N53" s="1009"/>
      <c r="O53" s="1725">
        <v>7.2103000000000002</v>
      </c>
      <c r="P53" s="1726">
        <v>44870</v>
      </c>
      <c r="R53" s="1011"/>
    </row>
    <row r="54" spans="1:18" s="1010" customFormat="1" ht="16.5" customHeight="1">
      <c r="A54" s="234"/>
      <c r="B54" s="234"/>
      <c r="C54" s="1468"/>
      <c r="D54" s="1469"/>
      <c r="E54" s="1469"/>
      <c r="F54" s="1469"/>
      <c r="G54" s="1469"/>
      <c r="H54" s="1470"/>
      <c r="I54" s="1471"/>
      <c r="J54" s="1471"/>
      <c r="K54" s="1360"/>
      <c r="L54" s="234"/>
      <c r="M54" s="1360"/>
      <c r="N54" s="1009"/>
      <c r="O54" s="1725">
        <v>8.0219000000000005</v>
      </c>
      <c r="P54" s="1726">
        <v>45096</v>
      </c>
      <c r="R54" s="1011"/>
    </row>
    <row r="55" spans="1:18" s="1010" customFormat="1" ht="16.5" customHeight="1" thickBot="1">
      <c r="A55" s="213"/>
      <c r="B55" s="1385" t="s">
        <v>1980</v>
      </c>
      <c r="C55" s="1472"/>
      <c r="D55" s="1008"/>
      <c r="E55" s="1473"/>
      <c r="F55" s="1008"/>
      <c r="G55" s="1473"/>
      <c r="H55" s="1568">
        <f>SUM(H50:H53)</f>
        <v>1719114.334</v>
      </c>
      <c r="I55" s="1568">
        <f>SUM(I50:I53)</f>
        <v>1718737.5</v>
      </c>
      <c r="J55" s="1568">
        <f>SUM(J50:J53)</f>
        <v>-376.83400000003166</v>
      </c>
      <c r="K55" s="1475"/>
      <c r="L55" s="1475"/>
      <c r="M55" s="1475"/>
      <c r="N55" s="1009"/>
      <c r="O55" s="1725">
        <v>7.2371999999999996</v>
      </c>
      <c r="P55" s="1726">
        <v>45221</v>
      </c>
      <c r="R55" s="1011"/>
    </row>
    <row r="56" spans="1:18" s="1010" customFormat="1" ht="13.5" customHeight="1" thickTop="1" thickBot="1">
      <c r="A56" s="213"/>
      <c r="B56" s="1385"/>
      <c r="C56" s="1472"/>
      <c r="D56" s="1008"/>
      <c r="E56" s="1473"/>
      <c r="F56" s="1008"/>
      <c r="G56" s="1473"/>
      <c r="H56" s="1476"/>
      <c r="I56" s="1476"/>
      <c r="J56" s="1476"/>
      <c r="K56" s="1475"/>
      <c r="L56" s="1475"/>
      <c r="M56" s="1475"/>
      <c r="N56" s="1009"/>
      <c r="O56" s="1725">
        <v>7.6463000000000001</v>
      </c>
      <c r="P56" s="1726">
        <v>46148</v>
      </c>
      <c r="R56" s="1011"/>
    </row>
    <row r="57" spans="1:18" s="1010" customFormat="1" ht="16.5" customHeight="1" thickTop="1" thickBot="1">
      <c r="A57" s="213"/>
      <c r="B57" s="1385" t="s">
        <v>1976</v>
      </c>
      <c r="C57" s="1472"/>
      <c r="D57" s="1008"/>
      <c r="E57" s="1473"/>
      <c r="F57" s="1008"/>
      <c r="G57" s="1473"/>
      <c r="H57" s="1477">
        <v>1495982</v>
      </c>
      <c r="I57" s="1477">
        <v>1496005</v>
      </c>
      <c r="J57" s="1477">
        <v>23</v>
      </c>
      <c r="K57" s="1475"/>
      <c r="L57" s="1478"/>
      <c r="M57" s="1475"/>
      <c r="N57" s="1009"/>
      <c r="O57" s="1725"/>
      <c r="P57" s="1009"/>
      <c r="R57" s="1011"/>
    </row>
    <row r="58" spans="1:18" s="1010" customFormat="1" ht="16.5" customHeight="1" thickTop="1">
      <c r="A58" s="213"/>
      <c r="B58" s="1385"/>
      <c r="C58" s="1472"/>
      <c r="D58" s="1008"/>
      <c r="E58" s="1473"/>
      <c r="F58" s="1008"/>
      <c r="G58" s="1473"/>
      <c r="H58" s="1479"/>
      <c r="I58" s="1479"/>
      <c r="J58" s="1479"/>
      <c r="K58" s="1475"/>
      <c r="L58" s="1478"/>
      <c r="M58" s="1475"/>
      <c r="N58" s="1009"/>
      <c r="O58" s="1725"/>
      <c r="P58" s="1009"/>
      <c r="R58" s="1011"/>
    </row>
    <row r="59" spans="1:18" s="1010" customFormat="1" ht="16.5" customHeight="1">
      <c r="A59" s="1727" t="s">
        <v>1472</v>
      </c>
      <c r="B59" s="234" t="s">
        <v>2067</v>
      </c>
      <c r="C59" s="234"/>
      <c r="D59" s="234"/>
      <c r="E59" s="234"/>
      <c r="F59" s="234"/>
      <c r="G59" s="234"/>
      <c r="H59" s="234"/>
      <c r="I59" s="234"/>
      <c r="J59" s="234"/>
      <c r="K59" s="234"/>
      <c r="L59" s="234"/>
      <c r="M59" s="234"/>
      <c r="N59" s="1009"/>
      <c r="O59" s="1009"/>
      <c r="P59" s="1009"/>
      <c r="R59" s="1011"/>
    </row>
    <row r="60" spans="1:18" s="1010" customFormat="1" ht="16.5" customHeight="1">
      <c r="A60" s="213"/>
      <c r="B60" s="1385"/>
      <c r="C60" s="1472"/>
      <c r="D60" s="1008"/>
      <c r="E60" s="1473"/>
      <c r="F60" s="1008"/>
      <c r="G60" s="1473"/>
      <c r="H60" s="1479"/>
      <c r="I60" s="1479"/>
      <c r="J60" s="1479"/>
      <c r="K60" s="1475"/>
      <c r="L60" s="1478"/>
      <c r="M60" s="1475"/>
      <c r="N60" s="1009"/>
      <c r="O60" s="1009"/>
      <c r="P60" s="1009"/>
      <c r="R60" s="1011"/>
    </row>
    <row r="61" spans="1:18" s="1010" customFormat="1" ht="16.5" customHeight="1">
      <c r="A61" s="213" t="s">
        <v>2099</v>
      </c>
      <c r="B61" s="220" t="s">
        <v>1981</v>
      </c>
      <c r="C61" s="248"/>
      <c r="D61" s="248"/>
      <c r="E61" s="248"/>
      <c r="F61" s="248"/>
      <c r="G61" s="248"/>
      <c r="H61" s="248"/>
      <c r="I61" s="246"/>
      <c r="J61" s="249"/>
      <c r="K61" s="246"/>
      <c r="L61" s="249"/>
      <c r="M61" s="249"/>
      <c r="N61" s="1009"/>
      <c r="O61" s="1009"/>
      <c r="P61" s="1009"/>
      <c r="R61" s="1011"/>
    </row>
    <row r="62" spans="1:18" s="1010" customFormat="1" ht="16.5" customHeight="1">
      <c r="A62" s="213"/>
      <c r="B62" s="250"/>
      <c r="C62" s="250"/>
      <c r="D62" s="250"/>
      <c r="E62" s="250"/>
      <c r="F62" s="250"/>
      <c r="G62" s="250"/>
      <c r="H62" s="250"/>
      <c r="I62" s="250"/>
      <c r="J62" s="250"/>
      <c r="K62" s="250"/>
      <c r="L62" s="250"/>
      <c r="M62" s="249"/>
      <c r="N62" s="1009"/>
      <c r="O62" s="1009"/>
      <c r="P62" s="1009"/>
      <c r="R62" s="1011"/>
    </row>
    <row r="63" spans="1:18" s="1010" customFormat="1" ht="16.5" customHeight="1">
      <c r="A63" s="213"/>
      <c r="B63" s="1944" t="s">
        <v>971</v>
      </c>
      <c r="C63" s="1947" t="s">
        <v>1017</v>
      </c>
      <c r="D63" s="1950" t="s">
        <v>1018</v>
      </c>
      <c r="E63" s="1951"/>
      <c r="F63" s="1951"/>
      <c r="G63" s="1952"/>
      <c r="H63" s="1960" t="s">
        <v>1974</v>
      </c>
      <c r="I63" s="1961"/>
      <c r="J63" s="1962"/>
      <c r="K63" s="1953" t="s">
        <v>1021</v>
      </c>
      <c r="L63" s="227"/>
      <c r="M63" s="1939" t="s">
        <v>1022</v>
      </c>
      <c r="N63" s="1009"/>
      <c r="O63" s="1009"/>
      <c r="P63" s="1009"/>
      <c r="R63" s="1011"/>
    </row>
    <row r="64" spans="1:18" s="1010" customFormat="1" ht="16.5" customHeight="1">
      <c r="A64" s="213"/>
      <c r="B64" s="1945"/>
      <c r="C64" s="1948"/>
      <c r="D64" s="1956" t="s">
        <v>1971</v>
      </c>
      <c r="E64" s="1957" t="s">
        <v>1972</v>
      </c>
      <c r="F64" s="1957" t="s">
        <v>1825</v>
      </c>
      <c r="G64" s="1957" t="s">
        <v>1974</v>
      </c>
      <c r="H64" s="1957" t="s">
        <v>1476</v>
      </c>
      <c r="I64" s="1957" t="s">
        <v>1477</v>
      </c>
      <c r="J64" s="1957" t="s">
        <v>1432</v>
      </c>
      <c r="K64" s="1954"/>
      <c r="L64" s="229"/>
      <c r="M64" s="1940"/>
      <c r="N64" s="1009"/>
      <c r="O64" s="1009"/>
      <c r="P64" s="1009"/>
      <c r="R64" s="1011"/>
    </row>
    <row r="65" spans="1:18" s="1010" customFormat="1" ht="16.5" customHeight="1">
      <c r="A65" s="213"/>
      <c r="B65" s="1945"/>
      <c r="C65" s="1948"/>
      <c r="D65" s="1956"/>
      <c r="E65" s="1958"/>
      <c r="F65" s="1958"/>
      <c r="G65" s="1958"/>
      <c r="H65" s="1958"/>
      <c r="I65" s="1958"/>
      <c r="J65" s="1958"/>
      <c r="K65" s="1954"/>
      <c r="L65" s="229"/>
      <c r="M65" s="1940"/>
      <c r="N65" s="1009"/>
      <c r="O65" s="1009"/>
      <c r="P65" s="1009"/>
      <c r="R65" s="1011"/>
    </row>
    <row r="66" spans="1:18" s="1010" customFormat="1" ht="16.5" customHeight="1">
      <c r="A66" s="213"/>
      <c r="B66" s="1945"/>
      <c r="C66" s="1948"/>
      <c r="D66" s="1956"/>
      <c r="E66" s="1958"/>
      <c r="F66" s="1958"/>
      <c r="G66" s="1958"/>
      <c r="H66" s="1958"/>
      <c r="I66" s="1958"/>
      <c r="J66" s="1958"/>
      <c r="K66" s="1954"/>
      <c r="L66" s="229"/>
      <c r="M66" s="1940"/>
      <c r="N66" s="1009"/>
      <c r="O66" s="1009"/>
      <c r="P66" s="1009"/>
      <c r="R66" s="1011"/>
    </row>
    <row r="67" spans="1:18" s="243" customFormat="1" ht="12.75">
      <c r="A67" s="213"/>
      <c r="B67" s="1945"/>
      <c r="C67" s="1948"/>
      <c r="D67" s="1956"/>
      <c r="E67" s="1958"/>
      <c r="F67" s="1958"/>
      <c r="G67" s="1958"/>
      <c r="H67" s="1958"/>
      <c r="I67" s="1958"/>
      <c r="J67" s="1958"/>
      <c r="K67" s="1954"/>
      <c r="L67" s="229"/>
      <c r="M67" s="1940"/>
      <c r="N67" s="245"/>
      <c r="O67" s="245"/>
      <c r="P67" s="245"/>
      <c r="R67" s="223"/>
    </row>
    <row r="68" spans="1:18" s="243" customFormat="1" ht="12.75">
      <c r="A68" s="213"/>
      <c r="B68" s="1946"/>
      <c r="C68" s="1949"/>
      <c r="D68" s="1956"/>
      <c r="E68" s="1959"/>
      <c r="F68" s="1959"/>
      <c r="G68" s="1959"/>
      <c r="H68" s="1959"/>
      <c r="I68" s="1959"/>
      <c r="J68" s="1959"/>
      <c r="K68" s="1955"/>
      <c r="L68" s="233"/>
      <c r="M68" s="1941"/>
      <c r="N68" s="245"/>
      <c r="O68" s="245"/>
      <c r="P68" s="245"/>
      <c r="R68" s="223"/>
    </row>
    <row r="69" spans="1:18" s="243" customFormat="1" ht="12.75">
      <c r="A69" s="213"/>
      <c r="B69" s="1502"/>
      <c r="C69" s="1502"/>
      <c r="D69" s="1942" t="s">
        <v>1028</v>
      </c>
      <c r="E69" s="1942"/>
      <c r="F69" s="1942"/>
      <c r="G69" s="1942"/>
      <c r="H69" s="1942"/>
      <c r="I69" s="1942"/>
      <c r="J69" s="1942"/>
      <c r="K69" s="1943" t="s">
        <v>1502</v>
      </c>
      <c r="L69" s="1943"/>
      <c r="M69" s="1943"/>
      <c r="N69" s="245"/>
      <c r="O69" s="245"/>
      <c r="P69" s="245"/>
      <c r="R69" s="223"/>
    </row>
    <row r="70" spans="1:18" s="243" customFormat="1" ht="12.75">
      <c r="A70" s="213"/>
      <c r="B70" s="1502"/>
      <c r="C70" s="1502"/>
      <c r="D70" s="1503"/>
      <c r="E70" s="1503"/>
      <c r="F70" s="1503"/>
      <c r="G70" s="1503"/>
      <c r="H70" s="1503"/>
      <c r="I70" s="1503"/>
      <c r="J70" s="1503"/>
      <c r="K70" s="1504"/>
      <c r="L70" s="226"/>
      <c r="M70" s="1504"/>
      <c r="N70" s="245"/>
      <c r="O70" s="245"/>
      <c r="P70" s="245"/>
      <c r="R70" s="223"/>
    </row>
    <row r="71" spans="1:18" s="243" customFormat="1" ht="12.75">
      <c r="A71" s="213"/>
      <c r="B71" s="1507" t="s">
        <v>1979</v>
      </c>
      <c r="C71" s="1468">
        <v>44063</v>
      </c>
      <c r="D71" s="1505">
        <v>100000</v>
      </c>
      <c r="E71" s="1505">
        <v>350000</v>
      </c>
      <c r="F71" s="1505">
        <v>450000</v>
      </c>
      <c r="G71" s="1505">
        <f>D71+E71-F71</f>
        <v>0</v>
      </c>
      <c r="H71" s="1505">
        <v>0</v>
      </c>
      <c r="I71" s="1505">
        <v>0</v>
      </c>
      <c r="J71" s="1505">
        <v>0</v>
      </c>
      <c r="K71" s="1505">
        <v>0</v>
      </c>
      <c r="L71" s="1505"/>
      <c r="M71" s="1505">
        <v>0</v>
      </c>
      <c r="N71" s="245"/>
      <c r="O71" s="245"/>
      <c r="P71" s="245"/>
      <c r="R71" s="223"/>
    </row>
    <row r="72" spans="1:18" s="243" customFormat="1" ht="12.75">
      <c r="A72" s="213"/>
      <c r="B72" s="1507" t="s">
        <v>1982</v>
      </c>
      <c r="C72" s="1468">
        <v>43293</v>
      </c>
      <c r="D72" s="1505">
        <v>650000</v>
      </c>
      <c r="E72" s="1505">
        <v>250000</v>
      </c>
      <c r="F72" s="1505">
        <v>900000</v>
      </c>
      <c r="G72" s="1505">
        <f t="shared" ref="G72:G73" si="6">D72+E72-F72</f>
        <v>0</v>
      </c>
      <c r="H72" s="1505">
        <v>0</v>
      </c>
      <c r="I72" s="1505">
        <v>0</v>
      </c>
      <c r="J72" s="1505">
        <v>0</v>
      </c>
      <c r="K72" s="1505">
        <v>0</v>
      </c>
      <c r="L72" s="1505"/>
      <c r="M72" s="1505">
        <v>0</v>
      </c>
      <c r="N72" s="245"/>
      <c r="O72" s="245"/>
      <c r="P72" s="245"/>
      <c r="R72" s="223"/>
    </row>
    <row r="73" spans="1:18" s="243" customFormat="1" ht="12.75">
      <c r="A73" s="213"/>
      <c r="B73" s="1507" t="s">
        <v>1982</v>
      </c>
      <c r="C73" s="1468">
        <v>44119</v>
      </c>
      <c r="D73" s="1505">
        <v>50000</v>
      </c>
      <c r="E73" s="1505">
        <v>450000</v>
      </c>
      <c r="F73" s="1505">
        <v>500000</v>
      </c>
      <c r="G73" s="1505">
        <f t="shared" si="6"/>
        <v>0</v>
      </c>
      <c r="H73" s="1505">
        <v>0</v>
      </c>
      <c r="I73" s="1505">
        <v>0</v>
      </c>
      <c r="J73" s="1505">
        <v>0</v>
      </c>
      <c r="K73" s="1505">
        <v>0</v>
      </c>
      <c r="L73" s="1505"/>
      <c r="M73" s="1505">
        <v>0</v>
      </c>
      <c r="N73" s="245"/>
      <c r="O73" s="245"/>
      <c r="P73" s="245"/>
      <c r="R73" s="223"/>
    </row>
    <row r="74" spans="1:18" s="243" customFormat="1" ht="12.75">
      <c r="A74" s="213"/>
      <c r="B74" s="1507"/>
      <c r="C74" s="1468"/>
      <c r="D74" s="1505"/>
      <c r="E74" s="1505"/>
      <c r="F74" s="1505"/>
      <c r="G74" s="1505"/>
      <c r="H74" s="1505"/>
      <c r="I74" s="1505"/>
      <c r="J74" s="1505"/>
      <c r="K74" s="1505"/>
      <c r="L74" s="1505"/>
      <c r="M74" s="1505"/>
      <c r="N74" s="245"/>
      <c r="O74" s="245"/>
      <c r="P74" s="245"/>
      <c r="R74" s="223"/>
    </row>
    <row r="75" spans="1:18" s="243" customFormat="1" ht="12.75">
      <c r="A75" s="213"/>
      <c r="B75" s="1506"/>
      <c r="C75" s="1468"/>
      <c r="D75" s="1505"/>
      <c r="E75" s="1505"/>
      <c r="F75" s="1505"/>
      <c r="G75" s="1505"/>
      <c r="H75" s="1505"/>
      <c r="I75" s="1505"/>
      <c r="J75" s="1505"/>
      <c r="K75" s="1505"/>
      <c r="L75" s="1505"/>
      <c r="M75" s="1505"/>
      <c r="N75" s="245"/>
      <c r="O75" s="245"/>
      <c r="P75" s="245"/>
      <c r="R75" s="223"/>
    </row>
    <row r="76" spans="1:18" s="243" customFormat="1" ht="13.5" thickBot="1">
      <c r="A76" s="213"/>
      <c r="B76" s="1385" t="s">
        <v>1980</v>
      </c>
      <c r="C76" s="1472"/>
      <c r="D76" s="1008"/>
      <c r="E76" s="1473"/>
      <c r="F76" s="1008"/>
      <c r="G76" s="1473"/>
      <c r="H76" s="1474">
        <f>SUM(H71:H71)</f>
        <v>0</v>
      </c>
      <c r="I76" s="1474">
        <f>SUM(I71:I71)</f>
        <v>0</v>
      </c>
      <c r="J76" s="1474">
        <f>SUM(J71:J71)</f>
        <v>0</v>
      </c>
      <c r="K76" s="1505"/>
      <c r="L76" s="1505"/>
      <c r="M76" s="1505"/>
      <c r="N76" s="245"/>
      <c r="O76" s="245"/>
      <c r="P76" s="245"/>
      <c r="R76" s="223"/>
    </row>
    <row r="77" spans="1:18" s="243" customFormat="1" ht="14.25" thickTop="1" thickBot="1">
      <c r="A77" s="213"/>
      <c r="B77" s="1385"/>
      <c r="C77" s="1472"/>
      <c r="D77" s="1008"/>
      <c r="E77" s="1473"/>
      <c r="F77" s="1008"/>
      <c r="G77" s="1473"/>
      <c r="H77" s="1476"/>
      <c r="I77" s="1476"/>
      <c r="J77" s="1476"/>
      <c r="K77" s="1504"/>
      <c r="L77" s="226"/>
      <c r="M77" s="1504"/>
      <c r="N77" s="245"/>
      <c r="O77" s="245"/>
      <c r="P77" s="245"/>
      <c r="R77" s="223"/>
    </row>
    <row r="78" spans="1:18" s="243" customFormat="1" ht="14.25" thickTop="1" thickBot="1">
      <c r="A78" s="213"/>
      <c r="B78" s="1385" t="s">
        <v>1976</v>
      </c>
      <c r="C78" s="1472"/>
      <c r="D78" s="1008"/>
      <c r="E78" s="1473"/>
      <c r="F78" s="1008"/>
      <c r="G78" s="1473"/>
      <c r="H78" s="1477">
        <v>784815</v>
      </c>
      <c r="I78" s="1477">
        <v>786142</v>
      </c>
      <c r="J78" s="1477">
        <v>1327</v>
      </c>
      <c r="K78" s="1504"/>
      <c r="L78" s="226"/>
      <c r="M78" s="1504"/>
      <c r="N78" s="245"/>
      <c r="O78" s="245"/>
      <c r="P78" s="245"/>
      <c r="R78" s="223"/>
    </row>
    <row r="79" spans="1:18" s="243" customFormat="1" ht="13.5" thickTop="1">
      <c r="A79" s="213"/>
      <c r="B79" s="1385"/>
      <c r="C79" s="1472"/>
      <c r="D79" s="1008"/>
      <c r="E79" s="1473"/>
      <c r="F79" s="1008"/>
      <c r="G79" s="1473"/>
      <c r="H79" s="1479"/>
      <c r="I79" s="1479"/>
      <c r="J79" s="1479"/>
      <c r="K79" s="1504"/>
      <c r="L79" s="226"/>
      <c r="M79" s="1504"/>
      <c r="N79" s="245"/>
      <c r="O79" s="245"/>
      <c r="P79" s="245"/>
      <c r="R79" s="223"/>
    </row>
    <row r="80" spans="1:18" s="243" customFormat="1" ht="12.75">
      <c r="A80" s="213"/>
      <c r="B80" s="1385"/>
      <c r="C80" s="1472"/>
      <c r="D80" s="1008"/>
      <c r="E80" s="1473"/>
      <c r="F80" s="1008"/>
      <c r="G80" s="1473"/>
      <c r="H80" s="1479"/>
      <c r="I80" s="1479"/>
      <c r="J80" s="1479"/>
      <c r="K80" s="1504"/>
      <c r="L80" s="226"/>
      <c r="M80" s="1504"/>
      <c r="N80" s="245"/>
      <c r="O80" s="245"/>
      <c r="P80" s="245"/>
      <c r="R80" s="223"/>
    </row>
    <row r="81" spans="1:18" s="243" customFormat="1" ht="12.75">
      <c r="A81" s="213"/>
      <c r="B81" s="1502"/>
      <c r="C81" s="1502"/>
      <c r="D81" s="1503"/>
      <c r="E81" s="1503"/>
      <c r="F81" s="1503"/>
      <c r="G81" s="1503"/>
      <c r="H81" s="1503"/>
      <c r="I81" s="1503"/>
      <c r="J81" s="1503"/>
      <c r="K81" s="752" t="s">
        <v>1809</v>
      </c>
      <c r="L81" s="1460"/>
      <c r="M81" s="752" t="s">
        <v>1314</v>
      </c>
      <c r="N81" s="245"/>
      <c r="O81" s="245"/>
      <c r="P81" s="245"/>
      <c r="R81" s="223"/>
    </row>
    <row r="82" spans="1:18" s="243" customFormat="1" ht="12.75">
      <c r="A82" s="246"/>
      <c r="B82" s="246"/>
      <c r="C82" s="1480"/>
      <c r="D82" s="1480"/>
      <c r="E82" s="1480"/>
      <c r="F82" s="1480"/>
      <c r="G82" s="1480"/>
      <c r="H82" s="1480"/>
      <c r="I82" s="1480"/>
      <c r="K82" s="173" t="s">
        <v>1952</v>
      </c>
      <c r="L82" s="174"/>
      <c r="M82" s="173" t="s">
        <v>1952</v>
      </c>
      <c r="N82" s="175"/>
    </row>
    <row r="83" spans="1:18" s="243" customFormat="1" ht="12.95" customHeight="1">
      <c r="A83" s="213" t="s">
        <v>2100</v>
      </c>
      <c r="B83" s="1481" t="s">
        <v>1983</v>
      </c>
      <c r="C83" s="1480"/>
      <c r="D83" s="1480"/>
      <c r="E83" s="1480"/>
      <c r="F83" s="1480"/>
      <c r="G83" s="1480"/>
      <c r="H83" s="1480"/>
      <c r="I83" s="1480"/>
      <c r="J83" s="177" t="s">
        <v>910</v>
      </c>
      <c r="K83" s="1902" t="s">
        <v>1310</v>
      </c>
      <c r="L83" s="1903"/>
      <c r="M83" s="1903"/>
      <c r="N83" s="178"/>
    </row>
    <row r="84" spans="1:18" s="243" customFormat="1" ht="12.95" customHeight="1">
      <c r="A84" s="1482"/>
      <c r="B84" s="1480"/>
      <c r="C84" s="1480"/>
      <c r="D84" s="1480"/>
      <c r="E84" s="1480"/>
      <c r="F84" s="1480"/>
      <c r="G84" s="1480"/>
      <c r="H84" s="1480"/>
      <c r="I84" s="1480"/>
      <c r="J84" s="1480"/>
      <c r="K84" s="1480"/>
      <c r="L84" s="1480"/>
      <c r="M84" s="1480"/>
      <c r="N84" s="262"/>
    </row>
    <row r="85" spans="1:18" s="243" customFormat="1" ht="12.95" customHeight="1">
      <c r="A85" s="1482"/>
      <c r="B85" s="1480" t="s">
        <v>1035</v>
      </c>
      <c r="C85" s="1480"/>
      <c r="D85" s="1480"/>
      <c r="E85" s="1480"/>
      <c r="F85" s="1480"/>
      <c r="G85" s="1480"/>
      <c r="H85" s="1480"/>
      <c r="I85" s="1480"/>
      <c r="J85" s="1483" t="str">
        <f>'5.1.2.1 - 5.1.7'!$A$2</f>
        <v>7.2.1</v>
      </c>
      <c r="K85" s="1484">
        <v>99771</v>
      </c>
      <c r="L85" s="1480"/>
      <c r="M85" s="1485">
        <v>99771</v>
      </c>
      <c r="N85" s="263"/>
    </row>
    <row r="86" spans="1:18" s="243" customFormat="1" ht="12.95" customHeight="1">
      <c r="A86" s="1482"/>
      <c r="B86" s="1480"/>
      <c r="C86" s="1480"/>
      <c r="D86" s="1480"/>
      <c r="E86" s="1480"/>
      <c r="F86" s="1480"/>
      <c r="G86" s="1480"/>
      <c r="H86" s="1480"/>
      <c r="I86" s="1480"/>
      <c r="J86" s="1480"/>
      <c r="K86" s="599"/>
      <c r="L86" s="1480"/>
      <c r="M86" s="1480"/>
      <c r="N86" s="262"/>
    </row>
    <row r="87" spans="1:18" s="243" customFormat="1" ht="12.95" customHeight="1">
      <c r="A87" s="1482"/>
      <c r="B87" s="1486" t="s">
        <v>1036</v>
      </c>
      <c r="C87" s="1480"/>
      <c r="D87" s="1480"/>
      <c r="E87" s="1480"/>
      <c r="F87" s="1480"/>
      <c r="G87" s="1480"/>
      <c r="H87" s="1480"/>
      <c r="I87" s="1480"/>
      <c r="J87" s="1480"/>
      <c r="K87" s="599"/>
      <c r="L87" s="1480"/>
      <c r="M87" s="1480"/>
      <c r="N87" s="262"/>
    </row>
    <row r="88" spans="1:18" s="243" customFormat="1" ht="12.95" customHeight="1">
      <c r="A88" s="1482"/>
      <c r="B88" s="1487" t="s">
        <v>1037</v>
      </c>
      <c r="C88" s="1480"/>
      <c r="D88" s="1480"/>
      <c r="E88" s="1480"/>
      <c r="F88" s="1480"/>
      <c r="G88" s="1480"/>
      <c r="H88" s="1480"/>
      <c r="I88" s="1480"/>
      <c r="J88" s="1936" t="str">
        <f>'5.2 - 25'!A22</f>
        <v>7.6</v>
      </c>
      <c r="K88" s="1488">
        <v>-49940</v>
      </c>
      <c r="L88" s="1480"/>
      <c r="M88" s="1489">
        <v>-49940</v>
      </c>
      <c r="N88" s="264"/>
    </row>
    <row r="89" spans="1:18" s="243" customFormat="1" ht="12.95" customHeight="1">
      <c r="A89" s="1482"/>
      <c r="B89" s="1487" t="s">
        <v>1038</v>
      </c>
      <c r="C89" s="1480"/>
      <c r="D89" s="1480"/>
      <c r="E89" s="1480"/>
      <c r="F89" s="1480"/>
      <c r="G89" s="1480"/>
      <c r="H89" s="1480"/>
      <c r="I89" s="1480"/>
      <c r="J89" s="1936"/>
      <c r="K89" s="1490">
        <v>-31088</v>
      </c>
      <c r="L89" s="1480"/>
      <c r="M89" s="1491">
        <v>-31088</v>
      </c>
      <c r="N89" s="264"/>
    </row>
    <row r="90" spans="1:18" s="243" customFormat="1" ht="12.95" customHeight="1">
      <c r="A90" s="1482"/>
      <c r="B90" s="1487" t="s">
        <v>1039</v>
      </c>
      <c r="C90" s="1480"/>
      <c r="D90" s="1480"/>
      <c r="E90" s="1480"/>
      <c r="F90" s="1480"/>
      <c r="G90" s="1480"/>
      <c r="H90" s="1480"/>
      <c r="I90" s="1480"/>
      <c r="J90" s="1936"/>
      <c r="K90" s="1492">
        <v>-18743</v>
      </c>
      <c r="L90" s="1480"/>
      <c r="M90" s="1493">
        <v>-18743</v>
      </c>
      <c r="N90" s="264"/>
    </row>
    <row r="91" spans="1:18" s="243" customFormat="1" ht="12.95" customHeight="1">
      <c r="A91" s="1482"/>
      <c r="B91" s="1494"/>
      <c r="C91" s="1480"/>
      <c r="D91" s="1480"/>
      <c r="E91" s="1480"/>
      <c r="F91" s="1480"/>
      <c r="G91" s="1480"/>
      <c r="H91" s="1480"/>
      <c r="I91" s="1480"/>
      <c r="J91" s="1480"/>
      <c r="K91" s="1495">
        <v>-99771</v>
      </c>
      <c r="L91" s="1480"/>
      <c r="M91" s="1496">
        <v>-99771</v>
      </c>
      <c r="N91" s="265"/>
    </row>
    <row r="92" spans="1:18" s="243" customFormat="1" ht="12.95" hidden="1" customHeight="1">
      <c r="A92" s="1482"/>
      <c r="B92" s="1486" t="s">
        <v>1040</v>
      </c>
      <c r="C92" s="1480"/>
      <c r="D92" s="1480"/>
      <c r="E92" s="1480"/>
      <c r="F92" s="1480"/>
      <c r="G92" s="1480"/>
      <c r="H92" s="1480"/>
      <c r="I92" s="1480"/>
      <c r="J92" s="1480"/>
      <c r="K92" s="1495"/>
      <c r="L92" s="1480"/>
      <c r="M92" s="1496"/>
      <c r="N92" s="265"/>
    </row>
    <row r="93" spans="1:18" s="243" customFormat="1" ht="12.95" hidden="1" customHeight="1">
      <c r="A93" s="1482"/>
      <c r="B93" s="1494" t="s">
        <v>1042</v>
      </c>
      <c r="C93" s="1480"/>
      <c r="D93" s="1480"/>
      <c r="E93" s="1480"/>
      <c r="F93" s="1480"/>
      <c r="G93" s="1480"/>
      <c r="H93" s="1480"/>
      <c r="I93" s="1480"/>
      <c r="J93" s="1480"/>
      <c r="K93" s="1497">
        <v>0</v>
      </c>
      <c r="L93" s="1480"/>
      <c r="M93" s="1489">
        <v>0</v>
      </c>
      <c r="N93" s="264"/>
    </row>
    <row r="94" spans="1:18" s="243" customFormat="1" ht="12.95" hidden="1" customHeight="1">
      <c r="A94" s="1482"/>
      <c r="B94" s="1487" t="s">
        <v>1041</v>
      </c>
      <c r="C94" s="1480"/>
      <c r="D94" s="1480"/>
      <c r="E94" s="1480"/>
      <c r="F94" s="1480"/>
      <c r="G94" s="1480"/>
      <c r="H94" s="1480"/>
      <c r="I94" s="1480"/>
      <c r="J94" s="1480"/>
      <c r="K94" s="1498">
        <v>0</v>
      </c>
      <c r="L94" s="1480"/>
      <c r="M94" s="1493">
        <v>0</v>
      </c>
      <c r="N94" s="264"/>
    </row>
    <row r="95" spans="1:18" s="243" customFormat="1" ht="12.95" hidden="1" customHeight="1">
      <c r="A95" s="1482"/>
      <c r="C95" s="1480"/>
      <c r="D95" s="1480"/>
      <c r="E95" s="1480"/>
      <c r="F95" s="1480"/>
      <c r="G95" s="1480"/>
      <c r="H95" s="1480"/>
      <c r="I95" s="1480"/>
      <c r="J95" s="1480"/>
      <c r="K95" s="1495">
        <v>0</v>
      </c>
      <c r="L95" s="1480"/>
      <c r="M95" s="1496">
        <v>0</v>
      </c>
      <c r="N95" s="265"/>
    </row>
    <row r="96" spans="1:18" s="243" customFormat="1" ht="6" hidden="1" customHeight="1">
      <c r="A96" s="1482"/>
      <c r="B96" s="1499"/>
      <c r="C96" s="1480"/>
      <c r="D96" s="1480"/>
      <c r="E96" s="1480"/>
      <c r="F96" s="1480"/>
      <c r="G96" s="1480"/>
      <c r="H96" s="1480"/>
      <c r="I96" s="1480"/>
      <c r="J96" s="1480"/>
      <c r="K96" s="1495"/>
      <c r="L96" s="1480"/>
      <c r="M96" s="1496"/>
      <c r="N96" s="265"/>
    </row>
    <row r="97" spans="1:14" s="1010" customFormat="1" ht="21" hidden="1" customHeight="1" thickBot="1">
      <c r="A97" s="1500"/>
      <c r="B97" s="1501"/>
      <c r="C97" s="1501"/>
      <c r="D97" s="1501"/>
      <c r="E97" s="1501"/>
      <c r="F97" s="1501"/>
      <c r="G97" s="1501"/>
      <c r="H97" s="1501"/>
      <c r="I97" s="1501"/>
      <c r="J97" s="1501"/>
      <c r="K97" s="1862">
        <v>0</v>
      </c>
      <c r="L97" s="1501"/>
      <c r="M97" s="1861">
        <v>48862</v>
      </c>
      <c r="N97" s="1019"/>
    </row>
    <row r="98" spans="1:14" s="74" customFormat="1" ht="13.5" thickBot="1">
      <c r="A98" s="162"/>
      <c r="B98" s="158"/>
      <c r="C98" s="158"/>
      <c r="D98" s="158"/>
      <c r="E98" s="158"/>
      <c r="F98" s="158"/>
      <c r="G98" s="158"/>
      <c r="H98" s="158"/>
      <c r="I98" s="158"/>
      <c r="J98" s="158"/>
      <c r="K98" s="1863">
        <v>0</v>
      </c>
      <c r="L98" s="158"/>
      <c r="M98" s="1863">
        <v>0</v>
      </c>
    </row>
    <row r="99" spans="1:14" ht="16.5" thickTop="1"/>
  </sheetData>
  <mergeCells count="47">
    <mergeCell ref="B63:B68"/>
    <mergeCell ref="C63:C68"/>
    <mergeCell ref="D63:G63"/>
    <mergeCell ref="H63:J63"/>
    <mergeCell ref="K63:K68"/>
    <mergeCell ref="D64:D68"/>
    <mergeCell ref="E64:E68"/>
    <mergeCell ref="F64:F68"/>
    <mergeCell ref="G64:G68"/>
    <mergeCell ref="H64:H68"/>
    <mergeCell ref="I64:I68"/>
    <mergeCell ref="J64:J68"/>
    <mergeCell ref="B43:B48"/>
    <mergeCell ref="C43:C48"/>
    <mergeCell ref="D43:G43"/>
    <mergeCell ref="H43:J43"/>
    <mergeCell ref="K43:K48"/>
    <mergeCell ref="D44:D48"/>
    <mergeCell ref="E44:E48"/>
    <mergeCell ref="F44:F48"/>
    <mergeCell ref="G44:G48"/>
    <mergeCell ref="H44:H48"/>
    <mergeCell ref="I44:I48"/>
    <mergeCell ref="J44:J48"/>
    <mergeCell ref="B7:B12"/>
    <mergeCell ref="C7:C12"/>
    <mergeCell ref="D7:G7"/>
    <mergeCell ref="K7:K12"/>
    <mergeCell ref="M7:M12"/>
    <mergeCell ref="D8:D12"/>
    <mergeCell ref="E8:E12"/>
    <mergeCell ref="F8:F12"/>
    <mergeCell ref="G8:G12"/>
    <mergeCell ref="H8:H12"/>
    <mergeCell ref="I8:I12"/>
    <mergeCell ref="J8:J12"/>
    <mergeCell ref="H7:J7"/>
    <mergeCell ref="J88:J90"/>
    <mergeCell ref="D13:J13"/>
    <mergeCell ref="K13:M13"/>
    <mergeCell ref="K83:M83"/>
    <mergeCell ref="M43:M48"/>
    <mergeCell ref="D49:J49"/>
    <mergeCell ref="K49:M49"/>
    <mergeCell ref="M63:M68"/>
    <mergeCell ref="D69:J69"/>
    <mergeCell ref="K69:M69"/>
  </mergeCells>
  <pageMargins left="0.56000000000000005" right="0.35" top="0.52" bottom="0.22" header="0.3" footer="0.16"/>
  <pageSetup scale="65"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TV136"/>
  <sheetViews>
    <sheetView showGridLines="0" view="pageBreakPreview" topLeftCell="F114" zoomScale="120" zoomScaleNormal="85" zoomScaleSheetLayoutView="120" workbookViewId="0">
      <selection activeCell="M114" sqref="M1:XFD1048576"/>
    </sheetView>
  </sheetViews>
  <sheetFormatPr defaultColWidth="0" defaultRowHeight="12"/>
  <cols>
    <col min="1" max="1" width="5.85546875" style="243" customWidth="1"/>
    <col min="2" max="2" width="23.42578125" style="243" customWidth="1"/>
    <col min="3" max="3" width="7.28515625" style="243" customWidth="1"/>
    <col min="4" max="4" width="8" style="243" customWidth="1"/>
    <col min="5" max="5" width="11" style="243" customWidth="1"/>
    <col min="6" max="6" width="8.140625" style="243" customWidth="1"/>
    <col min="7" max="8" width="7.85546875" style="243" customWidth="1"/>
    <col min="9" max="9" width="9.7109375" style="243" customWidth="1"/>
    <col min="10" max="12" width="8.7109375" style="243" customWidth="1"/>
    <col min="13" max="13" width="11.42578125" style="243" hidden="1"/>
    <col min="14" max="14" width="8.7109375" style="271" hidden="1"/>
    <col min="15" max="15" width="8.140625" style="243" hidden="1"/>
    <col min="16" max="16" width="13.42578125" style="271" hidden="1"/>
    <col min="17" max="17" width="10" style="243" hidden="1"/>
    <col min="18" max="194" width="8.140625" style="243" hidden="1"/>
    <col min="195" max="195" width="5.85546875" style="243" hidden="1"/>
    <col min="196" max="196" width="40.140625" style="243" hidden="1"/>
    <col min="197" max="197" width="1.5703125" style="243" hidden="1"/>
    <col min="198" max="198" width="9.5703125" style="243" hidden="1"/>
    <col min="199" max="199" width="11.85546875" style="243" hidden="1"/>
    <col min="200" max="200" width="10.42578125" style="243" hidden="1"/>
    <col min="201" max="201" width="10.28515625" style="243" hidden="1"/>
    <col min="202" max="202" width="10.85546875" style="243" hidden="1"/>
    <col min="203" max="203" width="9.140625" style="243" hidden="1"/>
    <col min="204" max="204" width="8.7109375" style="243" hidden="1"/>
    <col min="205" max="205" width="13.5703125" style="243" hidden="1"/>
    <col min="206" max="206" width="12.28515625" style="243" hidden="1"/>
    <col min="207" max="207" width="0.85546875" style="243" hidden="1"/>
    <col min="208" max="208" width="14" style="243" hidden="1"/>
    <col min="209" max="209" width="15.5703125" style="243" hidden="1"/>
    <col min="210" max="210" width="13.85546875" style="243" hidden="1"/>
    <col min="211" max="211" width="13.140625" style="243" hidden="1"/>
    <col min="212" max="212" width="9" style="243" hidden="1"/>
    <col min="213" max="213" width="13.140625" style="243" hidden="1"/>
    <col min="214" max="214" width="8.140625" style="243" hidden="1"/>
    <col min="215" max="215" width="5.7109375" style="243" hidden="1"/>
    <col min="216" max="216" width="24.5703125" style="243" hidden="1"/>
    <col min="217" max="217" width="13.85546875" style="243" hidden="1"/>
    <col min="218" max="218" width="13.5703125" style="243" hidden="1"/>
    <col min="219" max="450" width="8.140625" style="243" hidden="1"/>
    <col min="451" max="451" width="5.85546875" style="243" hidden="1"/>
    <col min="452" max="452" width="40.140625" style="243" hidden="1"/>
    <col min="453" max="453" width="1.5703125" style="243" hidden="1"/>
    <col min="454" max="454" width="9.5703125" style="243" hidden="1"/>
    <col min="455" max="455" width="11.85546875" style="243" hidden="1"/>
    <col min="456" max="456" width="10.42578125" style="243" hidden="1"/>
    <col min="457" max="457" width="10.28515625" style="243" hidden="1"/>
    <col min="458" max="458" width="10.85546875" style="243" hidden="1"/>
    <col min="459" max="459" width="9.140625" style="243" hidden="1"/>
    <col min="460" max="460" width="8.7109375" style="243" hidden="1"/>
    <col min="461" max="461" width="13.5703125" style="243" hidden="1"/>
    <col min="462" max="462" width="12.28515625" style="243" hidden="1"/>
    <col min="463" max="463" width="0.85546875" style="243" hidden="1"/>
    <col min="464" max="464" width="14" style="243" hidden="1"/>
    <col min="465" max="465" width="15.5703125" style="243" hidden="1"/>
    <col min="466" max="466" width="13.85546875" style="243" hidden="1"/>
    <col min="467" max="467" width="13.140625" style="243" hidden="1"/>
    <col min="468" max="468" width="9" style="243" hidden="1"/>
    <col min="469" max="469" width="13.140625" style="243" hidden="1"/>
    <col min="470" max="470" width="8.140625" style="243" hidden="1"/>
    <col min="471" max="471" width="5.7109375" style="243" hidden="1"/>
    <col min="472" max="472" width="24.5703125" style="243" hidden="1"/>
    <col min="473" max="473" width="13.85546875" style="243" hidden="1"/>
    <col min="474" max="474" width="13.5703125" style="243" hidden="1"/>
    <col min="475" max="706" width="8.140625" style="243" hidden="1"/>
    <col min="707" max="707" width="5.85546875" style="243" hidden="1"/>
    <col min="708" max="708" width="40.140625" style="243" hidden="1"/>
    <col min="709" max="709" width="1.5703125" style="243" hidden="1"/>
    <col min="710" max="710" width="9.5703125" style="243" hidden="1"/>
    <col min="711" max="711" width="11.85546875" style="243" hidden="1"/>
    <col min="712" max="712" width="10.42578125" style="243" hidden="1"/>
    <col min="713" max="713" width="10.28515625" style="243" hidden="1"/>
    <col min="714" max="714" width="10.85546875" style="243" hidden="1"/>
    <col min="715" max="715" width="9.140625" style="243" hidden="1"/>
    <col min="716" max="716" width="8.7109375" style="243" hidden="1"/>
    <col min="717" max="717" width="13.5703125" style="243" hidden="1"/>
    <col min="718" max="718" width="12.28515625" style="243" hidden="1"/>
    <col min="719" max="719" width="0.85546875" style="243" hidden="1"/>
    <col min="720" max="720" width="14" style="243" hidden="1"/>
    <col min="721" max="721" width="15.5703125" style="243" hidden="1"/>
    <col min="722" max="722" width="13.85546875" style="243" hidden="1"/>
    <col min="723" max="723" width="13.140625" style="243" hidden="1"/>
    <col min="724" max="724" width="9" style="243" hidden="1"/>
    <col min="725" max="725" width="13.140625" style="243" hidden="1"/>
    <col min="726" max="726" width="8.140625" style="243" hidden="1"/>
    <col min="727" max="727" width="5.7109375" style="243" hidden="1"/>
    <col min="728" max="728" width="24.5703125" style="243" hidden="1"/>
    <col min="729" max="729" width="13.85546875" style="243" hidden="1"/>
    <col min="730" max="730" width="13.5703125" style="243" hidden="1"/>
    <col min="731" max="962" width="8.140625" style="243" hidden="1"/>
    <col min="963" max="963" width="5.85546875" style="243" hidden="1"/>
    <col min="964" max="964" width="40.140625" style="243" hidden="1"/>
    <col min="965" max="965" width="1.5703125" style="243" hidden="1"/>
    <col min="966" max="966" width="9.5703125" style="243" hidden="1"/>
    <col min="967" max="967" width="11.85546875" style="243" hidden="1"/>
    <col min="968" max="968" width="10.42578125" style="243" hidden="1"/>
    <col min="969" max="969" width="10.28515625" style="243" hidden="1"/>
    <col min="970" max="970" width="10.85546875" style="243" hidden="1"/>
    <col min="971" max="971" width="9.140625" style="243" hidden="1"/>
    <col min="972" max="972" width="8.7109375" style="243" hidden="1"/>
    <col min="973" max="973" width="13.5703125" style="243" hidden="1"/>
    <col min="974" max="974" width="12.28515625" style="243" hidden="1"/>
    <col min="975" max="975" width="0.85546875" style="243" hidden="1"/>
    <col min="976" max="976" width="14" style="243" hidden="1"/>
    <col min="977" max="977" width="15.5703125" style="243" hidden="1"/>
    <col min="978" max="978" width="13.85546875" style="243" hidden="1"/>
    <col min="979" max="979" width="13.140625" style="243" hidden="1"/>
    <col min="980" max="980" width="9" style="243" hidden="1"/>
    <col min="981" max="981" width="13.140625" style="243" hidden="1"/>
    <col min="982" max="982" width="8.140625" style="243" hidden="1"/>
    <col min="983" max="983" width="5.7109375" style="243" hidden="1"/>
    <col min="984" max="984" width="24.5703125" style="243" hidden="1"/>
    <col min="985" max="985" width="13.85546875" style="243" hidden="1"/>
    <col min="986" max="986" width="13.5703125" style="243" hidden="1"/>
    <col min="987" max="1218" width="8.140625" style="243" hidden="1"/>
    <col min="1219" max="1219" width="5.85546875" style="243" hidden="1"/>
    <col min="1220" max="1220" width="40.140625" style="243" hidden="1"/>
    <col min="1221" max="1221" width="1.5703125" style="243" hidden="1"/>
    <col min="1222" max="1222" width="9.5703125" style="243" hidden="1"/>
    <col min="1223" max="1223" width="11.85546875" style="243" hidden="1"/>
    <col min="1224" max="1224" width="10.42578125" style="243" hidden="1"/>
    <col min="1225" max="1225" width="10.28515625" style="243" hidden="1"/>
    <col min="1226" max="1226" width="10.85546875" style="243" hidden="1"/>
    <col min="1227" max="1227" width="9.140625" style="243" hidden="1"/>
    <col min="1228" max="1228" width="8.7109375" style="243" hidden="1"/>
    <col min="1229" max="1229" width="13.5703125" style="243" hidden="1"/>
    <col min="1230" max="1230" width="12.28515625" style="243" hidden="1"/>
    <col min="1231" max="1231" width="0.85546875" style="243" hidden="1"/>
    <col min="1232" max="1232" width="14" style="243" hidden="1"/>
    <col min="1233" max="1233" width="15.5703125" style="243" hidden="1"/>
    <col min="1234" max="1234" width="13.85546875" style="243" hidden="1"/>
    <col min="1235" max="1235" width="13.140625" style="243" hidden="1"/>
    <col min="1236" max="1236" width="9" style="243" hidden="1"/>
    <col min="1237" max="1237" width="13.140625" style="243" hidden="1"/>
    <col min="1238" max="1238" width="8.140625" style="243" hidden="1"/>
    <col min="1239" max="1239" width="5.7109375" style="243" hidden="1"/>
    <col min="1240" max="1240" width="24.5703125" style="243" hidden="1"/>
    <col min="1241" max="1241" width="13.85546875" style="243" hidden="1"/>
    <col min="1242" max="1242" width="13.5703125" style="243" hidden="1"/>
    <col min="1243" max="1474" width="8.140625" style="243" hidden="1"/>
    <col min="1475" max="1475" width="5.85546875" style="243" hidden="1"/>
    <col min="1476" max="1476" width="40.140625" style="243" hidden="1"/>
    <col min="1477" max="1477" width="1.5703125" style="243" hidden="1"/>
    <col min="1478" max="1478" width="9.5703125" style="243" hidden="1"/>
    <col min="1479" max="1479" width="11.85546875" style="243" hidden="1"/>
    <col min="1480" max="1480" width="10.42578125" style="243" hidden="1"/>
    <col min="1481" max="1481" width="10.28515625" style="243" hidden="1"/>
    <col min="1482" max="1482" width="10.85546875" style="243" hidden="1"/>
    <col min="1483" max="1483" width="9.140625" style="243" hidden="1"/>
    <col min="1484" max="1484" width="8.7109375" style="243" hidden="1"/>
    <col min="1485" max="1485" width="13.5703125" style="243" hidden="1"/>
    <col min="1486" max="1486" width="12.28515625" style="243" hidden="1"/>
    <col min="1487" max="1487" width="0.85546875" style="243" hidden="1"/>
    <col min="1488" max="1488" width="14" style="243" hidden="1"/>
    <col min="1489" max="1489" width="15.5703125" style="243" hidden="1"/>
    <col min="1490" max="1490" width="13.85546875" style="243" hidden="1"/>
    <col min="1491" max="1491" width="13.140625" style="243" hidden="1"/>
    <col min="1492" max="1492" width="9" style="243" hidden="1"/>
    <col min="1493" max="1493" width="13.140625" style="243" hidden="1"/>
    <col min="1494" max="1494" width="8.140625" style="243" hidden="1"/>
    <col min="1495" max="1495" width="5.7109375" style="243" hidden="1"/>
    <col min="1496" max="1496" width="24.5703125" style="243" hidden="1"/>
    <col min="1497" max="1497" width="13.85546875" style="243" hidden="1"/>
    <col min="1498" max="1498" width="13.5703125" style="243" hidden="1"/>
    <col min="1499" max="1730" width="8.140625" style="243" hidden="1"/>
    <col min="1731" max="1731" width="5.85546875" style="243" hidden="1"/>
    <col min="1732" max="1732" width="40.140625" style="243" hidden="1"/>
    <col min="1733" max="1733" width="1.5703125" style="243" hidden="1"/>
    <col min="1734" max="1734" width="9.5703125" style="243" hidden="1"/>
    <col min="1735" max="1735" width="11.85546875" style="243" hidden="1"/>
    <col min="1736" max="1736" width="10.42578125" style="243" hidden="1"/>
    <col min="1737" max="1737" width="10.28515625" style="243" hidden="1"/>
    <col min="1738" max="1738" width="10.85546875" style="243" hidden="1"/>
    <col min="1739" max="1739" width="9.140625" style="243" hidden="1"/>
    <col min="1740" max="1740" width="8.7109375" style="243" hidden="1"/>
    <col min="1741" max="1741" width="13.5703125" style="243" hidden="1"/>
    <col min="1742" max="1742" width="12.28515625" style="243" hidden="1"/>
    <col min="1743" max="1743" width="0.85546875" style="243" hidden="1"/>
    <col min="1744" max="1744" width="14" style="243" hidden="1"/>
    <col min="1745" max="1745" width="15.5703125" style="243" hidden="1"/>
    <col min="1746" max="1746" width="13.85546875" style="243" hidden="1"/>
    <col min="1747" max="1747" width="13.140625" style="243" hidden="1"/>
    <col min="1748" max="1748" width="9" style="243" hidden="1"/>
    <col min="1749" max="1749" width="13.140625" style="243" hidden="1"/>
    <col min="1750" max="1750" width="8.140625" style="243" hidden="1"/>
    <col min="1751" max="1751" width="5.7109375" style="243" hidden="1"/>
    <col min="1752" max="1752" width="24.5703125" style="243" hidden="1"/>
    <col min="1753" max="1753" width="13.85546875" style="243" hidden="1"/>
    <col min="1754" max="1754" width="13.5703125" style="243" hidden="1"/>
    <col min="1755" max="1986" width="8.140625" style="243" hidden="1"/>
    <col min="1987" max="1987" width="5.85546875" style="243" hidden="1"/>
    <col min="1988" max="1988" width="40.140625" style="243" hidden="1"/>
    <col min="1989" max="1989" width="1.5703125" style="243" hidden="1"/>
    <col min="1990" max="1990" width="9.5703125" style="243" hidden="1"/>
    <col min="1991" max="1991" width="11.85546875" style="243" hidden="1"/>
    <col min="1992" max="1992" width="10.42578125" style="243" hidden="1"/>
    <col min="1993" max="1993" width="10.28515625" style="243" hidden="1"/>
    <col min="1994" max="1994" width="10.85546875" style="243" hidden="1"/>
    <col min="1995" max="1995" width="9.140625" style="243" hidden="1"/>
    <col min="1996" max="1996" width="8.7109375" style="243" hidden="1"/>
    <col min="1997" max="1997" width="13.5703125" style="243" hidden="1"/>
    <col min="1998" max="1998" width="12.28515625" style="243" hidden="1"/>
    <col min="1999" max="1999" width="0.85546875" style="243" hidden="1"/>
    <col min="2000" max="2000" width="14" style="243" hidden="1"/>
    <col min="2001" max="2001" width="15.5703125" style="243" hidden="1"/>
    <col min="2002" max="2002" width="13.85546875" style="243" hidden="1"/>
    <col min="2003" max="2003" width="13.140625" style="243" hidden="1"/>
    <col min="2004" max="2004" width="9" style="243" hidden="1"/>
    <col min="2005" max="2005" width="13.140625" style="243" hidden="1"/>
    <col min="2006" max="2006" width="8.140625" style="243" hidden="1"/>
    <col min="2007" max="2007" width="5.7109375" style="243" hidden="1"/>
    <col min="2008" max="2008" width="24.5703125" style="243" hidden="1"/>
    <col min="2009" max="2009" width="13.85546875" style="243" hidden="1"/>
    <col min="2010" max="2010" width="13.5703125" style="243" hidden="1"/>
    <col min="2011" max="2242" width="8.140625" style="243" hidden="1"/>
    <col min="2243" max="2243" width="5.85546875" style="243" hidden="1"/>
    <col min="2244" max="2244" width="40.140625" style="243" hidden="1"/>
    <col min="2245" max="2245" width="1.5703125" style="243" hidden="1"/>
    <col min="2246" max="2246" width="9.5703125" style="243" hidden="1"/>
    <col min="2247" max="2247" width="11.85546875" style="243" hidden="1"/>
    <col min="2248" max="2248" width="10.42578125" style="243" hidden="1"/>
    <col min="2249" max="2249" width="10.28515625" style="243" hidden="1"/>
    <col min="2250" max="2250" width="10.85546875" style="243" hidden="1"/>
    <col min="2251" max="2251" width="9.140625" style="243" hidden="1"/>
    <col min="2252" max="2252" width="8.7109375" style="243" hidden="1"/>
    <col min="2253" max="2253" width="13.5703125" style="243" hidden="1"/>
    <col min="2254" max="2254" width="12.28515625" style="243" hidden="1"/>
    <col min="2255" max="2255" width="0.85546875" style="243" hidden="1"/>
    <col min="2256" max="2256" width="14" style="243" hidden="1"/>
    <col min="2257" max="2257" width="15.5703125" style="243" hidden="1"/>
    <col min="2258" max="2258" width="13.85546875" style="243" hidden="1"/>
    <col min="2259" max="2259" width="13.140625" style="243" hidden="1"/>
    <col min="2260" max="2260" width="9" style="243" hidden="1"/>
    <col min="2261" max="2261" width="13.140625" style="243" hidden="1"/>
    <col min="2262" max="2262" width="8.140625" style="243" hidden="1"/>
    <col min="2263" max="2263" width="5.7109375" style="243" hidden="1"/>
    <col min="2264" max="2264" width="24.5703125" style="243" hidden="1"/>
    <col min="2265" max="2265" width="13.85546875" style="243" hidden="1"/>
    <col min="2266" max="2266" width="13.5703125" style="243" hidden="1"/>
    <col min="2267" max="2498" width="8.140625" style="243" hidden="1"/>
    <col min="2499" max="2499" width="5.85546875" style="243" hidden="1"/>
    <col min="2500" max="2500" width="40.140625" style="243" hidden="1"/>
    <col min="2501" max="2501" width="1.5703125" style="243" hidden="1"/>
    <col min="2502" max="2502" width="9.5703125" style="243" hidden="1"/>
    <col min="2503" max="2503" width="11.85546875" style="243" hidden="1"/>
    <col min="2504" max="2504" width="10.42578125" style="243" hidden="1"/>
    <col min="2505" max="2505" width="10.28515625" style="243" hidden="1"/>
    <col min="2506" max="2506" width="10.85546875" style="243" hidden="1"/>
    <col min="2507" max="2507" width="9.140625" style="243" hidden="1"/>
    <col min="2508" max="2508" width="8.7109375" style="243" hidden="1"/>
    <col min="2509" max="2509" width="13.5703125" style="243" hidden="1"/>
    <col min="2510" max="2510" width="12.28515625" style="243" hidden="1"/>
    <col min="2511" max="2511" width="0.85546875" style="243" hidden="1"/>
    <col min="2512" max="2512" width="14" style="243" hidden="1"/>
    <col min="2513" max="2513" width="15.5703125" style="243" hidden="1"/>
    <col min="2514" max="2514" width="13.85546875" style="243" hidden="1"/>
    <col min="2515" max="2515" width="13.140625" style="243" hidden="1"/>
    <col min="2516" max="2516" width="9" style="243" hidden="1"/>
    <col min="2517" max="2517" width="13.140625" style="243" hidden="1"/>
    <col min="2518" max="2518" width="8.140625" style="243" hidden="1"/>
    <col min="2519" max="2519" width="5.7109375" style="243" hidden="1"/>
    <col min="2520" max="2520" width="24.5703125" style="243" hidden="1"/>
    <col min="2521" max="2521" width="13.85546875" style="243" hidden="1"/>
    <col min="2522" max="2522" width="13.5703125" style="243" hidden="1"/>
    <col min="2523" max="2754" width="8.140625" style="243" hidden="1"/>
    <col min="2755" max="2755" width="5.85546875" style="243" hidden="1"/>
    <col min="2756" max="2756" width="40.140625" style="243" hidden="1"/>
    <col min="2757" max="2757" width="1.5703125" style="243" hidden="1"/>
    <col min="2758" max="2758" width="9.5703125" style="243" hidden="1"/>
    <col min="2759" max="2759" width="11.85546875" style="243" hidden="1"/>
    <col min="2760" max="2760" width="10.42578125" style="243" hidden="1"/>
    <col min="2761" max="2761" width="10.28515625" style="243" hidden="1"/>
    <col min="2762" max="2762" width="10.85546875" style="243" hidden="1"/>
    <col min="2763" max="2763" width="9.140625" style="243" hidden="1"/>
    <col min="2764" max="2764" width="8.7109375" style="243" hidden="1"/>
    <col min="2765" max="2765" width="13.5703125" style="243" hidden="1"/>
    <col min="2766" max="2766" width="12.28515625" style="243" hidden="1"/>
    <col min="2767" max="2767" width="0.85546875" style="243" hidden="1"/>
    <col min="2768" max="2768" width="14" style="243" hidden="1"/>
    <col min="2769" max="2769" width="15.5703125" style="243" hidden="1"/>
    <col min="2770" max="2770" width="13.85546875" style="243" hidden="1"/>
    <col min="2771" max="2771" width="13.140625" style="243" hidden="1"/>
    <col min="2772" max="2772" width="9" style="243" hidden="1"/>
    <col min="2773" max="2773" width="13.140625" style="243" hidden="1"/>
    <col min="2774" max="2774" width="8.140625" style="243" hidden="1"/>
    <col min="2775" max="2775" width="5.7109375" style="243" hidden="1"/>
    <col min="2776" max="2776" width="24.5703125" style="243" hidden="1"/>
    <col min="2777" max="2777" width="13.85546875" style="243" hidden="1"/>
    <col min="2778" max="2778" width="13.5703125" style="243" hidden="1"/>
    <col min="2779" max="3010" width="8.140625" style="243" hidden="1"/>
    <col min="3011" max="3011" width="5.85546875" style="243" hidden="1"/>
    <col min="3012" max="3012" width="40.140625" style="243" hidden="1"/>
    <col min="3013" max="3013" width="1.5703125" style="243" hidden="1"/>
    <col min="3014" max="3014" width="9.5703125" style="243" hidden="1"/>
    <col min="3015" max="3015" width="11.85546875" style="243" hidden="1"/>
    <col min="3016" max="3016" width="10.42578125" style="243" hidden="1"/>
    <col min="3017" max="3017" width="10.28515625" style="243" hidden="1"/>
    <col min="3018" max="3018" width="10.85546875" style="243" hidden="1"/>
    <col min="3019" max="3019" width="9.140625" style="243" hidden="1"/>
    <col min="3020" max="3020" width="8.7109375" style="243" hidden="1"/>
    <col min="3021" max="3021" width="13.5703125" style="243" hidden="1"/>
    <col min="3022" max="3022" width="12.28515625" style="243" hidden="1"/>
    <col min="3023" max="3023" width="0.85546875" style="243" hidden="1"/>
    <col min="3024" max="3024" width="14" style="243" hidden="1"/>
    <col min="3025" max="3025" width="15.5703125" style="243" hidden="1"/>
    <col min="3026" max="3026" width="13.85546875" style="243" hidden="1"/>
    <col min="3027" max="3027" width="13.140625" style="243" hidden="1"/>
    <col min="3028" max="3028" width="9" style="243" hidden="1"/>
    <col min="3029" max="3029" width="13.140625" style="243" hidden="1"/>
    <col min="3030" max="3030" width="8.140625" style="243" hidden="1"/>
    <col min="3031" max="3031" width="5.7109375" style="243" hidden="1"/>
    <col min="3032" max="3032" width="24.5703125" style="243" hidden="1"/>
    <col min="3033" max="3033" width="13.85546875" style="243" hidden="1"/>
    <col min="3034" max="3034" width="13.5703125" style="243" hidden="1"/>
    <col min="3035" max="3266" width="8.140625" style="243" hidden="1"/>
    <col min="3267" max="3267" width="5.85546875" style="243" hidden="1"/>
    <col min="3268" max="3268" width="40.140625" style="243" hidden="1"/>
    <col min="3269" max="3269" width="1.5703125" style="243" hidden="1"/>
    <col min="3270" max="3270" width="9.5703125" style="243" hidden="1"/>
    <col min="3271" max="3271" width="11.85546875" style="243" hidden="1"/>
    <col min="3272" max="3272" width="10.42578125" style="243" hidden="1"/>
    <col min="3273" max="3273" width="10.28515625" style="243" hidden="1"/>
    <col min="3274" max="3274" width="10.85546875" style="243" hidden="1"/>
    <col min="3275" max="3275" width="9.140625" style="243" hidden="1"/>
    <col min="3276" max="3276" width="8.7109375" style="243" hidden="1"/>
    <col min="3277" max="3277" width="13.5703125" style="243" hidden="1"/>
    <col min="3278" max="3278" width="12.28515625" style="243" hidden="1"/>
    <col min="3279" max="3279" width="0.85546875" style="243" hidden="1"/>
    <col min="3280" max="3280" width="14" style="243" hidden="1"/>
    <col min="3281" max="3281" width="15.5703125" style="243" hidden="1"/>
    <col min="3282" max="3282" width="13.85546875" style="243" hidden="1"/>
    <col min="3283" max="3283" width="13.140625" style="243" hidden="1"/>
    <col min="3284" max="3284" width="9" style="243" hidden="1"/>
    <col min="3285" max="3285" width="13.140625" style="243" hidden="1"/>
    <col min="3286" max="3286" width="8.140625" style="243" hidden="1"/>
    <col min="3287" max="3287" width="5.7109375" style="243" hidden="1"/>
    <col min="3288" max="3288" width="24.5703125" style="243" hidden="1"/>
    <col min="3289" max="3289" width="13.85546875" style="243" hidden="1"/>
    <col min="3290" max="3290" width="13.5703125" style="243" hidden="1"/>
    <col min="3291" max="3522" width="8.140625" style="243" hidden="1"/>
    <col min="3523" max="3523" width="5.85546875" style="243" hidden="1"/>
    <col min="3524" max="3524" width="40.140625" style="243" hidden="1"/>
    <col min="3525" max="3525" width="1.5703125" style="243" hidden="1"/>
    <col min="3526" max="3526" width="9.5703125" style="243" hidden="1"/>
    <col min="3527" max="3527" width="11.85546875" style="243" hidden="1"/>
    <col min="3528" max="3528" width="10.42578125" style="243" hidden="1"/>
    <col min="3529" max="3529" width="10.28515625" style="243" hidden="1"/>
    <col min="3530" max="3530" width="10.85546875" style="243" hidden="1"/>
    <col min="3531" max="3531" width="9.140625" style="243" hidden="1"/>
    <col min="3532" max="3532" width="8.7109375" style="243" hidden="1"/>
    <col min="3533" max="3533" width="13.5703125" style="243" hidden="1"/>
    <col min="3534" max="3534" width="12.28515625" style="243" hidden="1"/>
    <col min="3535" max="3535" width="0.85546875" style="243" hidden="1"/>
    <col min="3536" max="3536" width="14" style="243" hidden="1"/>
    <col min="3537" max="3537" width="15.5703125" style="243" hidden="1"/>
    <col min="3538" max="3538" width="13.85546875" style="243" hidden="1"/>
    <col min="3539" max="3539" width="13.140625" style="243" hidden="1"/>
    <col min="3540" max="3540" width="9" style="243" hidden="1"/>
    <col min="3541" max="3541" width="13.140625" style="243" hidden="1"/>
    <col min="3542" max="3542" width="8.140625" style="243" hidden="1"/>
    <col min="3543" max="3543" width="5.7109375" style="243" hidden="1"/>
    <col min="3544" max="3544" width="24.5703125" style="243" hidden="1"/>
    <col min="3545" max="3545" width="13.85546875" style="243" hidden="1"/>
    <col min="3546" max="3546" width="13.5703125" style="243" hidden="1"/>
    <col min="3547" max="3778" width="8.140625" style="243" hidden="1"/>
    <col min="3779" max="3779" width="5.85546875" style="243" hidden="1"/>
    <col min="3780" max="3780" width="40.140625" style="243" hidden="1"/>
    <col min="3781" max="3781" width="1.5703125" style="243" hidden="1"/>
    <col min="3782" max="3782" width="9.5703125" style="243" hidden="1"/>
    <col min="3783" max="3783" width="11.85546875" style="243" hidden="1"/>
    <col min="3784" max="3784" width="10.42578125" style="243" hidden="1"/>
    <col min="3785" max="3785" width="10.28515625" style="243" hidden="1"/>
    <col min="3786" max="3786" width="10.85546875" style="243" hidden="1"/>
    <col min="3787" max="3787" width="9.140625" style="243" hidden="1"/>
    <col min="3788" max="3788" width="8.7109375" style="243" hidden="1"/>
    <col min="3789" max="3789" width="13.5703125" style="243" hidden="1"/>
    <col min="3790" max="3790" width="12.28515625" style="243" hidden="1"/>
    <col min="3791" max="3791" width="0.85546875" style="243" hidden="1"/>
    <col min="3792" max="3792" width="14" style="243" hidden="1"/>
    <col min="3793" max="3793" width="15.5703125" style="243" hidden="1"/>
    <col min="3794" max="3794" width="13.85546875" style="243" hidden="1"/>
    <col min="3795" max="3795" width="13.140625" style="243" hidden="1"/>
    <col min="3796" max="3796" width="9" style="243" hidden="1"/>
    <col min="3797" max="3797" width="13.140625" style="243" hidden="1"/>
    <col min="3798" max="3798" width="8.140625" style="243" hidden="1"/>
    <col min="3799" max="3799" width="5.7109375" style="243" hidden="1"/>
    <col min="3800" max="3800" width="24.5703125" style="243" hidden="1"/>
    <col min="3801" max="3801" width="13.85546875" style="243" hidden="1"/>
    <col min="3802" max="3802" width="13.5703125" style="243" hidden="1"/>
    <col min="3803" max="4034" width="8.140625" style="243" hidden="1"/>
    <col min="4035" max="4035" width="5.85546875" style="243" hidden="1"/>
    <col min="4036" max="4036" width="40.140625" style="243" hidden="1"/>
    <col min="4037" max="4037" width="1.5703125" style="243" hidden="1"/>
    <col min="4038" max="4038" width="9.5703125" style="243" hidden="1"/>
    <col min="4039" max="4039" width="11.85546875" style="243" hidden="1"/>
    <col min="4040" max="4040" width="10.42578125" style="243" hidden="1"/>
    <col min="4041" max="4041" width="10.28515625" style="243" hidden="1"/>
    <col min="4042" max="4042" width="10.85546875" style="243" hidden="1"/>
    <col min="4043" max="4043" width="9.140625" style="243" hidden="1"/>
    <col min="4044" max="4044" width="8.7109375" style="243" hidden="1"/>
    <col min="4045" max="4045" width="13.5703125" style="243" hidden="1"/>
    <col min="4046" max="4046" width="12.28515625" style="243" hidden="1"/>
    <col min="4047" max="4047" width="0.85546875" style="243" hidden="1"/>
    <col min="4048" max="4048" width="14" style="243" hidden="1"/>
    <col min="4049" max="4049" width="15.5703125" style="243" hidden="1"/>
    <col min="4050" max="4050" width="13.85546875" style="243" hidden="1"/>
    <col min="4051" max="4051" width="13.140625" style="243" hidden="1"/>
    <col min="4052" max="4052" width="9" style="243" hidden="1"/>
    <col min="4053" max="4053" width="13.140625" style="243" hidden="1"/>
    <col min="4054" max="4054" width="8.140625" style="243" hidden="1"/>
    <col min="4055" max="4055" width="5.7109375" style="243" hidden="1"/>
    <col min="4056" max="4056" width="24.5703125" style="243" hidden="1"/>
    <col min="4057" max="4057" width="13.85546875" style="243" hidden="1"/>
    <col min="4058" max="4058" width="13.5703125" style="243" hidden="1"/>
    <col min="4059" max="4290" width="8.140625" style="243" hidden="1"/>
    <col min="4291" max="4291" width="5.85546875" style="243" hidden="1"/>
    <col min="4292" max="4292" width="40.140625" style="243" hidden="1"/>
    <col min="4293" max="4293" width="1.5703125" style="243" hidden="1"/>
    <col min="4294" max="4294" width="9.5703125" style="243" hidden="1"/>
    <col min="4295" max="4295" width="11.85546875" style="243" hidden="1"/>
    <col min="4296" max="4296" width="10.42578125" style="243" hidden="1"/>
    <col min="4297" max="4297" width="10.28515625" style="243" hidden="1"/>
    <col min="4298" max="4298" width="10.85546875" style="243" hidden="1"/>
    <col min="4299" max="4299" width="9.140625" style="243" hidden="1"/>
    <col min="4300" max="4300" width="8.7109375" style="243" hidden="1"/>
    <col min="4301" max="4301" width="13.5703125" style="243" hidden="1"/>
    <col min="4302" max="4302" width="12.28515625" style="243" hidden="1"/>
    <col min="4303" max="4303" width="0.85546875" style="243" hidden="1"/>
    <col min="4304" max="4304" width="14" style="243" hidden="1"/>
    <col min="4305" max="4305" width="15.5703125" style="243" hidden="1"/>
    <col min="4306" max="4306" width="13.85546875" style="243" hidden="1"/>
    <col min="4307" max="4307" width="13.140625" style="243" hidden="1"/>
    <col min="4308" max="4308" width="9" style="243" hidden="1"/>
    <col min="4309" max="4309" width="13.140625" style="243" hidden="1"/>
    <col min="4310" max="4310" width="8.140625" style="243" hidden="1"/>
    <col min="4311" max="4311" width="5.7109375" style="243" hidden="1"/>
    <col min="4312" max="4312" width="24.5703125" style="243" hidden="1"/>
    <col min="4313" max="4313" width="13.85546875" style="243" hidden="1"/>
    <col min="4314" max="4314" width="13.5703125" style="243" hidden="1"/>
    <col min="4315" max="4546" width="8.140625" style="243" hidden="1"/>
    <col min="4547" max="4547" width="5.85546875" style="243" hidden="1"/>
    <col min="4548" max="4548" width="40.140625" style="243" hidden="1"/>
    <col min="4549" max="4549" width="1.5703125" style="243" hidden="1"/>
    <col min="4550" max="4550" width="9.5703125" style="243" hidden="1"/>
    <col min="4551" max="4551" width="11.85546875" style="243" hidden="1"/>
    <col min="4552" max="4552" width="10.42578125" style="243" hidden="1"/>
    <col min="4553" max="4553" width="10.28515625" style="243" hidden="1"/>
    <col min="4554" max="4554" width="10.85546875" style="243" hidden="1"/>
    <col min="4555" max="4555" width="9.140625" style="243" hidden="1"/>
    <col min="4556" max="4556" width="8.7109375" style="243" hidden="1"/>
    <col min="4557" max="4557" width="13.5703125" style="243" hidden="1"/>
    <col min="4558" max="4558" width="12.28515625" style="243" hidden="1"/>
    <col min="4559" max="4559" width="0.85546875" style="243" hidden="1"/>
    <col min="4560" max="4560" width="14" style="243" hidden="1"/>
    <col min="4561" max="4561" width="15.5703125" style="243" hidden="1"/>
    <col min="4562" max="4562" width="13.85546875" style="243" hidden="1"/>
    <col min="4563" max="4563" width="13.140625" style="243" hidden="1"/>
    <col min="4564" max="4564" width="9" style="243" hidden="1"/>
    <col min="4565" max="4565" width="13.140625" style="243" hidden="1"/>
    <col min="4566" max="4566" width="8.140625" style="243" hidden="1"/>
    <col min="4567" max="4567" width="5.7109375" style="243" hidden="1"/>
    <col min="4568" max="4568" width="24.5703125" style="243" hidden="1"/>
    <col min="4569" max="4569" width="13.85546875" style="243" hidden="1"/>
    <col min="4570" max="4570" width="13.5703125" style="243" hidden="1"/>
    <col min="4571" max="4802" width="8.140625" style="243" hidden="1"/>
    <col min="4803" max="4803" width="5.85546875" style="243" hidden="1"/>
    <col min="4804" max="4804" width="40.140625" style="243" hidden="1"/>
    <col min="4805" max="4805" width="1.5703125" style="243" hidden="1"/>
    <col min="4806" max="4806" width="9.5703125" style="243" hidden="1"/>
    <col min="4807" max="4807" width="11.85546875" style="243" hidden="1"/>
    <col min="4808" max="4808" width="10.42578125" style="243" hidden="1"/>
    <col min="4809" max="4809" width="10.28515625" style="243" hidden="1"/>
    <col min="4810" max="4810" width="10.85546875" style="243" hidden="1"/>
    <col min="4811" max="4811" width="9.140625" style="243" hidden="1"/>
    <col min="4812" max="4812" width="8.7109375" style="243" hidden="1"/>
    <col min="4813" max="4813" width="13.5703125" style="243" hidden="1"/>
    <col min="4814" max="4814" width="12.28515625" style="243" hidden="1"/>
    <col min="4815" max="4815" width="0.85546875" style="243" hidden="1"/>
    <col min="4816" max="4816" width="14" style="243" hidden="1"/>
    <col min="4817" max="4817" width="15.5703125" style="243" hidden="1"/>
    <col min="4818" max="4818" width="13.85546875" style="243" hidden="1"/>
    <col min="4819" max="4819" width="13.140625" style="243" hidden="1"/>
    <col min="4820" max="4820" width="9" style="243" hidden="1"/>
    <col min="4821" max="4821" width="13.140625" style="243" hidden="1"/>
    <col min="4822" max="4822" width="8.140625" style="243" hidden="1"/>
    <col min="4823" max="4823" width="5.7109375" style="243" hidden="1"/>
    <col min="4824" max="4824" width="24.5703125" style="243" hidden="1"/>
    <col min="4825" max="4825" width="13.85546875" style="243" hidden="1"/>
    <col min="4826" max="4826" width="13.5703125" style="243" hidden="1"/>
    <col min="4827" max="5058" width="8.140625" style="243" hidden="1"/>
    <col min="5059" max="5059" width="5.85546875" style="243" hidden="1"/>
    <col min="5060" max="5060" width="40.140625" style="243" hidden="1"/>
    <col min="5061" max="5061" width="1.5703125" style="243" hidden="1"/>
    <col min="5062" max="5062" width="9.5703125" style="243" hidden="1"/>
    <col min="5063" max="5063" width="11.85546875" style="243" hidden="1"/>
    <col min="5064" max="5064" width="10.42578125" style="243" hidden="1"/>
    <col min="5065" max="5065" width="10.28515625" style="243" hidden="1"/>
    <col min="5066" max="5066" width="10.85546875" style="243" hidden="1"/>
    <col min="5067" max="5067" width="9.140625" style="243" hidden="1"/>
    <col min="5068" max="5068" width="8.7109375" style="243" hidden="1"/>
    <col min="5069" max="5069" width="13.5703125" style="243" hidden="1"/>
    <col min="5070" max="5070" width="12.28515625" style="243" hidden="1"/>
    <col min="5071" max="5071" width="0.85546875" style="243" hidden="1"/>
    <col min="5072" max="5072" width="14" style="243" hidden="1"/>
    <col min="5073" max="5073" width="15.5703125" style="243" hidden="1"/>
    <col min="5074" max="5074" width="13.85546875" style="243" hidden="1"/>
    <col min="5075" max="5075" width="13.140625" style="243" hidden="1"/>
    <col min="5076" max="5076" width="9" style="243" hidden="1"/>
    <col min="5077" max="5077" width="13.140625" style="243" hidden="1"/>
    <col min="5078" max="5078" width="8.140625" style="243" hidden="1"/>
    <col min="5079" max="5079" width="5.7109375" style="243" hidden="1"/>
    <col min="5080" max="5080" width="24.5703125" style="243" hidden="1"/>
    <col min="5081" max="5081" width="13.85546875" style="243" hidden="1"/>
    <col min="5082" max="5082" width="13.5703125" style="243" hidden="1"/>
    <col min="5083" max="5314" width="8.140625" style="243" hidden="1"/>
    <col min="5315" max="5315" width="5.85546875" style="243" hidden="1"/>
    <col min="5316" max="5316" width="40.140625" style="243" hidden="1"/>
    <col min="5317" max="5317" width="1.5703125" style="243" hidden="1"/>
    <col min="5318" max="5318" width="9.5703125" style="243" hidden="1"/>
    <col min="5319" max="5319" width="11.85546875" style="243" hidden="1"/>
    <col min="5320" max="5320" width="10.42578125" style="243" hidden="1"/>
    <col min="5321" max="5321" width="10.28515625" style="243" hidden="1"/>
    <col min="5322" max="5322" width="10.85546875" style="243" hidden="1"/>
    <col min="5323" max="5323" width="9.140625" style="243" hidden="1"/>
    <col min="5324" max="5324" width="8.7109375" style="243" hidden="1"/>
    <col min="5325" max="5325" width="13.5703125" style="243" hidden="1"/>
    <col min="5326" max="5326" width="12.28515625" style="243" hidden="1"/>
    <col min="5327" max="5327" width="0.85546875" style="243" hidden="1"/>
    <col min="5328" max="5328" width="14" style="243" hidden="1"/>
    <col min="5329" max="5329" width="15.5703125" style="243" hidden="1"/>
    <col min="5330" max="5330" width="13.85546875" style="243" hidden="1"/>
    <col min="5331" max="5331" width="13.140625" style="243" hidden="1"/>
    <col min="5332" max="5332" width="9" style="243" hidden="1"/>
    <col min="5333" max="5333" width="13.140625" style="243" hidden="1"/>
    <col min="5334" max="5334" width="8.140625" style="243" hidden="1"/>
    <col min="5335" max="5335" width="5.7109375" style="243" hidden="1"/>
    <col min="5336" max="5336" width="24.5703125" style="243" hidden="1"/>
    <col min="5337" max="5337" width="13.85546875" style="243" hidden="1"/>
    <col min="5338" max="5338" width="13.5703125" style="243" hidden="1"/>
    <col min="5339" max="5570" width="8.140625" style="243" hidden="1"/>
    <col min="5571" max="5571" width="5.85546875" style="243" hidden="1"/>
    <col min="5572" max="5572" width="40.140625" style="243" hidden="1"/>
    <col min="5573" max="5573" width="1.5703125" style="243" hidden="1"/>
    <col min="5574" max="5574" width="9.5703125" style="243" hidden="1"/>
    <col min="5575" max="5575" width="11.85546875" style="243" hidden="1"/>
    <col min="5576" max="5576" width="10.42578125" style="243" hidden="1"/>
    <col min="5577" max="5577" width="10.28515625" style="243" hidden="1"/>
    <col min="5578" max="5578" width="10.85546875" style="243" hidden="1"/>
    <col min="5579" max="5579" width="9.140625" style="243" hidden="1"/>
    <col min="5580" max="5580" width="8.7109375" style="243" hidden="1"/>
    <col min="5581" max="5581" width="13.5703125" style="243" hidden="1"/>
    <col min="5582" max="5582" width="12.28515625" style="243" hidden="1"/>
    <col min="5583" max="5583" width="0.85546875" style="243" hidden="1"/>
    <col min="5584" max="5584" width="14" style="243" hidden="1"/>
    <col min="5585" max="5585" width="15.5703125" style="243" hidden="1"/>
    <col min="5586" max="5586" width="13.85546875" style="243" hidden="1"/>
    <col min="5587" max="5587" width="13.140625" style="243" hidden="1"/>
    <col min="5588" max="5588" width="9" style="243" hidden="1"/>
    <col min="5589" max="5589" width="13.140625" style="243" hidden="1"/>
    <col min="5590" max="5590" width="8.140625" style="243" hidden="1"/>
    <col min="5591" max="5591" width="5.7109375" style="243" hidden="1"/>
    <col min="5592" max="5592" width="24.5703125" style="243" hidden="1"/>
    <col min="5593" max="5593" width="13.85546875" style="243" hidden="1"/>
    <col min="5594" max="5594" width="13.5703125" style="243" hidden="1"/>
    <col min="5595" max="5826" width="8.140625" style="243" hidden="1"/>
    <col min="5827" max="5827" width="5.85546875" style="243" hidden="1"/>
    <col min="5828" max="5828" width="40.140625" style="243" hidden="1"/>
    <col min="5829" max="5829" width="1.5703125" style="243" hidden="1"/>
    <col min="5830" max="5830" width="9.5703125" style="243" hidden="1"/>
    <col min="5831" max="5831" width="11.85546875" style="243" hidden="1"/>
    <col min="5832" max="5832" width="10.42578125" style="243" hidden="1"/>
    <col min="5833" max="5833" width="10.28515625" style="243" hidden="1"/>
    <col min="5834" max="5834" width="10.85546875" style="243" hidden="1"/>
    <col min="5835" max="5835" width="9.140625" style="243" hidden="1"/>
    <col min="5836" max="5836" width="8.7109375" style="243" hidden="1"/>
    <col min="5837" max="5837" width="13.5703125" style="243" hidden="1"/>
    <col min="5838" max="5838" width="12.28515625" style="243" hidden="1"/>
    <col min="5839" max="5839" width="0.85546875" style="243" hidden="1"/>
    <col min="5840" max="5840" width="14" style="243" hidden="1"/>
    <col min="5841" max="5841" width="15.5703125" style="243" hidden="1"/>
    <col min="5842" max="5842" width="13.85546875" style="243" hidden="1"/>
    <col min="5843" max="5843" width="13.140625" style="243" hidden="1"/>
    <col min="5844" max="5844" width="9" style="243" hidden="1"/>
    <col min="5845" max="5845" width="13.140625" style="243" hidden="1"/>
    <col min="5846" max="5846" width="8.140625" style="243" hidden="1"/>
    <col min="5847" max="5847" width="5.7109375" style="243" hidden="1"/>
    <col min="5848" max="5848" width="24.5703125" style="243" hidden="1"/>
    <col min="5849" max="5849" width="13.85546875" style="243" hidden="1"/>
    <col min="5850" max="5850" width="13.5703125" style="243" hidden="1"/>
    <col min="5851" max="6082" width="8.140625" style="243" hidden="1"/>
    <col min="6083" max="6083" width="5.85546875" style="243" hidden="1"/>
    <col min="6084" max="6084" width="40.140625" style="243" hidden="1"/>
    <col min="6085" max="6085" width="1.5703125" style="243" hidden="1"/>
    <col min="6086" max="6086" width="9.5703125" style="243" hidden="1"/>
    <col min="6087" max="6087" width="11.85546875" style="243" hidden="1"/>
    <col min="6088" max="6088" width="10.42578125" style="243" hidden="1"/>
    <col min="6089" max="6089" width="10.28515625" style="243" hidden="1"/>
    <col min="6090" max="6090" width="10.85546875" style="243" hidden="1"/>
    <col min="6091" max="6091" width="9.140625" style="243" hidden="1"/>
    <col min="6092" max="6092" width="8.7109375" style="243" hidden="1"/>
    <col min="6093" max="6093" width="13.5703125" style="243" hidden="1"/>
    <col min="6094" max="6094" width="12.28515625" style="243" hidden="1"/>
    <col min="6095" max="6095" width="0.85546875" style="243" hidden="1"/>
    <col min="6096" max="6096" width="14" style="243" hidden="1"/>
    <col min="6097" max="6097" width="15.5703125" style="243" hidden="1"/>
    <col min="6098" max="6098" width="13.85546875" style="243" hidden="1"/>
    <col min="6099" max="6099" width="13.140625" style="243" hidden="1"/>
    <col min="6100" max="6100" width="9" style="243" hidden="1"/>
    <col min="6101" max="6101" width="13.140625" style="243" hidden="1"/>
    <col min="6102" max="6102" width="8.140625" style="243" hidden="1"/>
    <col min="6103" max="6103" width="5.7109375" style="243" hidden="1"/>
    <col min="6104" max="6104" width="24.5703125" style="243" hidden="1"/>
    <col min="6105" max="6105" width="13.85546875" style="243" hidden="1"/>
    <col min="6106" max="6106" width="13.5703125" style="243" hidden="1"/>
    <col min="6107" max="6338" width="8.140625" style="243" hidden="1"/>
    <col min="6339" max="6339" width="5.85546875" style="243" hidden="1"/>
    <col min="6340" max="6340" width="40.140625" style="243" hidden="1"/>
    <col min="6341" max="6341" width="1.5703125" style="243" hidden="1"/>
    <col min="6342" max="6342" width="9.5703125" style="243" hidden="1"/>
    <col min="6343" max="6343" width="11.85546875" style="243" hidden="1"/>
    <col min="6344" max="6344" width="10.42578125" style="243" hidden="1"/>
    <col min="6345" max="6345" width="10.28515625" style="243" hidden="1"/>
    <col min="6346" max="6346" width="10.85546875" style="243" hidden="1"/>
    <col min="6347" max="6347" width="9.140625" style="243" hidden="1"/>
    <col min="6348" max="6348" width="8.7109375" style="243" hidden="1"/>
    <col min="6349" max="6349" width="13.5703125" style="243" hidden="1"/>
    <col min="6350" max="6350" width="12.28515625" style="243" hidden="1"/>
    <col min="6351" max="6351" width="0.85546875" style="243" hidden="1"/>
    <col min="6352" max="6352" width="14" style="243" hidden="1"/>
    <col min="6353" max="6353" width="15.5703125" style="243" hidden="1"/>
    <col min="6354" max="6354" width="13.85546875" style="243" hidden="1"/>
    <col min="6355" max="6355" width="13.140625" style="243" hidden="1"/>
    <col min="6356" max="6356" width="9" style="243" hidden="1"/>
    <col min="6357" max="6357" width="13.140625" style="243" hidden="1"/>
    <col min="6358" max="6358" width="8.140625" style="243" hidden="1"/>
    <col min="6359" max="6359" width="5.7109375" style="243" hidden="1"/>
    <col min="6360" max="6360" width="24.5703125" style="243" hidden="1"/>
    <col min="6361" max="6361" width="13.85546875" style="243" hidden="1"/>
    <col min="6362" max="6362" width="13.5703125" style="243" hidden="1"/>
    <col min="6363" max="6594" width="8.140625" style="243" hidden="1"/>
    <col min="6595" max="6595" width="5.85546875" style="243" hidden="1"/>
    <col min="6596" max="6596" width="40.140625" style="243" hidden="1"/>
    <col min="6597" max="6597" width="1.5703125" style="243" hidden="1"/>
    <col min="6598" max="6598" width="9.5703125" style="243" hidden="1"/>
    <col min="6599" max="6599" width="11.85546875" style="243" hidden="1"/>
    <col min="6600" max="6600" width="10.42578125" style="243" hidden="1"/>
    <col min="6601" max="6601" width="10.28515625" style="243" hidden="1"/>
    <col min="6602" max="6602" width="10.85546875" style="243" hidden="1"/>
    <col min="6603" max="6603" width="9.140625" style="243" hidden="1"/>
    <col min="6604" max="6604" width="8.7109375" style="243" hidden="1"/>
    <col min="6605" max="6605" width="13.5703125" style="243" hidden="1"/>
    <col min="6606" max="6606" width="12.28515625" style="243" hidden="1"/>
    <col min="6607" max="6607" width="0.85546875" style="243" hidden="1"/>
    <col min="6608" max="6608" width="14" style="243" hidden="1"/>
    <col min="6609" max="6609" width="15.5703125" style="243" hidden="1"/>
    <col min="6610" max="6610" width="13.85546875" style="243" hidden="1"/>
    <col min="6611" max="6611" width="13.140625" style="243" hidden="1"/>
    <col min="6612" max="6612" width="9" style="243" hidden="1"/>
    <col min="6613" max="6613" width="13.140625" style="243" hidden="1"/>
    <col min="6614" max="6614" width="8.140625" style="243" hidden="1"/>
    <col min="6615" max="6615" width="5.7109375" style="243" hidden="1"/>
    <col min="6616" max="6616" width="24.5703125" style="243" hidden="1"/>
    <col min="6617" max="6617" width="13.85546875" style="243" hidden="1"/>
    <col min="6618" max="6618" width="13.5703125" style="243" hidden="1"/>
    <col min="6619" max="6850" width="8.140625" style="243" hidden="1"/>
    <col min="6851" max="6851" width="5.85546875" style="243" hidden="1"/>
    <col min="6852" max="6852" width="40.140625" style="243" hidden="1"/>
    <col min="6853" max="6853" width="1.5703125" style="243" hidden="1"/>
    <col min="6854" max="6854" width="9.5703125" style="243" hidden="1"/>
    <col min="6855" max="6855" width="11.85546875" style="243" hidden="1"/>
    <col min="6856" max="6856" width="10.42578125" style="243" hidden="1"/>
    <col min="6857" max="6857" width="10.28515625" style="243" hidden="1"/>
    <col min="6858" max="6858" width="10.85546875" style="243" hidden="1"/>
    <col min="6859" max="6859" width="9.140625" style="243" hidden="1"/>
    <col min="6860" max="6860" width="8.7109375" style="243" hidden="1"/>
    <col min="6861" max="6861" width="13.5703125" style="243" hidden="1"/>
    <col min="6862" max="6862" width="12.28515625" style="243" hidden="1"/>
    <col min="6863" max="6863" width="0.85546875" style="243" hidden="1"/>
    <col min="6864" max="6864" width="14" style="243" hidden="1"/>
    <col min="6865" max="6865" width="15.5703125" style="243" hidden="1"/>
    <col min="6866" max="6866" width="13.85546875" style="243" hidden="1"/>
    <col min="6867" max="6867" width="13.140625" style="243" hidden="1"/>
    <col min="6868" max="6868" width="9" style="243" hidden="1"/>
    <col min="6869" max="6869" width="13.140625" style="243" hidden="1"/>
    <col min="6870" max="6870" width="8.140625" style="243" hidden="1"/>
    <col min="6871" max="6871" width="5.7109375" style="243" hidden="1"/>
    <col min="6872" max="6872" width="24.5703125" style="243" hidden="1"/>
    <col min="6873" max="6873" width="13.85546875" style="243" hidden="1"/>
    <col min="6874" max="6874" width="13.5703125" style="243" hidden="1"/>
    <col min="6875" max="7106" width="8.140625" style="243" hidden="1"/>
    <col min="7107" max="7107" width="5.85546875" style="243" hidden="1"/>
    <col min="7108" max="7108" width="40.140625" style="243" hidden="1"/>
    <col min="7109" max="7109" width="1.5703125" style="243" hidden="1"/>
    <col min="7110" max="7110" width="9.5703125" style="243" hidden="1"/>
    <col min="7111" max="7111" width="11.85546875" style="243" hidden="1"/>
    <col min="7112" max="7112" width="10.42578125" style="243" hidden="1"/>
    <col min="7113" max="7113" width="10.28515625" style="243" hidden="1"/>
    <col min="7114" max="7114" width="10.85546875" style="243" hidden="1"/>
    <col min="7115" max="7115" width="9.140625" style="243" hidden="1"/>
    <col min="7116" max="7116" width="8.7109375" style="243" hidden="1"/>
    <col min="7117" max="7117" width="13.5703125" style="243" hidden="1"/>
    <col min="7118" max="7118" width="12.28515625" style="243" hidden="1"/>
    <col min="7119" max="7119" width="0.85546875" style="243" hidden="1"/>
    <col min="7120" max="7120" width="14" style="243" hidden="1"/>
    <col min="7121" max="7121" width="15.5703125" style="243" hidden="1"/>
    <col min="7122" max="7122" width="13.85546875" style="243" hidden="1"/>
    <col min="7123" max="7123" width="13.140625" style="243" hidden="1"/>
    <col min="7124" max="7124" width="9" style="243" hidden="1"/>
    <col min="7125" max="7125" width="13.140625" style="243" hidden="1"/>
    <col min="7126" max="7126" width="8.140625" style="243" hidden="1"/>
    <col min="7127" max="7127" width="5.7109375" style="243" hidden="1"/>
    <col min="7128" max="7128" width="24.5703125" style="243" hidden="1"/>
    <col min="7129" max="7129" width="13.85546875" style="243" hidden="1"/>
    <col min="7130" max="7130" width="13.5703125" style="243" hidden="1"/>
    <col min="7131" max="7362" width="8.140625" style="243" hidden="1"/>
    <col min="7363" max="7363" width="5.85546875" style="243" hidden="1"/>
    <col min="7364" max="7364" width="40.140625" style="243" hidden="1"/>
    <col min="7365" max="7365" width="1.5703125" style="243" hidden="1"/>
    <col min="7366" max="7366" width="9.5703125" style="243" hidden="1"/>
    <col min="7367" max="7367" width="11.85546875" style="243" hidden="1"/>
    <col min="7368" max="7368" width="10.42578125" style="243" hidden="1"/>
    <col min="7369" max="7369" width="10.28515625" style="243" hidden="1"/>
    <col min="7370" max="7370" width="10.85546875" style="243" hidden="1"/>
    <col min="7371" max="7371" width="9.140625" style="243" hidden="1"/>
    <col min="7372" max="7372" width="8.7109375" style="243" hidden="1"/>
    <col min="7373" max="7373" width="13.5703125" style="243" hidden="1"/>
    <col min="7374" max="7374" width="12.28515625" style="243" hidden="1"/>
    <col min="7375" max="7375" width="0.85546875" style="243" hidden="1"/>
    <col min="7376" max="7376" width="14" style="243" hidden="1"/>
    <col min="7377" max="7377" width="15.5703125" style="243" hidden="1"/>
    <col min="7378" max="7378" width="13.85546875" style="243" hidden="1"/>
    <col min="7379" max="7379" width="13.140625" style="243" hidden="1"/>
    <col min="7380" max="7380" width="9" style="243" hidden="1"/>
    <col min="7381" max="7381" width="13.140625" style="243" hidden="1"/>
    <col min="7382" max="7382" width="8.140625" style="243" hidden="1"/>
    <col min="7383" max="7383" width="5.7109375" style="243" hidden="1"/>
    <col min="7384" max="7384" width="24.5703125" style="243" hidden="1"/>
    <col min="7385" max="7385" width="13.85546875" style="243" hidden="1"/>
    <col min="7386" max="7386" width="13.5703125" style="243" hidden="1"/>
    <col min="7387" max="7618" width="8.140625" style="243" hidden="1"/>
    <col min="7619" max="7619" width="5.85546875" style="243" hidden="1"/>
    <col min="7620" max="7620" width="40.140625" style="243" hidden="1"/>
    <col min="7621" max="7621" width="1.5703125" style="243" hidden="1"/>
    <col min="7622" max="7622" width="9.5703125" style="243" hidden="1"/>
    <col min="7623" max="7623" width="11.85546875" style="243" hidden="1"/>
    <col min="7624" max="7624" width="10.42578125" style="243" hidden="1"/>
    <col min="7625" max="7625" width="10.28515625" style="243" hidden="1"/>
    <col min="7626" max="7626" width="10.85546875" style="243" hidden="1"/>
    <col min="7627" max="7627" width="9.140625" style="243" hidden="1"/>
    <col min="7628" max="7628" width="8.7109375" style="243" hidden="1"/>
    <col min="7629" max="7629" width="13.5703125" style="243" hidden="1"/>
    <col min="7630" max="7630" width="12.28515625" style="243" hidden="1"/>
    <col min="7631" max="7631" width="0.85546875" style="243" hidden="1"/>
    <col min="7632" max="7632" width="14" style="243" hidden="1"/>
    <col min="7633" max="7633" width="15.5703125" style="243" hidden="1"/>
    <col min="7634" max="7634" width="13.85546875" style="243" hidden="1"/>
    <col min="7635" max="7635" width="13.140625" style="243" hidden="1"/>
    <col min="7636" max="7636" width="9" style="243" hidden="1"/>
    <col min="7637" max="7637" width="13.140625" style="243" hidden="1"/>
    <col min="7638" max="7638" width="8.140625" style="243" hidden="1"/>
    <col min="7639" max="7639" width="5.7109375" style="243" hidden="1"/>
    <col min="7640" max="7640" width="24.5703125" style="243" hidden="1"/>
    <col min="7641" max="7641" width="13.85546875" style="243" hidden="1"/>
    <col min="7642" max="7642" width="13.5703125" style="243" hidden="1"/>
    <col min="7643" max="7874" width="8.140625" style="243" hidden="1"/>
    <col min="7875" max="7875" width="5.85546875" style="243" hidden="1"/>
    <col min="7876" max="7876" width="40.140625" style="243" hidden="1"/>
    <col min="7877" max="7877" width="1.5703125" style="243" hidden="1"/>
    <col min="7878" max="7878" width="9.5703125" style="243" hidden="1"/>
    <col min="7879" max="7879" width="11.85546875" style="243" hidden="1"/>
    <col min="7880" max="7880" width="10.42578125" style="243" hidden="1"/>
    <col min="7881" max="7881" width="10.28515625" style="243" hidden="1"/>
    <col min="7882" max="7882" width="10.85546875" style="243" hidden="1"/>
    <col min="7883" max="7883" width="9.140625" style="243" hidden="1"/>
    <col min="7884" max="7884" width="8.7109375" style="243" hidden="1"/>
    <col min="7885" max="7885" width="13.5703125" style="243" hidden="1"/>
    <col min="7886" max="7886" width="12.28515625" style="243" hidden="1"/>
    <col min="7887" max="7887" width="0.85546875" style="243" hidden="1"/>
    <col min="7888" max="7888" width="14" style="243" hidden="1"/>
    <col min="7889" max="7889" width="15.5703125" style="243" hidden="1"/>
    <col min="7890" max="7890" width="13.85546875" style="243" hidden="1"/>
    <col min="7891" max="7891" width="13.140625" style="243" hidden="1"/>
    <col min="7892" max="7892" width="9" style="243" hidden="1"/>
    <col min="7893" max="7893" width="13.140625" style="243" hidden="1"/>
    <col min="7894" max="7894" width="8.140625" style="243" hidden="1"/>
    <col min="7895" max="7895" width="5.7109375" style="243" hidden="1"/>
    <col min="7896" max="7896" width="24.5703125" style="243" hidden="1"/>
    <col min="7897" max="7897" width="13.85546875" style="243" hidden="1"/>
    <col min="7898" max="7898" width="13.5703125" style="243" hidden="1"/>
    <col min="7899" max="8130" width="8.140625" style="243" hidden="1"/>
    <col min="8131" max="8131" width="5.85546875" style="243" hidden="1"/>
    <col min="8132" max="8132" width="40.140625" style="243" hidden="1"/>
    <col min="8133" max="8133" width="1.5703125" style="243" hidden="1"/>
    <col min="8134" max="8134" width="9.5703125" style="243" hidden="1"/>
    <col min="8135" max="8135" width="11.85546875" style="243" hidden="1"/>
    <col min="8136" max="8136" width="10.42578125" style="243" hidden="1"/>
    <col min="8137" max="8137" width="10.28515625" style="243" hidden="1"/>
    <col min="8138" max="8138" width="10.85546875" style="243" hidden="1"/>
    <col min="8139" max="8139" width="9.140625" style="243" hidden="1"/>
    <col min="8140" max="8140" width="8.7109375" style="243" hidden="1"/>
    <col min="8141" max="8141" width="13.5703125" style="243" hidden="1"/>
    <col min="8142" max="8142" width="12.28515625" style="243" hidden="1"/>
    <col min="8143" max="8143" width="0.85546875" style="243" hidden="1"/>
    <col min="8144" max="8144" width="14" style="243" hidden="1"/>
    <col min="8145" max="8145" width="15.5703125" style="243" hidden="1"/>
    <col min="8146" max="8146" width="13.85546875" style="243" hidden="1"/>
    <col min="8147" max="8147" width="13.140625" style="243" hidden="1"/>
    <col min="8148" max="8148" width="9" style="243" hidden="1"/>
    <col min="8149" max="8149" width="13.140625" style="243" hidden="1"/>
    <col min="8150" max="8150" width="8.140625" style="243" hidden="1"/>
    <col min="8151" max="8151" width="5.7109375" style="243" hidden="1"/>
    <col min="8152" max="8152" width="24.5703125" style="243" hidden="1"/>
    <col min="8153" max="8153" width="13.85546875" style="243" hidden="1"/>
    <col min="8154" max="8154" width="13.5703125" style="243" hidden="1"/>
    <col min="8155" max="8386" width="8.140625" style="243" hidden="1"/>
    <col min="8387" max="8387" width="5.85546875" style="243" hidden="1"/>
    <col min="8388" max="8388" width="40.140625" style="243" hidden="1"/>
    <col min="8389" max="8389" width="1.5703125" style="243" hidden="1"/>
    <col min="8390" max="8390" width="9.5703125" style="243" hidden="1"/>
    <col min="8391" max="8391" width="11.85546875" style="243" hidden="1"/>
    <col min="8392" max="8392" width="10.42578125" style="243" hidden="1"/>
    <col min="8393" max="8393" width="10.28515625" style="243" hidden="1"/>
    <col min="8394" max="8394" width="10.85546875" style="243" hidden="1"/>
    <col min="8395" max="8395" width="9.140625" style="243" hidden="1"/>
    <col min="8396" max="8396" width="8.7109375" style="243" hidden="1"/>
    <col min="8397" max="8397" width="13.5703125" style="243" hidden="1"/>
    <col min="8398" max="8398" width="12.28515625" style="243" hidden="1"/>
    <col min="8399" max="8399" width="0.85546875" style="243" hidden="1"/>
    <col min="8400" max="8400" width="14" style="243" hidden="1"/>
    <col min="8401" max="8401" width="15.5703125" style="243" hidden="1"/>
    <col min="8402" max="8402" width="13.85546875" style="243" hidden="1"/>
    <col min="8403" max="8403" width="13.140625" style="243" hidden="1"/>
    <col min="8404" max="8404" width="9" style="243" hidden="1"/>
    <col min="8405" max="8405" width="13.140625" style="243" hidden="1"/>
    <col min="8406" max="8406" width="8.140625" style="243" hidden="1"/>
    <col min="8407" max="8407" width="5.7109375" style="243" hidden="1"/>
    <col min="8408" max="8408" width="24.5703125" style="243" hidden="1"/>
    <col min="8409" max="8409" width="13.85546875" style="243" hidden="1"/>
    <col min="8410" max="8410" width="13.5703125" style="243" hidden="1"/>
    <col min="8411" max="8642" width="8.140625" style="243" hidden="1"/>
    <col min="8643" max="8643" width="5.85546875" style="243" hidden="1"/>
    <col min="8644" max="8644" width="40.140625" style="243" hidden="1"/>
    <col min="8645" max="8645" width="1.5703125" style="243" hidden="1"/>
    <col min="8646" max="8646" width="9.5703125" style="243" hidden="1"/>
    <col min="8647" max="8647" width="11.85546875" style="243" hidden="1"/>
    <col min="8648" max="8648" width="10.42578125" style="243" hidden="1"/>
    <col min="8649" max="8649" width="10.28515625" style="243" hidden="1"/>
    <col min="8650" max="8650" width="10.85546875" style="243" hidden="1"/>
    <col min="8651" max="8651" width="9.140625" style="243" hidden="1"/>
    <col min="8652" max="8652" width="8.7109375" style="243" hidden="1"/>
    <col min="8653" max="8653" width="13.5703125" style="243" hidden="1"/>
    <col min="8654" max="8654" width="12.28515625" style="243" hidden="1"/>
    <col min="8655" max="8655" width="0.85546875" style="243" hidden="1"/>
    <col min="8656" max="8656" width="14" style="243" hidden="1"/>
    <col min="8657" max="8657" width="15.5703125" style="243" hidden="1"/>
    <col min="8658" max="8658" width="13.85546875" style="243" hidden="1"/>
    <col min="8659" max="8659" width="13.140625" style="243" hidden="1"/>
    <col min="8660" max="8660" width="9" style="243" hidden="1"/>
    <col min="8661" max="8661" width="13.140625" style="243" hidden="1"/>
    <col min="8662" max="8662" width="8.140625" style="243" hidden="1"/>
    <col min="8663" max="8663" width="5.7109375" style="243" hidden="1"/>
    <col min="8664" max="8664" width="24.5703125" style="243" hidden="1"/>
    <col min="8665" max="8665" width="13.85546875" style="243" hidden="1"/>
    <col min="8666" max="8666" width="13.5703125" style="243" hidden="1"/>
    <col min="8667" max="8898" width="8.140625" style="243" hidden="1"/>
    <col min="8899" max="8899" width="5.85546875" style="243" hidden="1"/>
    <col min="8900" max="8900" width="40.140625" style="243" hidden="1"/>
    <col min="8901" max="8901" width="1.5703125" style="243" hidden="1"/>
    <col min="8902" max="8902" width="9.5703125" style="243" hidden="1"/>
    <col min="8903" max="8903" width="11.85546875" style="243" hidden="1"/>
    <col min="8904" max="8904" width="10.42578125" style="243" hidden="1"/>
    <col min="8905" max="8905" width="10.28515625" style="243" hidden="1"/>
    <col min="8906" max="8906" width="10.85546875" style="243" hidden="1"/>
    <col min="8907" max="8907" width="9.140625" style="243" hidden="1"/>
    <col min="8908" max="8908" width="8.7109375" style="243" hidden="1"/>
    <col min="8909" max="8909" width="13.5703125" style="243" hidden="1"/>
    <col min="8910" max="8910" width="12.28515625" style="243" hidden="1"/>
    <col min="8911" max="8911" width="0.85546875" style="243" hidden="1"/>
    <col min="8912" max="8912" width="14" style="243" hidden="1"/>
    <col min="8913" max="8913" width="15.5703125" style="243" hidden="1"/>
    <col min="8914" max="8914" width="13.85546875" style="243" hidden="1"/>
    <col min="8915" max="8915" width="13.140625" style="243" hidden="1"/>
    <col min="8916" max="8916" width="9" style="243" hidden="1"/>
    <col min="8917" max="8917" width="13.140625" style="243" hidden="1"/>
    <col min="8918" max="8918" width="8.140625" style="243" hidden="1"/>
    <col min="8919" max="8919" width="5.7109375" style="243" hidden="1"/>
    <col min="8920" max="8920" width="24.5703125" style="243" hidden="1"/>
    <col min="8921" max="8921" width="13.85546875" style="243" hidden="1"/>
    <col min="8922" max="8922" width="13.5703125" style="243" hidden="1"/>
    <col min="8923" max="9154" width="8.140625" style="243" hidden="1"/>
    <col min="9155" max="9155" width="5.85546875" style="243" hidden="1"/>
    <col min="9156" max="9156" width="40.140625" style="243" hidden="1"/>
    <col min="9157" max="9157" width="1.5703125" style="243" hidden="1"/>
    <col min="9158" max="9158" width="9.5703125" style="243" hidden="1"/>
    <col min="9159" max="9159" width="11.85546875" style="243" hidden="1"/>
    <col min="9160" max="9160" width="10.42578125" style="243" hidden="1"/>
    <col min="9161" max="9161" width="10.28515625" style="243" hidden="1"/>
    <col min="9162" max="9162" width="10.85546875" style="243" hidden="1"/>
    <col min="9163" max="9163" width="9.140625" style="243" hidden="1"/>
    <col min="9164" max="9164" width="8.7109375" style="243" hidden="1"/>
    <col min="9165" max="9165" width="13.5703125" style="243" hidden="1"/>
    <col min="9166" max="9166" width="12.28515625" style="243" hidden="1"/>
    <col min="9167" max="9167" width="0.85546875" style="243" hidden="1"/>
    <col min="9168" max="9168" width="14" style="243" hidden="1"/>
    <col min="9169" max="9169" width="15.5703125" style="243" hidden="1"/>
    <col min="9170" max="9170" width="13.85546875" style="243" hidden="1"/>
    <col min="9171" max="9171" width="13.140625" style="243" hidden="1"/>
    <col min="9172" max="9172" width="9" style="243" hidden="1"/>
    <col min="9173" max="9173" width="13.140625" style="243" hidden="1"/>
    <col min="9174" max="9174" width="8.140625" style="243" hidden="1"/>
    <col min="9175" max="9175" width="5.7109375" style="243" hidden="1"/>
    <col min="9176" max="9176" width="24.5703125" style="243" hidden="1"/>
    <col min="9177" max="9177" width="13.85546875" style="243" hidden="1"/>
    <col min="9178" max="9178" width="13.5703125" style="243" hidden="1"/>
    <col min="9179" max="9410" width="8.140625" style="243" hidden="1"/>
    <col min="9411" max="9411" width="5.85546875" style="243" hidden="1"/>
    <col min="9412" max="9412" width="40.140625" style="243" hidden="1"/>
    <col min="9413" max="9413" width="1.5703125" style="243" hidden="1"/>
    <col min="9414" max="9414" width="9.5703125" style="243" hidden="1"/>
    <col min="9415" max="9415" width="11.85546875" style="243" hidden="1"/>
    <col min="9416" max="9416" width="10.42578125" style="243" hidden="1"/>
    <col min="9417" max="9417" width="10.28515625" style="243" hidden="1"/>
    <col min="9418" max="9418" width="10.85546875" style="243" hidden="1"/>
    <col min="9419" max="9419" width="9.140625" style="243" hidden="1"/>
    <col min="9420" max="9420" width="8.7109375" style="243" hidden="1"/>
    <col min="9421" max="9421" width="13.5703125" style="243" hidden="1"/>
    <col min="9422" max="9422" width="12.28515625" style="243" hidden="1"/>
    <col min="9423" max="9423" width="0.85546875" style="243" hidden="1"/>
    <col min="9424" max="9424" width="14" style="243" hidden="1"/>
    <col min="9425" max="9425" width="15.5703125" style="243" hidden="1"/>
    <col min="9426" max="9426" width="13.85546875" style="243" hidden="1"/>
    <col min="9427" max="9427" width="13.140625" style="243" hidden="1"/>
    <col min="9428" max="9428" width="9" style="243" hidden="1"/>
    <col min="9429" max="9429" width="13.140625" style="243" hidden="1"/>
    <col min="9430" max="9430" width="8.140625" style="243" hidden="1"/>
    <col min="9431" max="9431" width="5.7109375" style="243" hidden="1"/>
    <col min="9432" max="9432" width="24.5703125" style="243" hidden="1"/>
    <col min="9433" max="9433" width="13.85546875" style="243" hidden="1"/>
    <col min="9434" max="9434" width="13.5703125" style="243" hidden="1"/>
    <col min="9435" max="9666" width="8.140625" style="243" hidden="1"/>
    <col min="9667" max="9667" width="5.85546875" style="243" hidden="1"/>
    <col min="9668" max="9668" width="40.140625" style="243" hidden="1"/>
    <col min="9669" max="9669" width="1.5703125" style="243" hidden="1"/>
    <col min="9670" max="9670" width="9.5703125" style="243" hidden="1"/>
    <col min="9671" max="9671" width="11.85546875" style="243" hidden="1"/>
    <col min="9672" max="9672" width="10.42578125" style="243" hidden="1"/>
    <col min="9673" max="9673" width="10.28515625" style="243" hidden="1"/>
    <col min="9674" max="9674" width="10.85546875" style="243" hidden="1"/>
    <col min="9675" max="9675" width="9.140625" style="243" hidden="1"/>
    <col min="9676" max="9676" width="8.7109375" style="243" hidden="1"/>
    <col min="9677" max="9677" width="13.5703125" style="243" hidden="1"/>
    <col min="9678" max="9678" width="12.28515625" style="243" hidden="1"/>
    <col min="9679" max="9679" width="0.85546875" style="243" hidden="1"/>
    <col min="9680" max="9680" width="14" style="243" hidden="1"/>
    <col min="9681" max="9681" width="15.5703125" style="243" hidden="1"/>
    <col min="9682" max="9682" width="13.85546875" style="243" hidden="1"/>
    <col min="9683" max="9683" width="13.140625" style="243" hidden="1"/>
    <col min="9684" max="9684" width="9" style="243" hidden="1"/>
    <col min="9685" max="9685" width="13.140625" style="243" hidden="1"/>
    <col min="9686" max="9686" width="8.140625" style="243" hidden="1"/>
    <col min="9687" max="9687" width="5.7109375" style="243" hidden="1"/>
    <col min="9688" max="9688" width="24.5703125" style="243" hidden="1"/>
    <col min="9689" max="9689" width="13.85546875" style="243" hidden="1"/>
    <col min="9690" max="9690" width="13.5703125" style="243" hidden="1"/>
    <col min="9691" max="9922" width="8.140625" style="243" hidden="1"/>
    <col min="9923" max="9923" width="5.85546875" style="243" hidden="1"/>
    <col min="9924" max="9924" width="40.140625" style="243" hidden="1"/>
    <col min="9925" max="9925" width="1.5703125" style="243" hidden="1"/>
    <col min="9926" max="9926" width="9.5703125" style="243" hidden="1"/>
    <col min="9927" max="9927" width="11.85546875" style="243" hidden="1"/>
    <col min="9928" max="9928" width="10.42578125" style="243" hidden="1"/>
    <col min="9929" max="9929" width="10.28515625" style="243" hidden="1"/>
    <col min="9930" max="9930" width="10.85546875" style="243" hidden="1"/>
    <col min="9931" max="9931" width="9.140625" style="243" hidden="1"/>
    <col min="9932" max="9932" width="8.7109375" style="243" hidden="1"/>
    <col min="9933" max="9933" width="13.5703125" style="243" hidden="1"/>
    <col min="9934" max="9934" width="12.28515625" style="243" hidden="1"/>
    <col min="9935" max="9935" width="0.85546875" style="243" hidden="1"/>
    <col min="9936" max="9936" width="14" style="243" hidden="1"/>
    <col min="9937" max="9937" width="15.5703125" style="243" hidden="1"/>
    <col min="9938" max="9938" width="13.85546875" style="243" hidden="1"/>
    <col min="9939" max="9939" width="13.140625" style="243" hidden="1"/>
    <col min="9940" max="9940" width="9" style="243" hidden="1"/>
    <col min="9941" max="9941" width="13.140625" style="243" hidden="1"/>
    <col min="9942" max="9942" width="8.140625" style="243" hidden="1"/>
    <col min="9943" max="9943" width="5.7109375" style="243" hidden="1"/>
    <col min="9944" max="9944" width="24.5703125" style="243" hidden="1"/>
    <col min="9945" max="9945" width="13.85546875" style="243" hidden="1"/>
    <col min="9946" max="9946" width="13.5703125" style="243" hidden="1"/>
    <col min="9947" max="10178" width="8.140625" style="243" hidden="1"/>
    <col min="10179" max="10179" width="5.85546875" style="243" hidden="1"/>
    <col min="10180" max="10180" width="40.140625" style="243" hidden="1"/>
    <col min="10181" max="10181" width="1.5703125" style="243" hidden="1"/>
    <col min="10182" max="10182" width="9.5703125" style="243" hidden="1"/>
    <col min="10183" max="10183" width="11.85546875" style="243" hidden="1"/>
    <col min="10184" max="10184" width="10.42578125" style="243" hidden="1"/>
    <col min="10185" max="10185" width="10.28515625" style="243" hidden="1"/>
    <col min="10186" max="10186" width="10.85546875" style="243" hidden="1"/>
    <col min="10187" max="10187" width="9.140625" style="243" hidden="1"/>
    <col min="10188" max="10188" width="8.7109375" style="243" hidden="1"/>
    <col min="10189" max="10189" width="13.5703125" style="243" hidden="1"/>
    <col min="10190" max="10190" width="12.28515625" style="243" hidden="1"/>
    <col min="10191" max="10191" width="0.85546875" style="243" hidden="1"/>
    <col min="10192" max="10192" width="14" style="243" hidden="1"/>
    <col min="10193" max="10193" width="15.5703125" style="243" hidden="1"/>
    <col min="10194" max="10194" width="13.85546875" style="243" hidden="1"/>
    <col min="10195" max="10195" width="13.140625" style="243" hidden="1"/>
    <col min="10196" max="10196" width="9" style="243" hidden="1"/>
    <col min="10197" max="10197" width="13.140625" style="243" hidden="1"/>
    <col min="10198" max="10198" width="8.140625" style="243" hidden="1"/>
    <col min="10199" max="10199" width="5.7109375" style="243" hidden="1"/>
    <col min="10200" max="10200" width="24.5703125" style="243" hidden="1"/>
    <col min="10201" max="10201" width="13.85546875" style="243" hidden="1"/>
    <col min="10202" max="10202" width="13.5703125" style="243" hidden="1"/>
    <col min="10203" max="10434" width="8.140625" style="243" hidden="1"/>
    <col min="10435" max="10435" width="5.85546875" style="243" hidden="1"/>
    <col min="10436" max="10436" width="40.140625" style="243" hidden="1"/>
    <col min="10437" max="10437" width="1.5703125" style="243" hidden="1"/>
    <col min="10438" max="10438" width="9.5703125" style="243" hidden="1"/>
    <col min="10439" max="10439" width="11.85546875" style="243" hidden="1"/>
    <col min="10440" max="10440" width="10.42578125" style="243" hidden="1"/>
    <col min="10441" max="10441" width="10.28515625" style="243" hidden="1"/>
    <col min="10442" max="10442" width="10.85546875" style="243" hidden="1"/>
    <col min="10443" max="10443" width="9.140625" style="243" hidden="1"/>
    <col min="10444" max="10444" width="8.7109375" style="243" hidden="1"/>
    <col min="10445" max="10445" width="13.5703125" style="243" hidden="1"/>
    <col min="10446" max="10446" width="12.28515625" style="243" hidden="1"/>
    <col min="10447" max="10447" width="0.85546875" style="243" hidden="1"/>
    <col min="10448" max="10448" width="14" style="243" hidden="1"/>
    <col min="10449" max="10449" width="15.5703125" style="243" hidden="1"/>
    <col min="10450" max="10450" width="13.85546875" style="243" hidden="1"/>
    <col min="10451" max="10451" width="13.140625" style="243" hidden="1"/>
    <col min="10452" max="10452" width="9" style="243" hidden="1"/>
    <col min="10453" max="10453" width="13.140625" style="243" hidden="1"/>
    <col min="10454" max="10454" width="8.140625" style="243" hidden="1"/>
    <col min="10455" max="10455" width="5.7109375" style="243" hidden="1"/>
    <col min="10456" max="10456" width="24.5703125" style="243" hidden="1"/>
    <col min="10457" max="10457" width="13.85546875" style="243" hidden="1"/>
    <col min="10458" max="10458" width="13.5703125" style="243" hidden="1"/>
    <col min="10459" max="10690" width="8.140625" style="243" hidden="1"/>
    <col min="10691" max="10691" width="5.85546875" style="243" hidden="1"/>
    <col min="10692" max="10692" width="40.140625" style="243" hidden="1"/>
    <col min="10693" max="10693" width="1.5703125" style="243" hidden="1"/>
    <col min="10694" max="10694" width="9.5703125" style="243" hidden="1"/>
    <col min="10695" max="10695" width="11.85546875" style="243" hidden="1"/>
    <col min="10696" max="10696" width="10.42578125" style="243" hidden="1"/>
    <col min="10697" max="10697" width="10.28515625" style="243" hidden="1"/>
    <col min="10698" max="10698" width="10.85546875" style="243" hidden="1"/>
    <col min="10699" max="10699" width="9.140625" style="243" hidden="1"/>
    <col min="10700" max="10700" width="8.7109375" style="243" hidden="1"/>
    <col min="10701" max="10701" width="13.5703125" style="243" hidden="1"/>
    <col min="10702" max="10702" width="12.28515625" style="243" hidden="1"/>
    <col min="10703" max="10703" width="0.85546875" style="243" hidden="1"/>
    <col min="10704" max="10704" width="14" style="243" hidden="1"/>
    <col min="10705" max="10705" width="15.5703125" style="243" hidden="1"/>
    <col min="10706" max="10706" width="13.85546875" style="243" hidden="1"/>
    <col min="10707" max="10707" width="13.140625" style="243" hidden="1"/>
    <col min="10708" max="10708" width="9" style="243" hidden="1"/>
    <col min="10709" max="10709" width="13.140625" style="243" hidden="1"/>
    <col min="10710" max="10710" width="8.140625" style="243" hidden="1"/>
    <col min="10711" max="10711" width="5.7109375" style="243" hidden="1"/>
    <col min="10712" max="10712" width="24.5703125" style="243" hidden="1"/>
    <col min="10713" max="10713" width="13.85546875" style="243" hidden="1"/>
    <col min="10714" max="10714" width="13.5703125" style="243" hidden="1"/>
    <col min="10715" max="10946" width="8.140625" style="243" hidden="1"/>
    <col min="10947" max="10947" width="5.85546875" style="243" hidden="1"/>
    <col min="10948" max="10948" width="40.140625" style="243" hidden="1"/>
    <col min="10949" max="10949" width="1.5703125" style="243" hidden="1"/>
    <col min="10950" max="10950" width="9.5703125" style="243" hidden="1"/>
    <col min="10951" max="10951" width="11.85546875" style="243" hidden="1"/>
    <col min="10952" max="10952" width="10.42578125" style="243" hidden="1"/>
    <col min="10953" max="10953" width="10.28515625" style="243" hidden="1"/>
    <col min="10954" max="10954" width="10.85546875" style="243" hidden="1"/>
    <col min="10955" max="10955" width="9.140625" style="243" hidden="1"/>
    <col min="10956" max="10956" width="8.7109375" style="243" hidden="1"/>
    <col min="10957" max="10957" width="13.5703125" style="243" hidden="1"/>
    <col min="10958" max="10958" width="12.28515625" style="243" hidden="1"/>
    <col min="10959" max="10959" width="0.85546875" style="243" hidden="1"/>
    <col min="10960" max="10960" width="14" style="243" hidden="1"/>
    <col min="10961" max="10961" width="15.5703125" style="243" hidden="1"/>
    <col min="10962" max="10962" width="13.85546875" style="243" hidden="1"/>
    <col min="10963" max="10963" width="13.140625" style="243" hidden="1"/>
    <col min="10964" max="10964" width="9" style="243" hidden="1"/>
    <col min="10965" max="10965" width="13.140625" style="243" hidden="1"/>
    <col min="10966" max="10966" width="8.140625" style="243" hidden="1"/>
    <col min="10967" max="10967" width="5.7109375" style="243" hidden="1"/>
    <col min="10968" max="10968" width="24.5703125" style="243" hidden="1"/>
    <col min="10969" max="10969" width="13.85546875" style="243" hidden="1"/>
    <col min="10970" max="10970" width="13.5703125" style="243" hidden="1"/>
    <col min="10971" max="11202" width="8.140625" style="243" hidden="1"/>
    <col min="11203" max="11203" width="5.85546875" style="243" hidden="1"/>
    <col min="11204" max="11204" width="40.140625" style="243" hidden="1"/>
    <col min="11205" max="11205" width="1.5703125" style="243" hidden="1"/>
    <col min="11206" max="11206" width="9.5703125" style="243" hidden="1"/>
    <col min="11207" max="11207" width="11.85546875" style="243" hidden="1"/>
    <col min="11208" max="11208" width="10.42578125" style="243" hidden="1"/>
    <col min="11209" max="11209" width="10.28515625" style="243" hidden="1"/>
    <col min="11210" max="11210" width="10.85546875" style="243" hidden="1"/>
    <col min="11211" max="11211" width="9.140625" style="243" hidden="1"/>
    <col min="11212" max="11212" width="8.7109375" style="243" hidden="1"/>
    <col min="11213" max="11213" width="13.5703125" style="243" hidden="1"/>
    <col min="11214" max="11214" width="12.28515625" style="243" hidden="1"/>
    <col min="11215" max="11215" width="0.85546875" style="243" hidden="1"/>
    <col min="11216" max="11216" width="14" style="243" hidden="1"/>
    <col min="11217" max="11217" width="15.5703125" style="243" hidden="1"/>
    <col min="11218" max="11218" width="13.85546875" style="243" hidden="1"/>
    <col min="11219" max="11219" width="13.140625" style="243" hidden="1"/>
    <col min="11220" max="11220" width="9" style="243" hidden="1"/>
    <col min="11221" max="11221" width="13.140625" style="243" hidden="1"/>
    <col min="11222" max="11222" width="8.140625" style="243" hidden="1"/>
    <col min="11223" max="11223" width="5.7109375" style="243" hidden="1"/>
    <col min="11224" max="11224" width="24.5703125" style="243" hidden="1"/>
    <col min="11225" max="11225" width="13.85546875" style="243" hidden="1"/>
    <col min="11226" max="11226" width="13.5703125" style="243" hidden="1"/>
    <col min="11227" max="11458" width="8.140625" style="243" hidden="1"/>
    <col min="11459" max="11459" width="5.85546875" style="243" hidden="1"/>
    <col min="11460" max="11460" width="40.140625" style="243" hidden="1"/>
    <col min="11461" max="11461" width="1.5703125" style="243" hidden="1"/>
    <col min="11462" max="11462" width="9.5703125" style="243" hidden="1"/>
    <col min="11463" max="11463" width="11.85546875" style="243" hidden="1"/>
    <col min="11464" max="11464" width="10.42578125" style="243" hidden="1"/>
    <col min="11465" max="11465" width="10.28515625" style="243" hidden="1"/>
    <col min="11466" max="11466" width="10.85546875" style="243" hidden="1"/>
    <col min="11467" max="11467" width="9.140625" style="243" hidden="1"/>
    <col min="11468" max="11468" width="8.7109375" style="243" hidden="1"/>
    <col min="11469" max="11469" width="13.5703125" style="243" hidden="1"/>
    <col min="11470" max="11470" width="12.28515625" style="243" hidden="1"/>
    <col min="11471" max="11471" width="0.85546875" style="243" hidden="1"/>
    <col min="11472" max="11472" width="14" style="243" hidden="1"/>
    <col min="11473" max="11473" width="15.5703125" style="243" hidden="1"/>
    <col min="11474" max="11474" width="13.85546875" style="243" hidden="1"/>
    <col min="11475" max="11475" width="13.140625" style="243" hidden="1"/>
    <col min="11476" max="11476" width="9" style="243" hidden="1"/>
    <col min="11477" max="11477" width="13.140625" style="243" hidden="1"/>
    <col min="11478" max="11478" width="8.140625" style="243" hidden="1"/>
    <col min="11479" max="11479" width="5.7109375" style="243" hidden="1"/>
    <col min="11480" max="11480" width="24.5703125" style="243" hidden="1"/>
    <col min="11481" max="11481" width="13.85546875" style="243" hidden="1"/>
    <col min="11482" max="11482" width="13.5703125" style="243" hidden="1"/>
    <col min="11483" max="11714" width="8.140625" style="243" hidden="1"/>
    <col min="11715" max="11715" width="5.85546875" style="243" hidden="1"/>
    <col min="11716" max="11716" width="40.140625" style="243" hidden="1"/>
    <col min="11717" max="11717" width="1.5703125" style="243" hidden="1"/>
    <col min="11718" max="11718" width="9.5703125" style="243" hidden="1"/>
    <col min="11719" max="11719" width="11.85546875" style="243" hidden="1"/>
    <col min="11720" max="11720" width="10.42578125" style="243" hidden="1"/>
    <col min="11721" max="11721" width="10.28515625" style="243" hidden="1"/>
    <col min="11722" max="11722" width="10.85546875" style="243" hidden="1"/>
    <col min="11723" max="11723" width="9.140625" style="243" hidden="1"/>
    <col min="11724" max="11724" width="8.7109375" style="243" hidden="1"/>
    <col min="11725" max="11725" width="13.5703125" style="243" hidden="1"/>
    <col min="11726" max="11726" width="12.28515625" style="243" hidden="1"/>
    <col min="11727" max="11727" width="0.85546875" style="243" hidden="1"/>
    <col min="11728" max="11728" width="14" style="243" hidden="1"/>
    <col min="11729" max="11729" width="15.5703125" style="243" hidden="1"/>
    <col min="11730" max="11730" width="13.85546875" style="243" hidden="1"/>
    <col min="11731" max="11731" width="13.140625" style="243" hidden="1"/>
    <col min="11732" max="11732" width="9" style="243" hidden="1"/>
    <col min="11733" max="11733" width="13.140625" style="243" hidden="1"/>
    <col min="11734" max="11734" width="8.140625" style="243" hidden="1"/>
    <col min="11735" max="11735" width="5.7109375" style="243" hidden="1"/>
    <col min="11736" max="11736" width="24.5703125" style="243" hidden="1"/>
    <col min="11737" max="11737" width="13.85546875" style="243" hidden="1"/>
    <col min="11738" max="11738" width="13.5703125" style="243" hidden="1"/>
    <col min="11739" max="11970" width="8.140625" style="243" hidden="1"/>
    <col min="11971" max="11971" width="5.85546875" style="243" hidden="1"/>
    <col min="11972" max="11972" width="40.140625" style="243" hidden="1"/>
    <col min="11973" max="11973" width="1.5703125" style="243" hidden="1"/>
    <col min="11974" max="11974" width="9.5703125" style="243" hidden="1"/>
    <col min="11975" max="11975" width="11.85546875" style="243" hidden="1"/>
    <col min="11976" max="11976" width="10.42578125" style="243" hidden="1"/>
    <col min="11977" max="11977" width="10.28515625" style="243" hidden="1"/>
    <col min="11978" max="11978" width="10.85546875" style="243" hidden="1"/>
    <col min="11979" max="11979" width="9.140625" style="243" hidden="1"/>
    <col min="11980" max="11980" width="8.7109375" style="243" hidden="1"/>
    <col min="11981" max="11981" width="13.5703125" style="243" hidden="1"/>
    <col min="11982" max="11982" width="12.28515625" style="243" hidden="1"/>
    <col min="11983" max="11983" width="0.85546875" style="243" hidden="1"/>
    <col min="11984" max="11984" width="14" style="243" hidden="1"/>
    <col min="11985" max="11985" width="15.5703125" style="243" hidden="1"/>
    <col min="11986" max="11986" width="13.85546875" style="243" hidden="1"/>
    <col min="11987" max="11987" width="13.140625" style="243" hidden="1"/>
    <col min="11988" max="11988" width="9" style="243" hidden="1"/>
    <col min="11989" max="11989" width="13.140625" style="243" hidden="1"/>
    <col min="11990" max="11990" width="8.140625" style="243" hidden="1"/>
    <col min="11991" max="11991" width="5.7109375" style="243" hidden="1"/>
    <col min="11992" max="11992" width="24.5703125" style="243" hidden="1"/>
    <col min="11993" max="11993" width="13.85546875" style="243" hidden="1"/>
    <col min="11994" max="11994" width="13.5703125" style="243" hidden="1"/>
    <col min="11995" max="12226" width="8.140625" style="243" hidden="1"/>
    <col min="12227" max="12227" width="5.85546875" style="243" hidden="1"/>
    <col min="12228" max="12228" width="40.140625" style="243" hidden="1"/>
    <col min="12229" max="12229" width="1.5703125" style="243" hidden="1"/>
    <col min="12230" max="12230" width="9.5703125" style="243" hidden="1"/>
    <col min="12231" max="12231" width="11.85546875" style="243" hidden="1"/>
    <col min="12232" max="12232" width="10.42578125" style="243" hidden="1"/>
    <col min="12233" max="12233" width="10.28515625" style="243" hidden="1"/>
    <col min="12234" max="12234" width="10.85546875" style="243" hidden="1"/>
    <col min="12235" max="12235" width="9.140625" style="243" hidden="1"/>
    <col min="12236" max="12236" width="8.7109375" style="243" hidden="1"/>
    <col min="12237" max="12237" width="13.5703125" style="243" hidden="1"/>
    <col min="12238" max="12238" width="12.28515625" style="243" hidden="1"/>
    <col min="12239" max="12239" width="0.85546875" style="243" hidden="1"/>
    <col min="12240" max="12240" width="14" style="243" hidden="1"/>
    <col min="12241" max="12241" width="15.5703125" style="243" hidden="1"/>
    <col min="12242" max="12242" width="13.85546875" style="243" hidden="1"/>
    <col min="12243" max="12243" width="13.140625" style="243" hidden="1"/>
    <col min="12244" max="12244" width="9" style="243" hidden="1"/>
    <col min="12245" max="12245" width="13.140625" style="243" hidden="1"/>
    <col min="12246" max="12246" width="8.140625" style="243" hidden="1"/>
    <col min="12247" max="12247" width="5.7109375" style="243" hidden="1"/>
    <col min="12248" max="12248" width="24.5703125" style="243" hidden="1"/>
    <col min="12249" max="12249" width="13.85546875" style="243" hidden="1"/>
    <col min="12250" max="12250" width="13.5703125" style="243" hidden="1"/>
    <col min="12251" max="12482" width="8.140625" style="243" hidden="1"/>
    <col min="12483" max="12483" width="5.85546875" style="243" hidden="1"/>
    <col min="12484" max="12484" width="40.140625" style="243" hidden="1"/>
    <col min="12485" max="12485" width="1.5703125" style="243" hidden="1"/>
    <col min="12486" max="12486" width="9.5703125" style="243" hidden="1"/>
    <col min="12487" max="12487" width="11.85546875" style="243" hidden="1"/>
    <col min="12488" max="12488" width="10.42578125" style="243" hidden="1"/>
    <col min="12489" max="12489" width="10.28515625" style="243" hidden="1"/>
    <col min="12490" max="12490" width="10.85546875" style="243" hidden="1"/>
    <col min="12491" max="12491" width="9.140625" style="243" hidden="1"/>
    <col min="12492" max="12492" width="8.7109375" style="243" hidden="1"/>
    <col min="12493" max="12493" width="13.5703125" style="243" hidden="1"/>
    <col min="12494" max="12494" width="12.28515625" style="243" hidden="1"/>
    <col min="12495" max="12495" width="0.85546875" style="243" hidden="1"/>
    <col min="12496" max="12496" width="14" style="243" hidden="1"/>
    <col min="12497" max="12497" width="15.5703125" style="243" hidden="1"/>
    <col min="12498" max="12498" width="13.85546875" style="243" hidden="1"/>
    <col min="12499" max="12499" width="13.140625" style="243" hidden="1"/>
    <col min="12500" max="12500" width="9" style="243" hidden="1"/>
    <col min="12501" max="12501" width="13.140625" style="243" hidden="1"/>
    <col min="12502" max="12502" width="8.140625" style="243" hidden="1"/>
    <col min="12503" max="12503" width="5.7109375" style="243" hidden="1"/>
    <col min="12504" max="12504" width="24.5703125" style="243" hidden="1"/>
    <col min="12505" max="12505" width="13.85546875" style="243" hidden="1"/>
    <col min="12506" max="12506" width="13.5703125" style="243" hidden="1"/>
    <col min="12507" max="12738" width="8.140625" style="243" hidden="1"/>
    <col min="12739" max="12739" width="5.85546875" style="243" hidden="1"/>
    <col min="12740" max="12740" width="40.140625" style="243" hidden="1"/>
    <col min="12741" max="12741" width="1.5703125" style="243" hidden="1"/>
    <col min="12742" max="12742" width="9.5703125" style="243" hidden="1"/>
    <col min="12743" max="12743" width="11.85546875" style="243" hidden="1"/>
    <col min="12744" max="12744" width="10.42578125" style="243" hidden="1"/>
    <col min="12745" max="12745" width="10.28515625" style="243" hidden="1"/>
    <col min="12746" max="12746" width="10.85546875" style="243" hidden="1"/>
    <col min="12747" max="12747" width="9.140625" style="243" hidden="1"/>
    <col min="12748" max="12748" width="8.7109375" style="243" hidden="1"/>
    <col min="12749" max="12749" width="13.5703125" style="243" hidden="1"/>
    <col min="12750" max="12750" width="12.28515625" style="243" hidden="1"/>
    <col min="12751" max="12751" width="0.85546875" style="243" hidden="1"/>
    <col min="12752" max="12752" width="14" style="243" hidden="1"/>
    <col min="12753" max="12753" width="15.5703125" style="243" hidden="1"/>
    <col min="12754" max="12754" width="13.85546875" style="243" hidden="1"/>
    <col min="12755" max="12755" width="13.140625" style="243" hidden="1"/>
    <col min="12756" max="12756" width="9" style="243" hidden="1"/>
    <col min="12757" max="12757" width="13.140625" style="243" hidden="1"/>
    <col min="12758" max="12758" width="8.140625" style="243" hidden="1"/>
    <col min="12759" max="12759" width="5.7109375" style="243" hidden="1"/>
    <col min="12760" max="12760" width="24.5703125" style="243" hidden="1"/>
    <col min="12761" max="12761" width="13.85546875" style="243" hidden="1"/>
    <col min="12762" max="12762" width="13.5703125" style="243" hidden="1"/>
    <col min="12763" max="12994" width="8.140625" style="243" hidden="1"/>
    <col min="12995" max="12995" width="5.85546875" style="243" hidden="1"/>
    <col min="12996" max="12996" width="40.140625" style="243" hidden="1"/>
    <col min="12997" max="12997" width="1.5703125" style="243" hidden="1"/>
    <col min="12998" max="12998" width="9.5703125" style="243" hidden="1"/>
    <col min="12999" max="12999" width="11.85546875" style="243" hidden="1"/>
    <col min="13000" max="13000" width="10.42578125" style="243" hidden="1"/>
    <col min="13001" max="13001" width="10.28515625" style="243" hidden="1"/>
    <col min="13002" max="13002" width="10.85546875" style="243" hidden="1"/>
    <col min="13003" max="13003" width="9.140625" style="243" hidden="1"/>
    <col min="13004" max="13004" width="8.7109375" style="243" hidden="1"/>
    <col min="13005" max="13005" width="13.5703125" style="243" hidden="1"/>
    <col min="13006" max="13006" width="12.28515625" style="243" hidden="1"/>
    <col min="13007" max="13007" width="0.85546875" style="243" hidden="1"/>
    <col min="13008" max="13008" width="14" style="243" hidden="1"/>
    <col min="13009" max="13009" width="15.5703125" style="243" hidden="1"/>
    <col min="13010" max="13010" width="13.85546875" style="243" hidden="1"/>
    <col min="13011" max="13011" width="13.140625" style="243" hidden="1"/>
    <col min="13012" max="13012" width="9" style="243" hidden="1"/>
    <col min="13013" max="13013" width="13.140625" style="243" hidden="1"/>
    <col min="13014" max="13014" width="8.140625" style="243" hidden="1"/>
    <col min="13015" max="13015" width="5.7109375" style="243" hidden="1"/>
    <col min="13016" max="13016" width="24.5703125" style="243" hidden="1"/>
    <col min="13017" max="13017" width="13.85546875" style="243" hidden="1"/>
    <col min="13018" max="13018" width="13.5703125" style="243" hidden="1"/>
    <col min="13019" max="13250" width="8.140625" style="243" hidden="1"/>
    <col min="13251" max="13251" width="5.85546875" style="243" hidden="1"/>
    <col min="13252" max="13252" width="40.140625" style="243" hidden="1"/>
    <col min="13253" max="13253" width="1.5703125" style="243" hidden="1"/>
    <col min="13254" max="13254" width="9.5703125" style="243" hidden="1"/>
    <col min="13255" max="13255" width="11.85546875" style="243" hidden="1"/>
    <col min="13256" max="13256" width="10.42578125" style="243" hidden="1"/>
    <col min="13257" max="13257" width="10.28515625" style="243" hidden="1"/>
    <col min="13258" max="13258" width="10.85546875" style="243" hidden="1"/>
    <col min="13259" max="13259" width="9.140625" style="243" hidden="1"/>
    <col min="13260" max="13260" width="8.7109375" style="243" hidden="1"/>
    <col min="13261" max="13261" width="13.5703125" style="243" hidden="1"/>
    <col min="13262" max="13262" width="12.28515625" style="243" hidden="1"/>
    <col min="13263" max="13263" width="0.85546875" style="243" hidden="1"/>
    <col min="13264" max="13264" width="14" style="243" hidden="1"/>
    <col min="13265" max="13265" width="15.5703125" style="243" hidden="1"/>
    <col min="13266" max="13266" width="13.85546875" style="243" hidden="1"/>
    <col min="13267" max="13267" width="13.140625" style="243" hidden="1"/>
    <col min="13268" max="13268" width="9" style="243" hidden="1"/>
    <col min="13269" max="13269" width="13.140625" style="243" hidden="1"/>
    <col min="13270" max="13270" width="8.140625" style="243" hidden="1"/>
    <col min="13271" max="13271" width="5.7109375" style="243" hidden="1"/>
    <col min="13272" max="13272" width="24.5703125" style="243" hidden="1"/>
    <col min="13273" max="13273" width="13.85546875" style="243" hidden="1"/>
    <col min="13274" max="13274" width="13.5703125" style="243" hidden="1"/>
    <col min="13275" max="13506" width="8.140625" style="243" hidden="1"/>
    <col min="13507" max="13507" width="5.85546875" style="243" hidden="1"/>
    <col min="13508" max="13508" width="40.140625" style="243" hidden="1"/>
    <col min="13509" max="13509" width="1.5703125" style="243" hidden="1"/>
    <col min="13510" max="13510" width="9.5703125" style="243" hidden="1"/>
    <col min="13511" max="13511" width="11.85546875" style="243" hidden="1"/>
    <col min="13512" max="13512" width="10.42578125" style="243" hidden="1"/>
    <col min="13513" max="13513" width="10.28515625" style="243" hidden="1"/>
    <col min="13514" max="13514" width="10.85546875" style="243" hidden="1"/>
    <col min="13515" max="13515" width="9.140625" style="243" hidden="1"/>
    <col min="13516" max="13516" width="8.7109375" style="243" hidden="1"/>
    <col min="13517" max="13517" width="13.5703125" style="243" hidden="1"/>
    <col min="13518" max="13518" width="12.28515625" style="243" hidden="1"/>
    <col min="13519" max="13519" width="0.85546875" style="243" hidden="1"/>
    <col min="13520" max="13520" width="14" style="243" hidden="1"/>
    <col min="13521" max="13521" width="15.5703125" style="243" hidden="1"/>
    <col min="13522" max="13522" width="13.85546875" style="243" hidden="1"/>
    <col min="13523" max="13523" width="13.140625" style="243" hidden="1"/>
    <col min="13524" max="13524" width="9" style="243" hidden="1"/>
    <col min="13525" max="13525" width="13.140625" style="243" hidden="1"/>
    <col min="13526" max="13526" width="8.140625" style="243" hidden="1"/>
    <col min="13527" max="13527" width="5.7109375" style="243" hidden="1"/>
    <col min="13528" max="13528" width="24.5703125" style="243" hidden="1"/>
    <col min="13529" max="13529" width="13.85546875" style="243" hidden="1"/>
    <col min="13530" max="13530" width="13.5703125" style="243" hidden="1"/>
    <col min="13531" max="13762" width="8.140625" style="243" hidden="1"/>
    <col min="13763" max="13763" width="5.85546875" style="243" hidden="1"/>
    <col min="13764" max="13764" width="40.140625" style="243" hidden="1"/>
    <col min="13765" max="13765" width="1.5703125" style="243" hidden="1"/>
    <col min="13766" max="13766" width="9.5703125" style="243" hidden="1"/>
    <col min="13767" max="13767" width="11.85546875" style="243" hidden="1"/>
    <col min="13768" max="13768" width="10.42578125" style="243" hidden="1"/>
    <col min="13769" max="13769" width="10.28515625" style="243" hidden="1"/>
    <col min="13770" max="13770" width="10.85546875" style="243" hidden="1"/>
    <col min="13771" max="13771" width="9.140625" style="243" hidden="1"/>
    <col min="13772" max="13772" width="8.7109375" style="243" hidden="1"/>
    <col min="13773" max="13773" width="13.5703125" style="243" hidden="1"/>
    <col min="13774" max="13774" width="12.28515625" style="243" hidden="1"/>
    <col min="13775" max="13775" width="0.85546875" style="243" hidden="1"/>
    <col min="13776" max="13776" width="14" style="243" hidden="1"/>
    <col min="13777" max="13777" width="15.5703125" style="243" hidden="1"/>
    <col min="13778" max="13778" width="13.85546875" style="243" hidden="1"/>
    <col min="13779" max="13779" width="13.140625" style="243" hidden="1"/>
    <col min="13780" max="13780" width="9" style="243" hidden="1"/>
    <col min="13781" max="13781" width="13.140625" style="243" hidden="1"/>
    <col min="13782" max="13782" width="8.140625" style="243" hidden="1"/>
    <col min="13783" max="13783" width="5.7109375" style="243" hidden="1"/>
    <col min="13784" max="13784" width="24.5703125" style="243" hidden="1"/>
    <col min="13785" max="13785" width="13.85546875" style="243" hidden="1"/>
    <col min="13786" max="13786" width="13.5703125" style="243" hidden="1"/>
    <col min="13787" max="14018" width="8.140625" style="243" hidden="1"/>
    <col min="14019" max="14019" width="5.85546875" style="243" hidden="1"/>
    <col min="14020" max="14020" width="40.140625" style="243" hidden="1"/>
    <col min="14021" max="14021" width="1.5703125" style="243" hidden="1"/>
    <col min="14022" max="14022" width="9.5703125" style="243" hidden="1"/>
    <col min="14023" max="14023" width="11.85546875" style="243" hidden="1"/>
    <col min="14024" max="14024" width="10.42578125" style="243" hidden="1"/>
    <col min="14025" max="14025" width="10.28515625" style="243" hidden="1"/>
    <col min="14026" max="14026" width="10.85546875" style="243" hidden="1"/>
    <col min="14027" max="14027" width="9.140625" style="243" hidden="1"/>
    <col min="14028" max="14028" width="8.7109375" style="243" hidden="1"/>
    <col min="14029" max="14029" width="13.5703125" style="243" hidden="1"/>
    <col min="14030" max="14030" width="12.28515625" style="243" hidden="1"/>
    <col min="14031" max="14031" width="0.85546875" style="243" hidden="1"/>
    <col min="14032" max="14032" width="14" style="243" hidden="1"/>
    <col min="14033" max="14033" width="15.5703125" style="243" hidden="1"/>
    <col min="14034" max="14034" width="13.85546875" style="243" hidden="1"/>
    <col min="14035" max="14035" width="13.140625" style="243" hidden="1"/>
    <col min="14036" max="14036" width="9" style="243" hidden="1"/>
    <col min="14037" max="14037" width="13.140625" style="243" hidden="1"/>
    <col min="14038" max="14038" width="8.140625" style="243" hidden="1"/>
    <col min="14039" max="14039" width="5.7109375" style="243" hidden="1"/>
    <col min="14040" max="14040" width="24.5703125" style="243" hidden="1"/>
    <col min="14041" max="14041" width="13.85546875" style="243" hidden="1"/>
    <col min="14042" max="14042" width="13.5703125" style="243" hidden="1"/>
    <col min="14043" max="14274" width="8.140625" style="243" hidden="1"/>
    <col min="14275" max="14275" width="5.85546875" style="243" hidden="1"/>
    <col min="14276" max="14276" width="40.140625" style="243" hidden="1"/>
    <col min="14277" max="14277" width="1.5703125" style="243" hidden="1"/>
    <col min="14278" max="14278" width="9.5703125" style="243" hidden="1"/>
    <col min="14279" max="14279" width="11.85546875" style="243" hidden="1"/>
    <col min="14280" max="14280" width="10.42578125" style="243" hidden="1"/>
    <col min="14281" max="14281" width="10.28515625" style="243" hidden="1"/>
    <col min="14282" max="14282" width="10.85546875" style="243" hidden="1"/>
    <col min="14283" max="14283" width="9.140625" style="243" hidden="1"/>
    <col min="14284" max="14284" width="8.7109375" style="243" hidden="1"/>
    <col min="14285" max="14285" width="13.5703125" style="243" hidden="1"/>
    <col min="14286" max="14286" width="12.28515625" style="243" hidden="1"/>
    <col min="14287" max="14287" width="0.85546875" style="243" hidden="1"/>
    <col min="14288" max="14288" width="14" style="243" hidden="1"/>
    <col min="14289" max="14289" width="15.5703125" style="243" hidden="1"/>
    <col min="14290" max="14290" width="13.85546875" style="243" hidden="1"/>
    <col min="14291" max="14291" width="13.140625" style="243" hidden="1"/>
    <col min="14292" max="14292" width="9" style="243" hidden="1"/>
    <col min="14293" max="14293" width="13.140625" style="243" hidden="1"/>
    <col min="14294" max="14294" width="8.140625" style="243" hidden="1"/>
    <col min="14295" max="14295" width="5.7109375" style="243" hidden="1"/>
    <col min="14296" max="14296" width="24.5703125" style="243" hidden="1"/>
    <col min="14297" max="14297" width="13.85546875" style="243" hidden="1"/>
    <col min="14298" max="14298" width="13.5703125" style="243" hidden="1"/>
    <col min="14299" max="14530" width="8.140625" style="243" hidden="1"/>
    <col min="14531" max="14531" width="5.85546875" style="243" hidden="1"/>
    <col min="14532" max="14532" width="40.140625" style="243" hidden="1"/>
    <col min="14533" max="14533" width="1.5703125" style="243" hidden="1"/>
    <col min="14534" max="14534" width="9.5703125" style="243" hidden="1"/>
    <col min="14535" max="14535" width="11.85546875" style="243" hidden="1"/>
    <col min="14536" max="14536" width="10.42578125" style="243" hidden="1"/>
    <col min="14537" max="14537" width="10.28515625" style="243" hidden="1"/>
    <col min="14538" max="14538" width="10.85546875" style="243" hidden="1"/>
    <col min="14539" max="14539" width="9.140625" style="243" hidden="1"/>
    <col min="14540" max="14540" width="8.7109375" style="243" hidden="1"/>
    <col min="14541" max="14541" width="13.5703125" style="243" hidden="1"/>
    <col min="14542" max="14542" width="12.28515625" style="243" hidden="1"/>
    <col min="14543" max="14543" width="0.85546875" style="243" hidden="1"/>
    <col min="14544" max="14544" width="14" style="243" hidden="1"/>
    <col min="14545" max="14545" width="15.5703125" style="243" hidden="1"/>
    <col min="14546" max="14546" width="13.85546875" style="243" hidden="1"/>
    <col min="14547" max="14547" width="13.140625" style="243" hidden="1"/>
    <col min="14548" max="14548" width="9" style="243" hidden="1"/>
    <col min="14549" max="14549" width="13.140625" style="243" hidden="1"/>
    <col min="14550" max="14550" width="8.140625" style="243" hidden="1"/>
    <col min="14551" max="14551" width="5.7109375" style="243" hidden="1"/>
    <col min="14552" max="14552" width="24.5703125" style="243" hidden="1"/>
    <col min="14553" max="14553" width="13.85546875" style="243" hidden="1"/>
    <col min="14554" max="14554" width="13.5703125" style="243" hidden="1"/>
    <col min="14555" max="14786" width="8.140625" style="243" hidden="1"/>
    <col min="14787" max="14787" width="5.85546875" style="243" hidden="1"/>
    <col min="14788" max="14788" width="40.140625" style="243" hidden="1"/>
    <col min="14789" max="14789" width="1.5703125" style="243" hidden="1"/>
    <col min="14790" max="14790" width="9.5703125" style="243" hidden="1"/>
    <col min="14791" max="14791" width="11.85546875" style="243" hidden="1"/>
    <col min="14792" max="14792" width="10.42578125" style="243" hidden="1"/>
    <col min="14793" max="14793" width="10.28515625" style="243" hidden="1"/>
    <col min="14794" max="14794" width="10.85546875" style="243" hidden="1"/>
    <col min="14795" max="14795" width="9.140625" style="243" hidden="1"/>
    <col min="14796" max="14796" width="8.7109375" style="243" hidden="1"/>
    <col min="14797" max="14797" width="13.5703125" style="243" hidden="1"/>
    <col min="14798" max="14798" width="12.28515625" style="243" hidden="1"/>
    <col min="14799" max="14799" width="0.85546875" style="243" hidden="1"/>
    <col min="14800" max="14800" width="14" style="243" hidden="1"/>
    <col min="14801" max="14801" width="15.5703125" style="243" hidden="1"/>
    <col min="14802" max="14802" width="13.85546875" style="243" hidden="1"/>
    <col min="14803" max="14803" width="13.140625" style="243" hidden="1"/>
    <col min="14804" max="14804" width="9" style="243" hidden="1"/>
    <col min="14805" max="14805" width="13.140625" style="243" hidden="1"/>
    <col min="14806" max="14806" width="8.140625" style="243" hidden="1"/>
    <col min="14807" max="14807" width="5.7109375" style="243" hidden="1"/>
    <col min="14808" max="14808" width="24.5703125" style="243" hidden="1"/>
    <col min="14809" max="14809" width="13.85546875" style="243" hidden="1"/>
    <col min="14810" max="14810" width="13.5703125" style="243" hidden="1"/>
    <col min="14811" max="15042" width="8.140625" style="243" hidden="1"/>
    <col min="15043" max="15043" width="5.85546875" style="243" hidden="1"/>
    <col min="15044" max="15044" width="40.140625" style="243" hidden="1"/>
    <col min="15045" max="15045" width="1.5703125" style="243" hidden="1"/>
    <col min="15046" max="15046" width="9.5703125" style="243" hidden="1"/>
    <col min="15047" max="15047" width="11.85546875" style="243" hidden="1"/>
    <col min="15048" max="15048" width="10.42578125" style="243" hidden="1"/>
    <col min="15049" max="15049" width="10.28515625" style="243" hidden="1"/>
    <col min="15050" max="15050" width="10.85546875" style="243" hidden="1"/>
    <col min="15051" max="15051" width="9.140625" style="243" hidden="1"/>
    <col min="15052" max="15052" width="8.7109375" style="243" hidden="1"/>
    <col min="15053" max="15053" width="13.5703125" style="243" hidden="1"/>
    <col min="15054" max="15054" width="12.28515625" style="243" hidden="1"/>
    <col min="15055" max="15055" width="0.85546875" style="243" hidden="1"/>
    <col min="15056" max="15056" width="14" style="243" hidden="1"/>
    <col min="15057" max="15057" width="15.5703125" style="243" hidden="1"/>
    <col min="15058" max="15058" width="13.85546875" style="243" hidden="1"/>
    <col min="15059" max="15059" width="13.140625" style="243" hidden="1"/>
    <col min="15060" max="15060" width="9" style="243" hidden="1"/>
    <col min="15061" max="15061" width="13.140625" style="243" hidden="1"/>
    <col min="15062" max="15062" width="8.140625" style="243" hidden="1"/>
    <col min="15063" max="15063" width="5.7109375" style="243" hidden="1"/>
    <col min="15064" max="15064" width="24.5703125" style="243" hidden="1"/>
    <col min="15065" max="15065" width="13.85546875" style="243" hidden="1"/>
    <col min="15066" max="15066" width="13.5703125" style="243" hidden="1"/>
    <col min="15067" max="15298" width="8.140625" style="243" hidden="1"/>
    <col min="15299" max="15299" width="5.85546875" style="243" hidden="1"/>
    <col min="15300" max="15300" width="40.140625" style="243" hidden="1"/>
    <col min="15301" max="15301" width="1.5703125" style="243" hidden="1"/>
    <col min="15302" max="15302" width="9.5703125" style="243" hidden="1"/>
    <col min="15303" max="15303" width="11.85546875" style="243" hidden="1"/>
    <col min="15304" max="15304" width="10.42578125" style="243" hidden="1"/>
    <col min="15305" max="15305" width="10.28515625" style="243" hidden="1"/>
    <col min="15306" max="15306" width="10.85546875" style="243" hidden="1"/>
    <col min="15307" max="15307" width="9.140625" style="243" hidden="1"/>
    <col min="15308" max="15308" width="8.7109375" style="243" hidden="1"/>
    <col min="15309" max="15309" width="13.5703125" style="243" hidden="1"/>
    <col min="15310" max="15310" width="12.28515625" style="243" hidden="1"/>
    <col min="15311" max="15311" width="0.85546875" style="243" hidden="1"/>
    <col min="15312" max="15312" width="14" style="243" hidden="1"/>
    <col min="15313" max="15313" width="15.5703125" style="243" hidden="1"/>
    <col min="15314" max="15314" width="13.85546875" style="243" hidden="1"/>
    <col min="15315" max="15315" width="13.140625" style="243" hidden="1"/>
    <col min="15316" max="15316" width="9" style="243" hidden="1"/>
    <col min="15317" max="15317" width="13.140625" style="243" hidden="1"/>
    <col min="15318" max="15318" width="8.140625" style="243" hidden="1"/>
    <col min="15319" max="15319" width="5.7109375" style="243" hidden="1"/>
    <col min="15320" max="15320" width="24.5703125" style="243" hidden="1"/>
    <col min="15321" max="15321" width="13.85546875" style="243" hidden="1"/>
    <col min="15322" max="15322" width="13.5703125" style="243" hidden="1"/>
    <col min="15323" max="15554" width="8.140625" style="243" hidden="1"/>
    <col min="15555" max="15555" width="5.85546875" style="243" hidden="1"/>
    <col min="15556" max="15556" width="40.140625" style="243" hidden="1"/>
    <col min="15557" max="15557" width="1.5703125" style="243" hidden="1"/>
    <col min="15558" max="15558" width="9.5703125" style="243" hidden="1"/>
    <col min="15559" max="15559" width="11.85546875" style="243" hidden="1"/>
    <col min="15560" max="15560" width="10.42578125" style="243" hidden="1"/>
    <col min="15561" max="15561" width="10.28515625" style="243" hidden="1"/>
    <col min="15562" max="15562" width="10.85546875" style="243" hidden="1"/>
    <col min="15563" max="15563" width="9.140625" style="243" hidden="1"/>
    <col min="15564" max="15564" width="8.7109375" style="243" hidden="1"/>
    <col min="15565" max="15565" width="13.5703125" style="243" hidden="1"/>
    <col min="15566" max="15566" width="12.28515625" style="243" hidden="1"/>
    <col min="15567" max="15567" width="0.85546875" style="243" hidden="1"/>
    <col min="15568" max="15568" width="14" style="243" hidden="1"/>
    <col min="15569" max="15569" width="15.5703125" style="243" hidden="1"/>
    <col min="15570" max="15570" width="13.85546875" style="243" hidden="1"/>
    <col min="15571" max="15571" width="13.140625" style="243" hidden="1"/>
    <col min="15572" max="15572" width="9" style="243" hidden="1"/>
    <col min="15573" max="15573" width="13.140625" style="243" hidden="1"/>
    <col min="15574" max="15574" width="8.140625" style="243" hidden="1"/>
    <col min="15575" max="15575" width="5.7109375" style="243" hidden="1"/>
    <col min="15576" max="15576" width="24.5703125" style="243" hidden="1"/>
    <col min="15577" max="15577" width="13.85546875" style="243" hidden="1"/>
    <col min="15578" max="15578" width="13.5703125" style="243" hidden="1"/>
    <col min="15579" max="15810" width="8.140625" style="243" hidden="1"/>
    <col min="15811" max="15811" width="5.85546875" style="243" hidden="1"/>
    <col min="15812" max="15812" width="40.140625" style="243" hidden="1"/>
    <col min="15813" max="15813" width="1.5703125" style="243" hidden="1"/>
    <col min="15814" max="15814" width="9.5703125" style="243" hidden="1"/>
    <col min="15815" max="15815" width="11.85546875" style="243" hidden="1"/>
    <col min="15816" max="15816" width="10.42578125" style="243" hidden="1"/>
    <col min="15817" max="15817" width="10.28515625" style="243" hidden="1"/>
    <col min="15818" max="15818" width="10.85546875" style="243" hidden="1"/>
    <col min="15819" max="15819" width="9.140625" style="243" hidden="1"/>
    <col min="15820" max="15820" width="8.7109375" style="243" hidden="1"/>
    <col min="15821" max="15821" width="13.5703125" style="243" hidden="1"/>
    <col min="15822" max="15822" width="12.28515625" style="243" hidden="1"/>
    <col min="15823" max="15823" width="0.85546875" style="243" hidden="1"/>
    <col min="15824" max="15824" width="14" style="243" hidden="1"/>
    <col min="15825" max="15825" width="15.5703125" style="243" hidden="1"/>
    <col min="15826" max="15826" width="13.85546875" style="243" hidden="1"/>
    <col min="15827" max="15827" width="13.140625" style="243" hidden="1"/>
    <col min="15828" max="15828" width="9" style="243" hidden="1"/>
    <col min="15829" max="15829" width="13.140625" style="243" hidden="1"/>
    <col min="15830" max="15830" width="8.140625" style="243" hidden="1"/>
    <col min="15831" max="15831" width="5.7109375" style="243" hidden="1"/>
    <col min="15832" max="15832" width="24.5703125" style="243" hidden="1"/>
    <col min="15833" max="15833" width="13.85546875" style="243" hidden="1"/>
    <col min="15834" max="15834" width="13.5703125" style="243" hidden="1"/>
    <col min="15835" max="16066" width="8.140625" style="243" hidden="1"/>
    <col min="16067" max="16067" width="5.85546875" style="243" hidden="1"/>
    <col min="16068" max="16068" width="40.140625" style="243" hidden="1"/>
    <col min="16069" max="16069" width="1.5703125" style="243" hidden="1"/>
    <col min="16070" max="16070" width="9.5703125" style="243" hidden="1"/>
    <col min="16071" max="16071" width="11.85546875" style="243" hidden="1"/>
    <col min="16072" max="16072" width="10.42578125" style="243" hidden="1"/>
    <col min="16073" max="16073" width="10.28515625" style="243" hidden="1"/>
    <col min="16074" max="16074" width="10.85546875" style="243" hidden="1"/>
    <col min="16075" max="16075" width="9.140625" style="243" hidden="1"/>
    <col min="16076" max="16076" width="8.7109375" style="243" hidden="1"/>
    <col min="16077" max="16077" width="13.5703125" style="243" hidden="1"/>
    <col min="16078" max="16078" width="12.28515625" style="243" hidden="1"/>
    <col min="16079" max="16079" width="0.85546875" style="243" hidden="1"/>
    <col min="16080" max="16080" width="14" style="243" hidden="1"/>
    <col min="16081" max="16081" width="15.5703125" style="243" hidden="1"/>
    <col min="16082" max="16082" width="13.85546875" style="243" hidden="1"/>
    <col min="16083" max="16083" width="13.140625" style="243" hidden="1"/>
    <col min="16084" max="16084" width="9" style="243" hidden="1"/>
    <col min="16085" max="16085" width="13.140625" style="243" hidden="1"/>
    <col min="16086" max="16086" width="8.140625" style="243" hidden="1"/>
    <col min="16087" max="16087" width="5.7109375" style="243" hidden="1"/>
    <col min="16088" max="16088" width="24.5703125" style="243" hidden="1"/>
    <col min="16089" max="16089" width="13.85546875" style="243" hidden="1"/>
    <col min="16090" max="16090" width="13.5703125" style="243" hidden="1"/>
    <col min="16091" max="16384" width="8.140625" style="243" hidden="1"/>
  </cols>
  <sheetData>
    <row r="1" spans="1:17" s="215" customFormat="1" ht="3.95" customHeight="1">
      <c r="B1" s="266"/>
      <c r="C1" s="266"/>
      <c r="D1" s="266"/>
      <c r="E1" s="266"/>
      <c r="F1" s="266"/>
      <c r="J1" s="216"/>
      <c r="K1" s="217"/>
      <c r="L1" s="217"/>
      <c r="N1" s="267"/>
      <c r="P1" s="1276">
        <f>'5 - 5.1.2'!K36</f>
        <v>0</v>
      </c>
      <c r="Q1" s="218" t="e">
        <f>'5 - 5.1.2'!#REF!</f>
        <v>#REF!</v>
      </c>
    </row>
    <row r="2" spans="1:17">
      <c r="A2" s="268" t="str">
        <f>+'5 - 5.1.2'!$A$83&amp;".1"</f>
        <v>7.2.1</v>
      </c>
      <c r="B2" s="269" t="s">
        <v>1043</v>
      </c>
      <c r="C2" s="262"/>
      <c r="D2" s="262"/>
      <c r="E2" s="262"/>
      <c r="F2" s="262"/>
      <c r="G2" s="262"/>
      <c r="H2" s="262"/>
      <c r="I2" s="262"/>
      <c r="J2" s="262"/>
      <c r="K2" s="262"/>
      <c r="L2" s="262"/>
    </row>
    <row r="3" spans="1:17">
      <c r="A3" s="268"/>
      <c r="B3" s="269"/>
      <c r="C3" s="262"/>
      <c r="D3" s="262"/>
      <c r="E3" s="262"/>
      <c r="F3" s="262"/>
      <c r="G3" s="262"/>
      <c r="H3" s="262"/>
      <c r="I3" s="262"/>
      <c r="J3" s="262"/>
      <c r="K3" s="262"/>
      <c r="L3" s="262"/>
    </row>
    <row r="4" spans="1:17">
      <c r="A4" s="273"/>
      <c r="B4" s="274" t="s">
        <v>1044</v>
      </c>
      <c r="C4" s="262"/>
      <c r="D4" s="262"/>
      <c r="E4" s="262"/>
      <c r="F4" s="262"/>
      <c r="G4" s="262"/>
      <c r="H4" s="262"/>
      <c r="I4" s="262"/>
      <c r="J4" s="262"/>
      <c r="K4" s="262"/>
      <c r="L4" s="262"/>
    </row>
    <row r="5" spans="1:17">
      <c r="A5" s="273"/>
      <c r="B5" s="274"/>
      <c r="C5" s="262"/>
      <c r="D5" s="262"/>
      <c r="E5" s="262"/>
      <c r="F5" s="262"/>
      <c r="G5" s="262"/>
      <c r="H5" s="262"/>
      <c r="I5" s="262"/>
      <c r="J5" s="262"/>
      <c r="K5" s="262"/>
      <c r="L5" s="262"/>
    </row>
    <row r="6" spans="1:17" s="1283" customFormat="1" ht="15" customHeight="1">
      <c r="A6" s="1282"/>
      <c r="B6" s="1983" t="s">
        <v>1045</v>
      </c>
      <c r="C6" s="1982" t="s">
        <v>1046</v>
      </c>
      <c r="D6" s="1982"/>
      <c r="E6" s="1982"/>
      <c r="F6" s="1982"/>
      <c r="G6" s="1968" t="s">
        <v>1984</v>
      </c>
      <c r="H6" s="1969"/>
      <c r="I6" s="1970"/>
      <c r="J6" s="1979" t="s">
        <v>1021</v>
      </c>
      <c r="K6" s="1979" t="s">
        <v>1022</v>
      </c>
      <c r="L6" s="1979" t="s">
        <v>1047</v>
      </c>
    </row>
    <row r="7" spans="1:17" s="276" customFormat="1" ht="8.25" customHeight="1">
      <c r="A7" s="275"/>
      <c r="B7" s="1984"/>
      <c r="C7" s="1971" t="s">
        <v>1971</v>
      </c>
      <c r="D7" s="1971" t="s">
        <v>1972</v>
      </c>
      <c r="E7" s="1971" t="s">
        <v>1973</v>
      </c>
      <c r="F7" s="1971" t="s">
        <v>1974</v>
      </c>
      <c r="G7" s="1972" t="s">
        <v>1476</v>
      </c>
      <c r="H7" s="1972" t="s">
        <v>1478</v>
      </c>
      <c r="I7" s="1972" t="s">
        <v>1748</v>
      </c>
      <c r="J7" s="1980"/>
      <c r="K7" s="1980"/>
      <c r="L7" s="1980"/>
    </row>
    <row r="8" spans="1:17" s="276" customFormat="1" ht="17.25" customHeight="1">
      <c r="A8" s="275"/>
      <c r="B8" s="1984"/>
      <c r="C8" s="1971"/>
      <c r="D8" s="1971"/>
      <c r="E8" s="1971"/>
      <c r="F8" s="1971"/>
      <c r="G8" s="1973"/>
      <c r="H8" s="1973"/>
      <c r="I8" s="1973"/>
      <c r="J8" s="1980"/>
      <c r="K8" s="1980"/>
      <c r="L8" s="1980"/>
    </row>
    <row r="9" spans="1:17" s="276" customFormat="1" ht="12" customHeight="1">
      <c r="A9" s="275"/>
      <c r="B9" s="1984"/>
      <c r="C9" s="1971"/>
      <c r="D9" s="1971"/>
      <c r="E9" s="1971"/>
      <c r="F9" s="1971"/>
      <c r="G9" s="1973"/>
      <c r="H9" s="1973"/>
      <c r="I9" s="1973"/>
      <c r="J9" s="1980"/>
      <c r="K9" s="1980"/>
      <c r="L9" s="1980"/>
    </row>
    <row r="10" spans="1:17" s="276" customFormat="1" ht="8.25">
      <c r="A10" s="275"/>
      <c r="B10" s="1985"/>
      <c r="C10" s="1971"/>
      <c r="D10" s="1971"/>
      <c r="E10" s="1971"/>
      <c r="F10" s="1971"/>
      <c r="G10" s="1974"/>
      <c r="H10" s="1974"/>
      <c r="I10" s="1974"/>
      <c r="J10" s="1981"/>
      <c r="K10" s="1981"/>
      <c r="L10" s="1981"/>
    </row>
    <row r="11" spans="1:17" s="276" customFormat="1" ht="19.5" customHeight="1">
      <c r="A11" s="275"/>
      <c r="C11" s="1368"/>
      <c r="D11" s="1368"/>
      <c r="E11" s="1368"/>
      <c r="F11" s="1368"/>
      <c r="G11" s="2003" t="s">
        <v>1028</v>
      </c>
      <c r="H11" s="2004"/>
      <c r="I11" s="2004"/>
      <c r="J11" s="1986" t="s">
        <v>1501</v>
      </c>
      <c r="K11" s="1986"/>
      <c r="L11" s="1986"/>
    </row>
    <row r="12" spans="1:17" s="234" customFormat="1" ht="9.75">
      <c r="A12" s="1369"/>
      <c r="B12" s="1379" t="s">
        <v>1479</v>
      </c>
      <c r="C12" s="1375"/>
      <c r="D12" s="1372"/>
      <c r="E12" s="1372"/>
      <c r="F12" s="1375"/>
      <c r="G12" s="1371"/>
      <c r="H12" s="1371"/>
      <c r="I12" s="1376"/>
      <c r="J12" s="231"/>
      <c r="K12" s="231"/>
      <c r="L12" s="1378"/>
      <c r="P12" s="278"/>
      <c r="Q12" s="278"/>
    </row>
    <row r="13" spans="1:17" s="234" customFormat="1" ht="9.75">
      <c r="A13" s="1369"/>
      <c r="B13" s="1380" t="s">
        <v>1480</v>
      </c>
      <c r="C13" s="1375"/>
      <c r="D13" s="1372"/>
      <c r="E13" s="1372"/>
      <c r="F13" s="1375"/>
      <c r="G13" s="1371"/>
      <c r="H13" s="1371"/>
      <c r="I13" s="1376"/>
      <c r="J13" s="231"/>
      <c r="K13" s="231"/>
      <c r="L13" s="1378"/>
      <c r="P13" s="278"/>
      <c r="Q13" s="278"/>
    </row>
    <row r="14" spans="1:17" s="234" customFormat="1" ht="9.75">
      <c r="A14" s="1369"/>
      <c r="B14" s="1380"/>
      <c r="C14" s="1375"/>
      <c r="D14" s="1372"/>
      <c r="E14" s="1372"/>
      <c r="F14" s="1375"/>
      <c r="G14" s="1371"/>
      <c r="H14" s="1371"/>
      <c r="I14" s="1376"/>
      <c r="J14" s="231"/>
      <c r="K14" s="231"/>
      <c r="L14" s="1378"/>
      <c r="P14" s="278"/>
      <c r="Q14" s="278"/>
    </row>
    <row r="15" spans="1:17" s="234" customFormat="1" ht="9.75">
      <c r="A15" s="1369"/>
      <c r="B15" s="1374" t="s">
        <v>1057</v>
      </c>
      <c r="C15" s="1375"/>
      <c r="D15" s="1372"/>
      <c r="E15" s="1372"/>
      <c r="F15" s="1375"/>
      <c r="G15" s="1371"/>
      <c r="H15" s="1371"/>
      <c r="I15" s="1376"/>
      <c r="J15" s="231"/>
      <c r="K15" s="231"/>
      <c r="L15" s="1378"/>
      <c r="P15" s="278"/>
      <c r="Q15" s="278"/>
    </row>
    <row r="16" spans="1:17" s="234" customFormat="1" ht="9.75" customHeight="1">
      <c r="A16" s="1369"/>
      <c r="B16" s="1381" t="s">
        <v>1749</v>
      </c>
      <c r="C16" s="1375">
        <v>10000</v>
      </c>
      <c r="D16" s="1372">
        <v>0</v>
      </c>
      <c r="E16" s="1372">
        <v>0</v>
      </c>
      <c r="F16" s="1375">
        <f>C16+D16-E16</f>
        <v>10000</v>
      </c>
      <c r="G16" s="1371">
        <v>18743</v>
      </c>
      <c r="H16" s="1371">
        <v>18743</v>
      </c>
      <c r="I16" s="1376">
        <v>0</v>
      </c>
      <c r="J16" s="1376">
        <v>0</v>
      </c>
      <c r="K16" s="1376">
        <v>0</v>
      </c>
      <c r="L16" s="1376">
        <v>0</v>
      </c>
      <c r="P16" s="278"/>
      <c r="Q16" s="278"/>
    </row>
    <row r="17" spans="1:17" s="234" customFormat="1" ht="9.75">
      <c r="A17" s="1369"/>
      <c r="B17" s="1374"/>
      <c r="C17" s="1375"/>
      <c r="D17" s="1372"/>
      <c r="E17" s="1372"/>
      <c r="F17" s="1375"/>
      <c r="G17" s="1371"/>
      <c r="H17" s="1371"/>
      <c r="I17" s="1376"/>
      <c r="J17" s="231"/>
      <c r="K17" s="231"/>
      <c r="L17" s="1378"/>
      <c r="P17" s="278"/>
      <c r="Q17" s="278"/>
    </row>
    <row r="18" spans="1:17" s="234" customFormat="1" ht="9.75">
      <c r="A18" s="1369"/>
      <c r="B18" s="1370" t="s">
        <v>1049</v>
      </c>
      <c r="C18" s="1375"/>
      <c r="D18" s="1372"/>
      <c r="E18" s="1372"/>
      <c r="F18" s="1375"/>
      <c r="G18" s="1371"/>
      <c r="H18" s="1371"/>
      <c r="I18" s="1376"/>
      <c r="J18" s="231"/>
      <c r="K18" s="231"/>
      <c r="L18" s="1378"/>
      <c r="P18" s="278"/>
      <c r="Q18" s="278"/>
    </row>
    <row r="19" spans="1:17" s="234" customFormat="1" ht="9.75">
      <c r="A19" s="1369"/>
      <c r="B19" s="1370"/>
      <c r="C19" s="1375"/>
      <c r="D19" s="1372"/>
      <c r="E19" s="1372"/>
      <c r="F19" s="1375"/>
      <c r="G19" s="1371"/>
      <c r="H19" s="1371"/>
      <c r="I19" s="1376"/>
      <c r="J19" s="231"/>
      <c r="K19" s="231"/>
      <c r="L19" s="1378"/>
      <c r="P19" s="278"/>
      <c r="Q19" s="278"/>
    </row>
    <row r="20" spans="1:17" s="234" customFormat="1" ht="9.75">
      <c r="A20" s="1369"/>
      <c r="B20" s="1374" t="s">
        <v>1062</v>
      </c>
      <c r="C20" s="1375"/>
      <c r="D20" s="1372"/>
      <c r="E20" s="1372"/>
      <c r="F20" s="1375"/>
      <c r="G20" s="1371"/>
      <c r="H20" s="1371"/>
      <c r="I20" s="1376"/>
      <c r="J20" s="231"/>
      <c r="K20" s="231"/>
      <c r="L20" s="1378"/>
      <c r="P20" s="278"/>
      <c r="Q20" s="278"/>
    </row>
    <row r="21" spans="1:17" s="234" customFormat="1" ht="9.75">
      <c r="A21" s="1369"/>
      <c r="B21" s="1381" t="s">
        <v>1749</v>
      </c>
      <c r="C21" s="1375">
        <v>10000</v>
      </c>
      <c r="D21" s="1372">
        <v>0</v>
      </c>
      <c r="E21" s="1372">
        <v>0</v>
      </c>
      <c r="F21" s="1375">
        <f>C21+D21-E21</f>
        <v>10000</v>
      </c>
      <c r="G21" s="1371">
        <v>49940</v>
      </c>
      <c r="H21" s="1371">
        <v>49940</v>
      </c>
      <c r="I21" s="1376">
        <v>0</v>
      </c>
      <c r="J21" s="1376">
        <v>0</v>
      </c>
      <c r="K21" s="1376">
        <v>0</v>
      </c>
      <c r="L21" s="1376">
        <v>0</v>
      </c>
      <c r="P21" s="278"/>
      <c r="Q21" s="278"/>
    </row>
    <row r="22" spans="1:17" s="234" customFormat="1" ht="9.75">
      <c r="A22" s="1369"/>
      <c r="B22" s="1381"/>
      <c r="C22" s="1375"/>
      <c r="D22" s="1372"/>
      <c r="E22" s="1372"/>
      <c r="F22" s="1375"/>
      <c r="G22" s="1371"/>
      <c r="H22" s="1371"/>
      <c r="I22" s="1376"/>
      <c r="J22" s="231"/>
      <c r="K22" s="231"/>
      <c r="L22" s="1378"/>
      <c r="P22" s="278"/>
      <c r="Q22" s="278"/>
    </row>
    <row r="23" spans="1:17" s="234" customFormat="1" ht="9.75">
      <c r="A23" s="1369"/>
      <c r="B23" s="1370" t="s">
        <v>1050</v>
      </c>
      <c r="C23" s="1375"/>
      <c r="D23" s="1372"/>
      <c r="E23" s="1372"/>
      <c r="F23" s="1375"/>
      <c r="G23" s="1371"/>
      <c r="H23" s="1371"/>
      <c r="I23" s="1376"/>
      <c r="J23" s="231"/>
      <c r="K23" s="231"/>
      <c r="L23" s="1378"/>
      <c r="P23" s="278"/>
      <c r="Q23" s="278"/>
    </row>
    <row r="24" spans="1:17" s="234" customFormat="1" ht="9.75">
      <c r="A24" s="1369"/>
      <c r="B24" s="1370"/>
      <c r="C24" s="1375"/>
      <c r="D24" s="1372"/>
      <c r="E24" s="1372"/>
      <c r="F24" s="1375"/>
      <c r="G24" s="1371"/>
      <c r="H24" s="1371"/>
      <c r="I24" s="1376"/>
      <c r="J24" s="231"/>
      <c r="K24" s="231"/>
      <c r="L24" s="1378"/>
      <c r="P24" s="278"/>
      <c r="Q24" s="278"/>
    </row>
    <row r="25" spans="1:17" s="234" customFormat="1" ht="9.75">
      <c r="A25" s="1369"/>
      <c r="B25" s="1374" t="s">
        <v>1067</v>
      </c>
      <c r="C25" s="1375"/>
      <c r="D25" s="1372"/>
      <c r="E25" s="1372"/>
      <c r="F25" s="1375"/>
      <c r="G25" s="1371"/>
      <c r="H25" s="1371"/>
      <c r="I25" s="1376"/>
      <c r="J25" s="231"/>
      <c r="K25" s="231"/>
      <c r="L25" s="1378"/>
      <c r="P25" s="278"/>
      <c r="Q25" s="278"/>
    </row>
    <row r="26" spans="1:17" s="234" customFormat="1" ht="9.75">
      <c r="A26" s="1369"/>
      <c r="B26" s="1381" t="s">
        <v>1749</v>
      </c>
      <c r="C26" s="1375">
        <v>19975</v>
      </c>
      <c r="D26" s="1372">
        <v>0</v>
      </c>
      <c r="E26" s="1372">
        <v>0</v>
      </c>
      <c r="F26" s="1375">
        <f>C26+D26-E26</f>
        <v>19975</v>
      </c>
      <c r="G26" s="1371">
        <v>31088</v>
      </c>
      <c r="H26" s="1371">
        <v>31088</v>
      </c>
      <c r="I26" s="1376">
        <v>0</v>
      </c>
      <c r="J26" s="1376">
        <v>0</v>
      </c>
      <c r="K26" s="1376">
        <v>0</v>
      </c>
      <c r="L26" s="1376">
        <v>0</v>
      </c>
      <c r="P26" s="278"/>
      <c r="Q26" s="278"/>
    </row>
    <row r="27" spans="1:17" s="234" customFormat="1" ht="9.75">
      <c r="A27" s="1369"/>
      <c r="B27" s="1374"/>
      <c r="C27" s="1375"/>
      <c r="D27" s="1372"/>
      <c r="E27" s="1372"/>
      <c r="F27" s="1375"/>
      <c r="G27" s="1371"/>
      <c r="H27" s="1371"/>
      <c r="I27" s="1376"/>
      <c r="J27" s="1382"/>
      <c r="K27" s="1383"/>
      <c r="L27" s="1383"/>
    </row>
    <row r="28" spans="1:17" s="1008" customFormat="1" ht="21" customHeight="1" thickBot="1">
      <c r="A28" s="1384"/>
      <c r="B28" s="1385" t="str">
        <f>+'5 - 5.1.2'!B36</f>
        <v>Total as at September 30, 2021</v>
      </c>
      <c r="C28" s="1386"/>
      <c r="D28" s="1387"/>
      <c r="E28" s="1387"/>
      <c r="F28" s="1386"/>
      <c r="G28" s="1388">
        <f>(SUM(G12:G26))</f>
        <v>99771</v>
      </c>
      <c r="H28" s="1388">
        <f>(SUM(H12:H26))</f>
        <v>99771</v>
      </c>
      <c r="I28" s="1388">
        <f>(SUM(I12:I26))</f>
        <v>0</v>
      </c>
      <c r="J28" s="1389"/>
      <c r="K28" s="1389"/>
      <c r="L28" s="1389"/>
      <c r="O28" s="1277"/>
    </row>
    <row r="29" spans="1:17" s="234" customFormat="1" ht="14.25" customHeight="1" thickTop="1">
      <c r="A29" s="1369"/>
      <c r="B29" s="1390"/>
      <c r="C29" s="1391"/>
      <c r="D29" s="1391"/>
      <c r="E29" s="1391"/>
      <c r="F29" s="1391"/>
      <c r="G29" s="1373"/>
      <c r="H29" s="1373"/>
      <c r="I29" s="1373"/>
      <c r="J29" s="1392"/>
      <c r="K29" s="1393"/>
      <c r="L29" s="1393"/>
    </row>
    <row r="30" spans="1:17" s="1008" customFormat="1" ht="21" customHeight="1" thickBot="1">
      <c r="A30" s="1384"/>
      <c r="B30" s="1385" t="str">
        <f>+'5 - 5.1.2'!B38</f>
        <v>Total as at June 30, 2021</v>
      </c>
      <c r="C30" s="1394"/>
      <c r="D30" s="1387"/>
      <c r="E30" s="1387"/>
      <c r="F30" s="1394"/>
      <c r="G30" s="1395">
        <v>99771</v>
      </c>
      <c r="H30" s="1395">
        <v>99771</v>
      </c>
      <c r="I30" s="1396">
        <v>0</v>
      </c>
      <c r="J30" s="1397"/>
      <c r="K30" s="1398"/>
      <c r="L30" s="1399"/>
    </row>
    <row r="31" spans="1:17" s="1008" customFormat="1" ht="12.75" customHeight="1" thickTop="1">
      <c r="A31" s="1384"/>
      <c r="B31" s="1385"/>
      <c r="C31" s="1394"/>
      <c r="D31" s="1387"/>
      <c r="E31" s="1387"/>
      <c r="F31" s="1394"/>
      <c r="G31" s="1394"/>
      <c r="H31" s="1394"/>
      <c r="I31" s="1402"/>
      <c r="J31" s="1397"/>
      <c r="K31" s="1398"/>
      <c r="L31" s="1399"/>
    </row>
    <row r="32" spans="1:17" s="1008" customFormat="1" ht="12.75" customHeight="1">
      <c r="A32" s="1400" t="s">
        <v>1472</v>
      </c>
      <c r="B32" s="1401" t="s">
        <v>1650</v>
      </c>
      <c r="C32" s="1394"/>
      <c r="D32" s="1387"/>
      <c r="E32" s="1387"/>
      <c r="F32" s="1394"/>
      <c r="G32" s="1394"/>
      <c r="H32" s="1394"/>
      <c r="I32" s="1402"/>
      <c r="J32" s="1397"/>
      <c r="K32" s="1403"/>
      <c r="L32" s="1399"/>
    </row>
    <row r="33" spans="1:15" s="234" customFormat="1" ht="9.75" hidden="1">
      <c r="A33" s="1369"/>
      <c r="B33" s="1379" t="s">
        <v>1056</v>
      </c>
      <c r="C33" s="1418"/>
      <c r="D33" s="1419"/>
      <c r="E33" s="1420"/>
      <c r="F33" s="1420"/>
      <c r="G33" s="1420"/>
      <c r="H33" s="1421"/>
      <c r="I33" s="1421"/>
      <c r="J33" s="1422"/>
      <c r="K33" s="1422"/>
      <c r="L33" s="280"/>
      <c r="M33" s="280"/>
    </row>
    <row r="34" spans="1:15" s="234" customFormat="1" ht="9.75" hidden="1">
      <c r="A34" s="1369"/>
      <c r="B34" s="1374" t="s">
        <v>1057</v>
      </c>
      <c r="C34" s="1418"/>
      <c r="D34" s="1419"/>
      <c r="E34" s="1976" t="s">
        <v>1058</v>
      </c>
      <c r="F34" s="1976"/>
      <c r="G34" s="1976"/>
      <c r="H34" s="1977" t="s">
        <v>1059</v>
      </c>
      <c r="I34" s="1977"/>
      <c r="J34" s="1996" t="s">
        <v>1060</v>
      </c>
      <c r="K34" s="1996"/>
      <c r="L34" s="280" t="s">
        <v>1061</v>
      </c>
      <c r="M34" s="280"/>
    </row>
    <row r="35" spans="1:15" s="234" customFormat="1" ht="3.95" hidden="1" customHeight="1">
      <c r="A35" s="1369"/>
      <c r="B35" s="1423"/>
      <c r="C35" s="1418"/>
      <c r="D35" s="1419"/>
      <c r="E35" s="1420"/>
      <c r="F35" s="1420"/>
      <c r="G35" s="1420"/>
      <c r="H35" s="1421"/>
      <c r="I35" s="1421"/>
      <c r="J35" s="1422"/>
      <c r="K35" s="1422"/>
      <c r="L35" s="280"/>
      <c r="M35" s="280"/>
    </row>
    <row r="36" spans="1:15" s="234" customFormat="1" ht="9.75" hidden="1">
      <c r="A36" s="1369"/>
      <c r="B36" s="1370" t="s">
        <v>1049</v>
      </c>
      <c r="C36" s="1418"/>
      <c r="D36" s="1419"/>
      <c r="E36" s="1420"/>
      <c r="F36" s="1420"/>
      <c r="G36" s="1420"/>
      <c r="H36" s="1421"/>
      <c r="I36" s="1421"/>
      <c r="J36" s="1422"/>
      <c r="K36" s="1422"/>
      <c r="L36" s="280"/>
      <c r="M36" s="280"/>
    </row>
    <row r="37" spans="1:15" s="234" customFormat="1" ht="9.75" hidden="1">
      <c r="A37" s="1369"/>
      <c r="B37" s="1374" t="s">
        <v>1062</v>
      </c>
      <c r="C37" s="1418"/>
      <c r="D37" s="1419"/>
      <c r="E37" s="1976" t="s">
        <v>1063</v>
      </c>
      <c r="F37" s="1976"/>
      <c r="G37" s="1976"/>
      <c r="H37" s="1977" t="s">
        <v>1064</v>
      </c>
      <c r="I37" s="1977"/>
      <c r="J37" s="1977" t="s">
        <v>1065</v>
      </c>
      <c r="K37" s="1977"/>
      <c r="L37" s="280" t="s">
        <v>1066</v>
      </c>
      <c r="M37" s="280"/>
    </row>
    <row r="38" spans="1:15" s="234" customFormat="1" ht="3.95" hidden="1" customHeight="1">
      <c r="A38" s="1369"/>
      <c r="B38" s="1423"/>
      <c r="C38" s="1418"/>
      <c r="D38" s="1419"/>
      <c r="E38" s="1420"/>
      <c r="F38" s="1420"/>
      <c r="G38" s="1420"/>
      <c r="H38" s="1421"/>
      <c r="I38" s="1421"/>
      <c r="J38" s="1422"/>
      <c r="K38" s="1422"/>
      <c r="L38" s="280"/>
      <c r="M38" s="280"/>
    </row>
    <row r="39" spans="1:15" s="234" customFormat="1" ht="9.75" hidden="1">
      <c r="A39" s="1369"/>
      <c r="B39" s="1370" t="s">
        <v>1050</v>
      </c>
      <c r="C39" s="1418"/>
      <c r="D39" s="1419"/>
      <c r="E39" s="1420"/>
      <c r="F39" s="1420"/>
      <c r="G39" s="1420"/>
      <c r="H39" s="1421"/>
      <c r="I39" s="1421"/>
      <c r="J39" s="1422"/>
      <c r="K39" s="1422"/>
      <c r="L39" s="280"/>
      <c r="M39" s="280"/>
    </row>
    <row r="40" spans="1:15" s="234" customFormat="1" ht="9.75" hidden="1">
      <c r="A40" s="1369"/>
      <c r="B40" s="1374" t="s">
        <v>1067</v>
      </c>
      <c r="C40" s="1418"/>
      <c r="D40" s="1419"/>
      <c r="E40" s="1976" t="s">
        <v>1068</v>
      </c>
      <c r="F40" s="1976"/>
      <c r="G40" s="1976"/>
      <c r="H40" s="1977" t="s">
        <v>1069</v>
      </c>
      <c r="I40" s="1977"/>
      <c r="J40" s="1977" t="s">
        <v>1070</v>
      </c>
      <c r="K40" s="1977"/>
      <c r="L40" s="280" t="s">
        <v>1071</v>
      </c>
      <c r="M40" s="280"/>
    </row>
    <row r="41" spans="1:15" s="234" customFormat="1" ht="21" customHeight="1">
      <c r="A41" s="1369"/>
      <c r="B41" s="1374"/>
      <c r="C41" s="1418"/>
      <c r="D41" s="1419"/>
      <c r="E41" s="1420"/>
      <c r="F41" s="1420"/>
      <c r="G41" s="1420"/>
      <c r="H41" s="1421"/>
      <c r="I41" s="1421"/>
      <c r="J41" s="1421"/>
      <c r="K41" s="1421"/>
      <c r="L41" s="280"/>
      <c r="M41" s="280"/>
    </row>
    <row r="42" spans="1:15" s="271" customFormat="1" hidden="1">
      <c r="A42" s="268" t="str">
        <f>+'5 - 5.1.2'!$A$83&amp;".3"</f>
        <v>7.2.3</v>
      </c>
      <c r="B42" s="1987" t="s">
        <v>1317</v>
      </c>
      <c r="C42" s="1987"/>
      <c r="D42" s="1987"/>
      <c r="E42" s="1987"/>
      <c r="F42" s="1987"/>
      <c r="G42" s="1987"/>
      <c r="H42" s="1987"/>
      <c r="I42" s="1987"/>
      <c r="J42" s="1987"/>
      <c r="K42" s="1987"/>
      <c r="L42" s="1987"/>
      <c r="M42" s="243"/>
      <c r="O42" s="243"/>
    </row>
    <row r="43" spans="1:15" hidden="1">
      <c r="B43" s="1987"/>
      <c r="C43" s="1987"/>
      <c r="D43" s="1987"/>
      <c r="E43" s="1987"/>
      <c r="F43" s="1987"/>
      <c r="G43" s="1987"/>
      <c r="H43" s="1987"/>
      <c r="I43" s="1987"/>
      <c r="J43" s="1987"/>
      <c r="K43" s="1987"/>
      <c r="L43" s="1987"/>
    </row>
    <row r="44" spans="1:15" hidden="1">
      <c r="A44" s="1424" t="str">
        <f>+'5 - 5.1.2'!$A$83&amp;".3"</f>
        <v>7.2.3</v>
      </c>
      <c r="B44" s="1987" t="s">
        <v>1293</v>
      </c>
      <c r="C44" s="1987"/>
      <c r="D44" s="1987"/>
      <c r="E44" s="1987"/>
      <c r="F44" s="1987"/>
      <c r="G44" s="1987"/>
      <c r="H44" s="1987"/>
      <c r="I44" s="1987"/>
      <c r="J44" s="1987"/>
      <c r="K44" s="1987"/>
      <c r="L44" s="1987"/>
    </row>
    <row r="45" spans="1:15" hidden="1">
      <c r="B45" s="1987"/>
      <c r="C45" s="1987"/>
      <c r="D45" s="1987"/>
      <c r="E45" s="1987"/>
      <c r="F45" s="1987"/>
      <c r="G45" s="1987"/>
      <c r="H45" s="1987"/>
      <c r="I45" s="1987"/>
      <c r="J45" s="1987"/>
      <c r="K45" s="1987"/>
      <c r="L45" s="1987"/>
    </row>
    <row r="46" spans="1:15" hidden="1">
      <c r="B46" s="1987"/>
      <c r="C46" s="1987"/>
      <c r="D46" s="1987"/>
      <c r="E46" s="1987"/>
      <c r="F46" s="1987"/>
      <c r="G46" s="1987"/>
      <c r="H46" s="1987"/>
      <c r="I46" s="1987"/>
      <c r="J46" s="1987"/>
      <c r="K46" s="1987"/>
      <c r="L46" s="1987"/>
    </row>
    <row r="47" spans="1:15" hidden="1">
      <c r="B47" s="1987"/>
      <c r="C47" s="1987"/>
      <c r="D47" s="1987"/>
      <c r="E47" s="1987"/>
      <c r="F47" s="1987"/>
      <c r="G47" s="1987"/>
      <c r="H47" s="1987"/>
      <c r="I47" s="1987"/>
      <c r="J47" s="1987"/>
      <c r="K47" s="1987"/>
      <c r="L47" s="1987"/>
    </row>
    <row r="48" spans="1:15" hidden="1"/>
    <row r="49" spans="1:17">
      <c r="A49" s="1425" t="s">
        <v>2101</v>
      </c>
      <c r="B49" s="1426" t="s">
        <v>1985</v>
      </c>
      <c r="C49" s="262"/>
      <c r="D49" s="262"/>
      <c r="E49" s="262"/>
      <c r="F49" s="262"/>
      <c r="G49" s="262"/>
      <c r="H49" s="262"/>
      <c r="I49" s="262"/>
      <c r="J49" s="262"/>
      <c r="K49" s="262"/>
      <c r="L49" s="262"/>
    </row>
    <row r="50" spans="1:17">
      <c r="A50" s="1425"/>
      <c r="B50" s="1426"/>
      <c r="C50" s="262"/>
      <c r="D50" s="262"/>
      <c r="E50" s="262"/>
      <c r="F50" s="262"/>
      <c r="G50" s="262"/>
      <c r="H50" s="262"/>
      <c r="I50" s="262"/>
      <c r="J50" s="262"/>
      <c r="K50" s="262"/>
      <c r="L50" s="262"/>
    </row>
    <row r="51" spans="1:17">
      <c r="A51" s="273"/>
      <c r="B51" s="274" t="s">
        <v>1072</v>
      </c>
      <c r="C51" s="262"/>
      <c r="D51" s="262"/>
      <c r="E51" s="262"/>
      <c r="F51" s="262"/>
      <c r="G51" s="262"/>
      <c r="H51" s="262"/>
      <c r="I51" s="262"/>
      <c r="J51" s="262"/>
      <c r="K51" s="262"/>
      <c r="L51" s="262"/>
    </row>
    <row r="52" spans="1:17">
      <c r="A52" s="273"/>
      <c r="B52" s="274"/>
      <c r="C52" s="262"/>
      <c r="D52" s="262"/>
      <c r="E52" s="262"/>
      <c r="F52" s="262"/>
      <c r="G52" s="262"/>
      <c r="H52" s="262"/>
      <c r="I52" s="262"/>
      <c r="J52" s="262"/>
      <c r="K52" s="262"/>
      <c r="L52" s="262"/>
    </row>
    <row r="53" spans="1:17" s="1010" customFormat="1" ht="15" customHeight="1">
      <c r="A53" s="1427"/>
      <c r="B53" s="1983" t="s">
        <v>1045</v>
      </c>
      <c r="C53" s="1982" t="s">
        <v>1046</v>
      </c>
      <c r="D53" s="1982"/>
      <c r="E53" s="1982"/>
      <c r="F53" s="1982"/>
      <c r="G53" s="1968" t="s">
        <v>1974</v>
      </c>
      <c r="H53" s="1969"/>
      <c r="I53" s="1970"/>
      <c r="J53" s="1979" t="s">
        <v>1021</v>
      </c>
      <c r="K53" s="1979" t="s">
        <v>1022</v>
      </c>
      <c r="L53" s="1979" t="s">
        <v>1047</v>
      </c>
      <c r="N53" s="1014"/>
      <c r="P53" s="1014"/>
    </row>
    <row r="54" spans="1:17" ht="8.1" customHeight="1">
      <c r="A54" s="273"/>
      <c r="B54" s="1984"/>
      <c r="C54" s="1971" t="s">
        <v>1971</v>
      </c>
      <c r="D54" s="1971" t="s">
        <v>1972</v>
      </c>
      <c r="E54" s="1971" t="s">
        <v>1973</v>
      </c>
      <c r="F54" s="1971" t="s">
        <v>1974</v>
      </c>
      <c r="G54" s="1972" t="s">
        <v>1476</v>
      </c>
      <c r="H54" s="1972" t="s">
        <v>1478</v>
      </c>
      <c r="I54" s="1972" t="s">
        <v>1432</v>
      </c>
      <c r="J54" s="1980"/>
      <c r="K54" s="1980"/>
      <c r="L54" s="1980"/>
    </row>
    <row r="55" spans="1:17" ht="16.5" customHeight="1">
      <c r="A55" s="273"/>
      <c r="B55" s="1984"/>
      <c r="C55" s="1971"/>
      <c r="D55" s="1971"/>
      <c r="E55" s="1971"/>
      <c r="F55" s="1971"/>
      <c r="G55" s="1973"/>
      <c r="H55" s="1973"/>
      <c r="I55" s="1973"/>
      <c r="J55" s="1980"/>
      <c r="K55" s="1980"/>
      <c r="L55" s="1980"/>
    </row>
    <row r="56" spans="1:17" ht="11.25" customHeight="1">
      <c r="A56" s="273"/>
      <c r="B56" s="1984"/>
      <c r="C56" s="1971"/>
      <c r="D56" s="1971"/>
      <c r="E56" s="1971"/>
      <c r="F56" s="1971"/>
      <c r="G56" s="1973"/>
      <c r="H56" s="1973"/>
      <c r="I56" s="1973"/>
      <c r="J56" s="1980"/>
      <c r="K56" s="1980"/>
      <c r="L56" s="1980"/>
    </row>
    <row r="57" spans="1:17" ht="8.1" customHeight="1">
      <c r="A57" s="273"/>
      <c r="B57" s="1984"/>
      <c r="C57" s="1971"/>
      <c r="D57" s="1971"/>
      <c r="E57" s="1971"/>
      <c r="F57" s="1971"/>
      <c r="G57" s="1973"/>
      <c r="H57" s="1973"/>
      <c r="I57" s="1973"/>
      <c r="J57" s="1980"/>
      <c r="K57" s="1980"/>
      <c r="L57" s="1980"/>
    </row>
    <row r="58" spans="1:17" ht="8.1" customHeight="1">
      <c r="A58" s="273"/>
      <c r="B58" s="1985"/>
      <c r="C58" s="1971"/>
      <c r="D58" s="1971"/>
      <c r="E58" s="1971"/>
      <c r="F58" s="1971"/>
      <c r="G58" s="1974"/>
      <c r="H58" s="1974"/>
      <c r="I58" s="1974"/>
      <c r="J58" s="1981"/>
      <c r="K58" s="1981"/>
      <c r="L58" s="1981"/>
    </row>
    <row r="59" spans="1:17" s="276" customFormat="1" ht="13.5" customHeight="1">
      <c r="A59" s="275"/>
      <c r="C59" s="1368"/>
      <c r="D59" s="1368"/>
      <c r="E59" s="1368"/>
      <c r="F59" s="1368"/>
      <c r="G59" s="2003" t="s">
        <v>1028</v>
      </c>
      <c r="H59" s="2003"/>
      <c r="I59" s="2003"/>
      <c r="J59" s="1967" t="s">
        <v>1501</v>
      </c>
      <c r="K59" s="1967"/>
      <c r="L59" s="1967"/>
    </row>
    <row r="60" spans="1:17" s="234" customFormat="1" ht="9.75">
      <c r="A60" s="1428"/>
      <c r="B60" s="1429" t="s">
        <v>1073</v>
      </c>
      <c r="M60" s="1279" t="e">
        <f>#REF!+#REF!</f>
        <v>#REF!</v>
      </c>
      <c r="N60" s="234" t="s">
        <v>1074</v>
      </c>
    </row>
    <row r="61" spans="1:17" s="234" customFormat="1" ht="9.75">
      <c r="A61" s="1428"/>
      <c r="B61" s="1429"/>
      <c r="M61" s="1279"/>
    </row>
    <row r="62" spans="1:17" s="234" customFormat="1" ht="9.75">
      <c r="A62" s="1428"/>
      <c r="B62" s="1374" t="s">
        <v>1758</v>
      </c>
      <c r="C62" s="1375">
        <v>30</v>
      </c>
      <c r="D62" s="1372">
        <v>0</v>
      </c>
      <c r="E62" s="1372">
        <v>0</v>
      </c>
      <c r="F62" s="1375">
        <f>C62+D62-E62</f>
        <v>30</v>
      </c>
      <c r="G62" s="1371">
        <f>29693370/1000</f>
        <v>29693.37</v>
      </c>
      <c r="H62" s="1371">
        <f>29992980/1000</f>
        <v>29992.98</v>
      </c>
      <c r="I62" s="1376">
        <f>H62-G62</f>
        <v>299.61000000000058</v>
      </c>
      <c r="J62" s="1377">
        <f>ROUND(H62/SOAL!$F$31,4)*100</f>
        <v>0.36</v>
      </c>
      <c r="K62" s="1377">
        <f>ROUND(H62/SOAL!$F$12,4)*100</f>
        <v>0.72</v>
      </c>
      <c r="L62" s="1377">
        <f>H62/4000000*100</f>
        <v>0.7498245</v>
      </c>
      <c r="N62" s="282"/>
      <c r="P62" s="278"/>
      <c r="Q62" s="278"/>
    </row>
    <row r="63" spans="1:17" s="234" customFormat="1" ht="11.85" customHeight="1">
      <c r="B63" s="1391" t="s">
        <v>1294</v>
      </c>
      <c r="C63" s="1375">
        <v>880</v>
      </c>
      <c r="D63" s="1372">
        <v>850</v>
      </c>
      <c r="E63" s="1372">
        <v>0</v>
      </c>
      <c r="F63" s="1375">
        <f>C63+D63-E63</f>
        <v>1730</v>
      </c>
      <c r="G63" s="1371">
        <f>172770426.4/1000</f>
        <v>172770.4264</v>
      </c>
      <c r="H63" s="1371">
        <f>173093922.738/1000</f>
        <v>173093.92273799999</v>
      </c>
      <c r="I63" s="1376">
        <f>H63-G63</f>
        <v>323.49633799999719</v>
      </c>
      <c r="J63" s="1377">
        <f>ROUND(H63/SOAL!$F$31,4)*100</f>
        <v>2.0699999999999998</v>
      </c>
      <c r="K63" s="1377">
        <f>ROUND(H63/SOAL!$F$12,4)*100</f>
        <v>4.1300000000000008</v>
      </c>
      <c r="L63" s="1377">
        <f>H63/4200000*100</f>
        <v>4.1212838747142859</v>
      </c>
      <c r="N63" s="282"/>
      <c r="P63" s="278"/>
      <c r="Q63" s="278"/>
    </row>
    <row r="64" spans="1:17" s="234" customFormat="1" ht="9.75">
      <c r="A64" s="1428"/>
      <c r="B64" s="1391" t="s">
        <v>1294</v>
      </c>
      <c r="C64" s="1375">
        <v>0</v>
      </c>
      <c r="D64" s="1372">
        <v>850</v>
      </c>
      <c r="E64" s="1372">
        <v>850</v>
      </c>
      <c r="F64" s="1375">
        <f>C64+D64-E64</f>
        <v>0</v>
      </c>
      <c r="G64" s="1371"/>
      <c r="H64" s="1371"/>
      <c r="I64" s="1376"/>
      <c r="J64" s="1377"/>
      <c r="K64" s="1377"/>
      <c r="L64" s="1377"/>
      <c r="N64" s="282"/>
      <c r="P64" s="278"/>
      <c r="Q64" s="278"/>
    </row>
    <row r="65" spans="1:17" s="234" customFormat="1" ht="3.95" customHeight="1">
      <c r="A65" s="1428"/>
      <c r="B65" s="1430"/>
      <c r="C65" s="1431"/>
      <c r="D65" s="1387"/>
      <c r="E65" s="1387"/>
      <c r="F65" s="1386"/>
      <c r="G65" s="1432"/>
      <c r="H65" s="1432"/>
      <c r="I65" s="1433"/>
      <c r="J65" s="1434"/>
      <c r="K65" s="1434"/>
      <c r="L65" s="1434"/>
    </row>
    <row r="66" spans="1:17" s="234" customFormat="1" ht="9.75">
      <c r="A66" s="1428"/>
      <c r="B66" s="1379" t="s">
        <v>1479</v>
      </c>
      <c r="C66" s="1431"/>
      <c r="D66" s="1387"/>
      <c r="E66" s="1387"/>
      <c r="F66" s="1386"/>
      <c r="G66" s="1432"/>
      <c r="H66" s="1432"/>
      <c r="I66" s="1433"/>
      <c r="J66" s="1434"/>
      <c r="K66" s="1434"/>
      <c r="L66" s="1434"/>
    </row>
    <row r="67" spans="1:17" s="234" customFormat="1" ht="9.75">
      <c r="A67" s="1428"/>
      <c r="B67" s="1380" t="s">
        <v>1480</v>
      </c>
      <c r="C67" s="1431"/>
      <c r="D67" s="1387"/>
      <c r="E67" s="1387"/>
      <c r="F67" s="1386"/>
      <c r="G67" s="1432"/>
      <c r="H67" s="1432"/>
      <c r="I67" s="1433"/>
      <c r="J67" s="1434"/>
      <c r="K67" s="1434"/>
      <c r="L67" s="1434"/>
    </row>
    <row r="68" spans="1:17" s="234" customFormat="1" ht="9.75">
      <c r="A68" s="1428"/>
      <c r="B68" s="1380"/>
      <c r="C68" s="1431"/>
      <c r="D68" s="1387"/>
      <c r="E68" s="1387"/>
      <c r="F68" s="1386"/>
      <c r="G68" s="1432"/>
      <c r="H68" s="1432"/>
      <c r="I68" s="1433"/>
      <c r="J68" s="1434"/>
      <c r="K68" s="1434"/>
      <c r="L68" s="1434"/>
    </row>
    <row r="69" spans="1:17" s="234" customFormat="1" ht="9.75">
      <c r="A69" s="1428"/>
      <c r="B69" s="1374" t="s">
        <v>1076</v>
      </c>
      <c r="C69" s="1375">
        <v>22000</v>
      </c>
      <c r="D69" s="1372">
        <v>0</v>
      </c>
      <c r="E69" s="1372">
        <v>0</v>
      </c>
      <c r="F69" s="1375">
        <f>C69+D69-E69</f>
        <v>22000</v>
      </c>
      <c r="G69" s="1394">
        <f>72847419.8456901/1000</f>
        <v>72847.419845690107</v>
      </c>
      <c r="H69" s="1394">
        <f>72989311.8730092/1000</f>
        <v>72989.31187300921</v>
      </c>
      <c r="I69" s="1376">
        <f>H69-G69</f>
        <v>141.89202731910336</v>
      </c>
      <c r="J69" s="1377">
        <f>ROUND(H69/SOAL!$F$31,4)*100</f>
        <v>0.86999999999999988</v>
      </c>
      <c r="K69" s="1377">
        <f>ROUND(H69/SOAL!$F$12,4)*100</f>
        <v>1.7399999999999998</v>
      </c>
      <c r="L69" s="1377">
        <f>F69/1500000*100</f>
        <v>1.4666666666666666</v>
      </c>
      <c r="M69" s="1280">
        <v>45080</v>
      </c>
      <c r="N69" s="282" t="s">
        <v>1048</v>
      </c>
      <c r="O69" s="234" t="s">
        <v>1075</v>
      </c>
      <c r="P69" s="278">
        <v>1500000000</v>
      </c>
      <c r="Q69" s="278">
        <f>P69/1000</f>
        <v>1500000</v>
      </c>
    </row>
    <row r="70" spans="1:17" s="234" customFormat="1" ht="9.75">
      <c r="A70" s="1428"/>
      <c r="B70" s="1430"/>
      <c r="C70" s="1431"/>
      <c r="D70" s="1387"/>
      <c r="E70" s="1387"/>
      <c r="F70" s="1386"/>
      <c r="G70" s="1386"/>
      <c r="H70" s="1386"/>
      <c r="I70" s="1435"/>
      <c r="J70" s="1436"/>
      <c r="K70" s="1436"/>
      <c r="L70" s="1436"/>
    </row>
    <row r="71" spans="1:17" s="1008" customFormat="1" ht="21" customHeight="1" thickBot="1">
      <c r="A71" s="1437"/>
      <c r="B71" s="1429" t="s">
        <v>1975</v>
      </c>
      <c r="C71" s="1438"/>
      <c r="D71" s="1438"/>
      <c r="E71" s="1438"/>
      <c r="F71" s="1438"/>
      <c r="G71" s="1439">
        <f>(SUM(G62:G69))</f>
        <v>275311.21624569013</v>
      </c>
      <c r="H71" s="1439">
        <f>(SUM(H62:H69))</f>
        <v>276076.21461100923</v>
      </c>
      <c r="I71" s="1439">
        <f>(SUM(I62:I69))</f>
        <v>764.99836531910114</v>
      </c>
      <c r="J71" s="1440"/>
      <c r="K71" s="1440"/>
      <c r="L71" s="1441"/>
    </row>
    <row r="72" spans="1:17" s="234" customFormat="1" ht="10.5" thickTop="1">
      <c r="A72" s="1428"/>
      <c r="B72" s="1430"/>
      <c r="C72" s="1431"/>
      <c r="D72" s="1387"/>
      <c r="E72" s="1387"/>
      <c r="F72" s="1386"/>
      <c r="G72" s="1386"/>
      <c r="H72" s="1386"/>
      <c r="I72" s="1435"/>
      <c r="J72" s="1436"/>
      <c r="K72" s="1436"/>
      <c r="L72" s="1436"/>
    </row>
    <row r="73" spans="1:17" s="1008" customFormat="1" ht="21" customHeight="1" thickBot="1">
      <c r="A73" s="1437"/>
      <c r="B73" s="1385" t="str">
        <f>B30</f>
        <v>Total as at June 30, 2021</v>
      </c>
      <c r="C73" s="1394"/>
      <c r="D73" s="1394"/>
      <c r="E73" s="1394"/>
      <c r="F73" s="1394"/>
      <c r="G73" s="1395">
        <v>204163</v>
      </c>
      <c r="H73" s="1395">
        <v>204992</v>
      </c>
      <c r="I73" s="1395">
        <v>829</v>
      </c>
      <c r="J73" s="1436"/>
      <c r="K73" s="1436"/>
      <c r="L73" s="1440"/>
    </row>
    <row r="74" spans="1:17" s="234" customFormat="1" ht="10.5" thickTop="1">
      <c r="A74" s="1428"/>
      <c r="B74" s="1385"/>
      <c r="C74" s="1394"/>
      <c r="D74" s="1394"/>
      <c r="E74" s="1394"/>
      <c r="F74" s="1394"/>
      <c r="G74" s="1394"/>
      <c r="H74" s="1394"/>
      <c r="I74" s="1394"/>
      <c r="J74" s="1442"/>
      <c r="K74" s="1442"/>
      <c r="L74" s="1442"/>
    </row>
    <row r="75" spans="1:17" s="234" customFormat="1" ht="9.75">
      <c r="A75" s="1428"/>
      <c r="B75" s="1443"/>
      <c r="C75" s="1394"/>
      <c r="D75" s="1394"/>
      <c r="E75" s="1394"/>
      <c r="F75" s="1394"/>
      <c r="G75" s="1394"/>
      <c r="H75" s="1394"/>
      <c r="I75" s="1394"/>
      <c r="J75" s="1442"/>
      <c r="K75" s="1442"/>
      <c r="L75" s="1442"/>
    </row>
    <row r="76" spans="1:17">
      <c r="A76" s="268" t="str">
        <f>+$A$49&amp;".1"</f>
        <v>7.3.1</v>
      </c>
      <c r="B76" s="1401" t="s">
        <v>1986</v>
      </c>
      <c r="C76" s="1401"/>
      <c r="D76" s="1401"/>
      <c r="E76" s="1401"/>
      <c r="F76" s="1401"/>
      <c r="G76" s="1401"/>
      <c r="H76" s="1401"/>
      <c r="I76" s="1401"/>
      <c r="J76" s="1401"/>
      <c r="K76" s="262"/>
      <c r="L76" s="262"/>
    </row>
    <row r="77" spans="1:17">
      <c r="A77" s="1404"/>
      <c r="B77" s="1401"/>
      <c r="C77" s="1401"/>
      <c r="D77" s="1401"/>
      <c r="E77" s="1401"/>
      <c r="F77" s="1401"/>
      <c r="G77" s="1401"/>
      <c r="H77" s="1401"/>
      <c r="I77" s="1401"/>
      <c r="J77" s="1401"/>
      <c r="K77" s="262"/>
      <c r="L77" s="262"/>
    </row>
    <row r="78" spans="1:17" s="1008" customFormat="1" ht="15" customHeight="1">
      <c r="A78" s="1444"/>
      <c r="B78" s="1445" t="s">
        <v>1051</v>
      </c>
      <c r="C78" s="1446"/>
      <c r="D78" s="1447"/>
      <c r="E78" s="1988" t="s">
        <v>1052</v>
      </c>
      <c r="F78" s="1989"/>
      <c r="G78" s="1990"/>
      <c r="H78" s="1991" t="s">
        <v>1032</v>
      </c>
      <c r="I78" s="1992"/>
      <c r="J78" s="1993" t="s">
        <v>1053</v>
      </c>
      <c r="K78" s="1994"/>
      <c r="L78" s="1448" t="s">
        <v>1054</v>
      </c>
    </row>
    <row r="79" spans="1:17" s="234" customFormat="1" ht="9.75">
      <c r="A79" s="1449"/>
      <c r="B79" s="1450"/>
      <c r="C79" s="1450"/>
      <c r="D79" s="1450"/>
      <c r="E79" s="1450"/>
      <c r="F79" s="1450"/>
      <c r="G79" s="1450"/>
      <c r="H79" s="1995"/>
      <c r="I79" s="1995"/>
      <c r="J79" s="1975"/>
      <c r="K79" s="1975"/>
      <c r="L79" s="1450"/>
    </row>
    <row r="80" spans="1:17" s="234" customFormat="1" ht="9.75">
      <c r="A80" s="1449"/>
      <c r="B80" s="1429" t="s">
        <v>1073</v>
      </c>
      <c r="C80" s="1429"/>
      <c r="D80" s="1450"/>
      <c r="E80" s="1450"/>
      <c r="F80" s="1450"/>
      <c r="G80" s="1450"/>
      <c r="H80" s="1975"/>
      <c r="I80" s="1975"/>
      <c r="J80" s="1975"/>
      <c r="K80" s="1975"/>
      <c r="L80" s="1450"/>
    </row>
    <row r="81" spans="1:17" s="234" customFormat="1" ht="9.75">
      <c r="A81" s="1449"/>
      <c r="B81" s="1374" t="s">
        <v>1758</v>
      </c>
      <c r="C81" s="1374"/>
      <c r="D81" s="1450"/>
      <c r="E81" s="1976" t="s">
        <v>1751</v>
      </c>
      <c r="F81" s="1976"/>
      <c r="G81" s="1976"/>
      <c r="H81" s="1977" t="s">
        <v>1752</v>
      </c>
      <c r="I81" s="1977"/>
      <c r="J81" s="1977" t="s">
        <v>1753</v>
      </c>
      <c r="K81" s="1977"/>
      <c r="L81" s="280" t="s">
        <v>766</v>
      </c>
      <c r="M81" s="1281"/>
      <c r="N81" s="282"/>
      <c r="O81" s="282"/>
      <c r="P81" s="761"/>
      <c r="Q81" s="1278"/>
    </row>
    <row r="82" spans="1:17" s="271" customFormat="1" ht="9">
      <c r="A82" s="283"/>
      <c r="B82" s="1391" t="s">
        <v>1294</v>
      </c>
      <c r="C82" s="283"/>
      <c r="D82" s="283"/>
      <c r="E82" s="1976" t="s">
        <v>1055</v>
      </c>
      <c r="F82" s="1975"/>
      <c r="G82" s="1975"/>
      <c r="H82" s="1965" t="s">
        <v>1295</v>
      </c>
      <c r="I82" s="1965"/>
      <c r="J82" s="1965" t="s">
        <v>1296</v>
      </c>
      <c r="K82" s="1965"/>
      <c r="L82" s="284" t="s">
        <v>1077</v>
      </c>
      <c r="M82" s="283"/>
      <c r="P82" s="761">
        <f>J82-H82</f>
        <v>3653</v>
      </c>
      <c r="Q82" s="1278">
        <f>P82/365</f>
        <v>10.008219178082191</v>
      </c>
    </row>
    <row r="83" spans="1:17" s="271" customFormat="1" ht="9">
      <c r="A83" s="283"/>
      <c r="B83" s="1391"/>
      <c r="C83" s="283"/>
      <c r="D83" s="283"/>
      <c r="E83" s="1414"/>
      <c r="F83" s="1412"/>
      <c r="G83" s="1412"/>
      <c r="H83" s="1415"/>
      <c r="I83" s="1415"/>
      <c r="J83" s="1415"/>
      <c r="K83" s="1415"/>
      <c r="L83" s="284"/>
      <c r="M83" s="283"/>
      <c r="P83" s="761"/>
      <c r="Q83" s="1278"/>
    </row>
    <row r="84" spans="1:17" s="234" customFormat="1" ht="9.75">
      <c r="A84" s="1449"/>
      <c r="B84" s="1379" t="s">
        <v>1479</v>
      </c>
      <c r="C84" s="1379"/>
      <c r="D84" s="1450"/>
      <c r="E84" s="1450"/>
      <c r="F84" s="1450"/>
      <c r="G84" s="1450"/>
      <c r="H84" s="1975"/>
      <c r="I84" s="1975"/>
      <c r="J84" s="1975"/>
      <c r="K84" s="1975"/>
      <c r="L84" s="1450"/>
      <c r="P84" s="761">
        <f>J84-H84</f>
        <v>0</v>
      </c>
      <c r="Q84" s="1278">
        <f>P84/365</f>
        <v>0</v>
      </c>
    </row>
    <row r="85" spans="1:17" s="234" customFormat="1" ht="9.75">
      <c r="A85" s="1449"/>
      <c r="B85" s="1380" t="s">
        <v>1480</v>
      </c>
      <c r="C85" s="1379"/>
      <c r="D85" s="1450"/>
      <c r="E85" s="1450"/>
      <c r="F85" s="1450"/>
      <c r="G85" s="1450"/>
      <c r="H85" s="1451"/>
      <c r="I85" s="1451"/>
      <c r="J85" s="1451"/>
      <c r="K85" s="1451"/>
      <c r="L85" s="1450"/>
      <c r="P85" s="761"/>
      <c r="Q85" s="1278"/>
    </row>
    <row r="86" spans="1:17" s="234" customFormat="1" ht="9.75">
      <c r="A86" s="1449"/>
      <c r="B86" s="1374" t="s">
        <v>1076</v>
      </c>
      <c r="C86" s="1374"/>
      <c r="D86" s="1450"/>
      <c r="E86" s="1976" t="s">
        <v>1078</v>
      </c>
      <c r="F86" s="1976"/>
      <c r="G86" s="1976"/>
      <c r="H86" s="1977" t="s">
        <v>1079</v>
      </c>
      <c r="I86" s="1977"/>
      <c r="J86" s="1978">
        <v>44991</v>
      </c>
      <c r="K86" s="1978"/>
      <c r="L86" s="280" t="s">
        <v>766</v>
      </c>
      <c r="M86" s="1281">
        <v>100</v>
      </c>
      <c r="P86" s="761">
        <f>J86-H86</f>
        <v>1826</v>
      </c>
      <c r="Q86" s="1278">
        <f>P86/365</f>
        <v>5.0027397260273974</v>
      </c>
    </row>
    <row r="87" spans="1:17" s="271" customFormat="1" hidden="1">
      <c r="A87" s="268" t="str">
        <f>+$A$49&amp;".2"</f>
        <v>7.3.2</v>
      </c>
      <c r="B87" s="1987" t="s">
        <v>1318</v>
      </c>
      <c r="C87" s="1987"/>
      <c r="D87" s="1987"/>
      <c r="E87" s="1987"/>
      <c r="F87" s="1987"/>
      <c r="G87" s="1987"/>
      <c r="H87" s="1987"/>
      <c r="I87" s="1987"/>
      <c r="J87" s="1987"/>
      <c r="K87" s="1987"/>
      <c r="L87" s="1987"/>
      <c r="M87" s="243"/>
      <c r="O87" s="243"/>
      <c r="P87" s="271">
        <v>276.30799999999999</v>
      </c>
    </row>
    <row r="88" spans="1:17" s="271" customFormat="1" hidden="1">
      <c r="A88" s="268"/>
      <c r="B88" s="1987"/>
      <c r="C88" s="1987"/>
      <c r="D88" s="1987"/>
      <c r="E88" s="1987"/>
      <c r="F88" s="1987"/>
      <c r="G88" s="1987"/>
      <c r="H88" s="1987"/>
      <c r="I88" s="1987"/>
      <c r="J88" s="1987"/>
      <c r="K88" s="1987"/>
      <c r="L88" s="1987"/>
      <c r="M88" s="243"/>
      <c r="O88" s="243"/>
      <c r="P88" s="271">
        <f>Q88/1000000</f>
        <v>9.9250000000000007</v>
      </c>
      <c r="Q88" s="271">
        <v>9925000</v>
      </c>
    </row>
    <row r="89" spans="1:17" s="271" customFormat="1" hidden="1">
      <c r="A89" s="243"/>
      <c r="B89" s="1987"/>
      <c r="C89" s="1987"/>
      <c r="D89" s="1987"/>
      <c r="E89" s="1987"/>
      <c r="F89" s="1987"/>
      <c r="G89" s="1987"/>
      <c r="H89" s="1987"/>
      <c r="I89" s="1987"/>
      <c r="J89" s="1987"/>
      <c r="K89" s="1987"/>
      <c r="L89" s="1987"/>
      <c r="M89" s="243"/>
      <c r="O89" s="243"/>
      <c r="P89" s="271">
        <f>SUM(P87:P88)</f>
        <v>286.233</v>
      </c>
    </row>
    <row r="90" spans="1:17" s="271" customFormat="1" ht="6" customHeight="1">
      <c r="A90" s="243"/>
      <c r="B90" s="243"/>
      <c r="C90" s="1417"/>
      <c r="D90" s="1417"/>
      <c r="E90" s="1417"/>
      <c r="F90" s="1417"/>
      <c r="G90" s="1417"/>
      <c r="H90" s="1417"/>
      <c r="I90" s="1417"/>
      <c r="J90" s="1452"/>
      <c r="K90" s="1452"/>
      <c r="L90" s="1452"/>
      <c r="M90" s="243"/>
      <c r="O90" s="243"/>
    </row>
    <row r="91" spans="1:17" s="271" customFormat="1">
      <c r="A91" s="243"/>
      <c r="B91" s="243"/>
      <c r="C91" s="1417"/>
      <c r="D91" s="1417"/>
      <c r="E91" s="1417"/>
      <c r="F91" s="1417"/>
      <c r="G91" s="1417"/>
      <c r="H91" s="1417"/>
      <c r="I91" s="1417"/>
      <c r="J91" s="1452"/>
      <c r="K91" s="1452"/>
      <c r="L91" s="1452"/>
      <c r="M91" s="243"/>
      <c r="O91" s="243"/>
    </row>
    <row r="92" spans="1:17" s="271" customFormat="1">
      <c r="A92" s="243"/>
      <c r="B92" s="1232"/>
      <c r="C92" s="1232"/>
      <c r="D92" s="1232"/>
      <c r="E92" s="1232"/>
      <c r="F92" s="1232"/>
      <c r="G92" s="1232"/>
      <c r="H92" s="1232"/>
      <c r="I92" s="1232"/>
      <c r="J92" s="1232"/>
      <c r="K92" s="1232"/>
      <c r="L92" s="1232"/>
      <c r="M92" s="243"/>
      <c r="O92" s="243"/>
    </row>
    <row r="93" spans="1:17">
      <c r="A93" s="1425" t="s">
        <v>2102</v>
      </c>
      <c r="B93" s="1426" t="s">
        <v>1083</v>
      </c>
      <c r="C93" s="262"/>
      <c r="D93" s="262"/>
      <c r="E93" s="262"/>
      <c r="F93" s="262"/>
      <c r="G93" s="262"/>
      <c r="H93" s="262"/>
      <c r="I93" s="262"/>
      <c r="J93" s="262"/>
      <c r="K93" s="262"/>
      <c r="L93" s="262"/>
    </row>
    <row r="94" spans="1:17">
      <c r="A94" s="1425"/>
      <c r="B94" s="1426"/>
      <c r="C94" s="262"/>
      <c r="D94" s="262"/>
      <c r="E94" s="262"/>
      <c r="F94" s="262"/>
      <c r="G94" s="262"/>
      <c r="H94" s="262"/>
      <c r="I94" s="262"/>
      <c r="J94" s="262"/>
      <c r="K94" s="262"/>
      <c r="L94" s="262"/>
    </row>
    <row r="95" spans="1:17">
      <c r="A95" s="273"/>
      <c r="B95" s="274" t="s">
        <v>1080</v>
      </c>
      <c r="C95" s="262"/>
      <c r="D95" s="262"/>
      <c r="E95" s="262"/>
      <c r="F95" s="262"/>
      <c r="G95" s="262"/>
      <c r="H95" s="262"/>
      <c r="I95" s="262"/>
      <c r="J95" s="262"/>
      <c r="K95" s="262"/>
      <c r="L95" s="262"/>
    </row>
    <row r="96" spans="1:17">
      <c r="A96" s="273"/>
      <c r="B96" s="274"/>
      <c r="C96" s="262"/>
      <c r="D96" s="262"/>
      <c r="E96" s="262"/>
      <c r="F96" s="262"/>
      <c r="G96" s="262"/>
      <c r="H96" s="262"/>
      <c r="I96" s="262"/>
      <c r="J96" s="262"/>
      <c r="K96" s="262"/>
      <c r="L96" s="262"/>
    </row>
    <row r="97" spans="1:17" s="1010" customFormat="1" ht="15" customHeight="1">
      <c r="A97" s="1427"/>
      <c r="B97" s="1983" t="s">
        <v>1045</v>
      </c>
      <c r="C97" s="1982" t="s">
        <v>1046</v>
      </c>
      <c r="D97" s="1982"/>
      <c r="E97" s="1982"/>
      <c r="F97" s="1982"/>
      <c r="G97" s="1968" t="s">
        <v>1974</v>
      </c>
      <c r="H97" s="1969"/>
      <c r="I97" s="1970"/>
      <c r="J97" s="1979" t="s">
        <v>1021</v>
      </c>
      <c r="K97" s="1979" t="s">
        <v>1022</v>
      </c>
      <c r="L97" s="1979" t="s">
        <v>1047</v>
      </c>
      <c r="N97" s="1014"/>
      <c r="P97" s="1014"/>
    </row>
    <row r="98" spans="1:17" ht="12" customHeight="1">
      <c r="A98" s="273"/>
      <c r="B98" s="1984"/>
      <c r="C98" s="1971" t="s">
        <v>1971</v>
      </c>
      <c r="D98" s="1971" t="s">
        <v>1972</v>
      </c>
      <c r="E98" s="1971" t="s">
        <v>1973</v>
      </c>
      <c r="F98" s="1971" t="s">
        <v>1974</v>
      </c>
      <c r="G98" s="1972" t="s">
        <v>1476</v>
      </c>
      <c r="H98" s="1972" t="s">
        <v>1478</v>
      </c>
      <c r="I98" s="1972" t="s">
        <v>1432</v>
      </c>
      <c r="J98" s="1980"/>
      <c r="K98" s="1980"/>
      <c r="L98" s="1980"/>
    </row>
    <row r="99" spans="1:17" ht="4.5" customHeight="1">
      <c r="A99" s="273"/>
      <c r="B99" s="1984"/>
      <c r="C99" s="1971"/>
      <c r="D99" s="1971"/>
      <c r="E99" s="1971"/>
      <c r="F99" s="1971"/>
      <c r="G99" s="1973"/>
      <c r="H99" s="1973"/>
      <c r="I99" s="1973"/>
      <c r="J99" s="1980"/>
      <c r="K99" s="1980"/>
      <c r="L99" s="1980"/>
    </row>
    <row r="100" spans="1:17">
      <c r="A100" s="273"/>
      <c r="B100" s="1984"/>
      <c r="C100" s="1971"/>
      <c r="D100" s="1971"/>
      <c r="E100" s="1971"/>
      <c r="F100" s="1971"/>
      <c r="G100" s="1973"/>
      <c r="H100" s="1973"/>
      <c r="I100" s="1973"/>
      <c r="J100" s="1980"/>
      <c r="K100" s="1980"/>
      <c r="L100" s="1980"/>
    </row>
    <row r="101" spans="1:17" s="234" customFormat="1" ht="11.85" customHeight="1">
      <c r="A101" s="1455"/>
      <c r="B101" s="1984"/>
      <c r="C101" s="1971"/>
      <c r="D101" s="1971"/>
      <c r="E101" s="1971"/>
      <c r="F101" s="1971"/>
      <c r="G101" s="1973"/>
      <c r="H101" s="1973"/>
      <c r="I101" s="1973"/>
      <c r="J101" s="1980"/>
      <c r="K101" s="1980"/>
      <c r="L101" s="1980"/>
    </row>
    <row r="102" spans="1:17" s="234" customFormat="1" ht="11.85" customHeight="1">
      <c r="B102" s="1985"/>
      <c r="C102" s="1971"/>
      <c r="D102" s="1971"/>
      <c r="E102" s="1971"/>
      <c r="F102" s="1971"/>
      <c r="G102" s="1974"/>
      <c r="H102" s="1974"/>
      <c r="I102" s="1974"/>
      <c r="J102" s="1981"/>
      <c r="K102" s="1981"/>
      <c r="L102" s="1981"/>
      <c r="N102" s="282"/>
    </row>
    <row r="103" spans="1:17" s="234" customFormat="1" ht="11.85" customHeight="1">
      <c r="B103" s="1508"/>
      <c r="C103" s="1509"/>
      <c r="D103" s="1509"/>
      <c r="E103" s="1509"/>
      <c r="F103" s="1509"/>
      <c r="G103" s="2003" t="s">
        <v>1028</v>
      </c>
      <c r="H103" s="2003"/>
      <c r="I103" s="2003"/>
      <c r="J103" s="1967" t="s">
        <v>1501</v>
      </c>
      <c r="K103" s="1967"/>
      <c r="L103" s="1967"/>
      <c r="N103" s="282"/>
    </row>
    <row r="104" spans="1:17" s="234" customFormat="1" ht="11.85" customHeight="1">
      <c r="B104" s="1370" t="s">
        <v>1084</v>
      </c>
      <c r="C104" s="1509"/>
      <c r="D104" s="1509"/>
      <c r="E104" s="1509"/>
      <c r="F104" s="1509"/>
      <c r="G104" s="1461"/>
      <c r="H104" s="1461"/>
      <c r="I104" s="1461"/>
      <c r="J104" s="1462"/>
      <c r="K104" s="1462"/>
      <c r="L104" s="1462"/>
      <c r="N104" s="282"/>
    </row>
    <row r="105" spans="1:17" s="234" customFormat="1" ht="11.85" customHeight="1">
      <c r="B105" s="1508"/>
      <c r="C105" s="1509"/>
      <c r="D105" s="1509"/>
      <c r="E105" s="1509"/>
      <c r="F105" s="1509"/>
      <c r="G105" s="1461"/>
      <c r="H105" s="1461"/>
      <c r="I105" s="1461"/>
      <c r="J105" s="1462"/>
      <c r="K105" s="1462"/>
      <c r="L105" s="1462"/>
      <c r="N105" s="282"/>
    </row>
    <row r="106" spans="1:17" s="234" customFormat="1" ht="11.85" customHeight="1">
      <c r="B106" s="1374" t="s">
        <v>1506</v>
      </c>
      <c r="C106" s="1375">
        <v>480</v>
      </c>
      <c r="D106" s="1372">
        <v>0</v>
      </c>
      <c r="E106" s="1372">
        <v>0</v>
      </c>
      <c r="F106" s="1375">
        <f>C106+D106-E106</f>
        <v>480</v>
      </c>
      <c r="G106" s="1371">
        <f>17422774.9900156/1000</f>
        <v>17422.774990015601</v>
      </c>
      <c r="H106" s="1371">
        <f>18399993.9987692/1000</f>
        <v>18399.993998769201</v>
      </c>
      <c r="I106" s="1376">
        <f>H106-G106</f>
        <v>977.21900875360006</v>
      </c>
      <c r="J106" s="1377">
        <f>ROUND(H106/SOAL!$F$31,4)*100</f>
        <v>0.22</v>
      </c>
      <c r="K106" s="1377">
        <f>ROUND(H106/SOAL!$F$12,4)*100</f>
        <v>0.44</v>
      </c>
      <c r="L106" s="1377">
        <f>F106/1300000*100</f>
        <v>3.692307692307692E-2</v>
      </c>
      <c r="M106" s="1280">
        <v>44959</v>
      </c>
      <c r="N106" s="282" t="s">
        <v>1081</v>
      </c>
      <c r="O106" s="234" t="s">
        <v>1075</v>
      </c>
      <c r="P106" s="278">
        <v>1300000000</v>
      </c>
      <c r="Q106" s="278">
        <f>P106/1000</f>
        <v>1300000</v>
      </c>
    </row>
    <row r="107" spans="1:17" s="234" customFormat="1" ht="7.5" customHeight="1">
      <c r="B107" s="1374"/>
      <c r="C107" s="1375"/>
      <c r="D107" s="1372"/>
      <c r="E107" s="1372"/>
      <c r="F107" s="1375"/>
      <c r="G107" s="1371"/>
      <c r="H107" s="1371"/>
      <c r="I107" s="1376"/>
      <c r="J107" s="1377"/>
      <c r="K107" s="1377"/>
      <c r="L107" s="1377"/>
      <c r="N107" s="282"/>
    </row>
    <row r="108" spans="1:17" s="234" customFormat="1" ht="11.85" customHeight="1">
      <c r="B108" s="1370" t="s">
        <v>1085</v>
      </c>
      <c r="C108" s="1375"/>
      <c r="D108" s="1372"/>
      <c r="E108" s="1372"/>
      <c r="F108" s="1375"/>
      <c r="G108" s="1371"/>
      <c r="H108" s="1371"/>
      <c r="I108" s="1376"/>
      <c r="J108" s="1377"/>
      <c r="K108" s="1377"/>
      <c r="L108" s="1377"/>
      <c r="N108" s="282"/>
    </row>
    <row r="109" spans="1:17" s="234" customFormat="1" ht="11.85" customHeight="1">
      <c r="B109" s="1370"/>
      <c r="C109" s="1375"/>
      <c r="D109" s="1372"/>
      <c r="E109" s="1372"/>
      <c r="F109" s="1375"/>
      <c r="G109" s="1371"/>
      <c r="H109" s="1371"/>
      <c r="I109" s="1376"/>
      <c r="J109" s="1377"/>
      <c r="K109" s="1377"/>
      <c r="L109" s="1377"/>
      <c r="N109" s="282"/>
    </row>
    <row r="110" spans="1:17" s="234" customFormat="1" ht="11.85" customHeight="1">
      <c r="B110" s="1374" t="s">
        <v>1094</v>
      </c>
      <c r="C110" s="1375">
        <v>10</v>
      </c>
      <c r="D110" s="1372">
        <v>0</v>
      </c>
      <c r="E110" s="1372">
        <v>0</v>
      </c>
      <c r="F110" s="1375">
        <f>C110+D110-E110</f>
        <v>10</v>
      </c>
      <c r="G110" s="1371">
        <f>500232.465592016/1000</f>
        <v>500.23246559201601</v>
      </c>
      <c r="H110" s="1371">
        <f>500758.08366663/1000</f>
        <v>500.75808366663</v>
      </c>
      <c r="I110" s="1376">
        <f>H110-G110</f>
        <v>0.52561807461398757</v>
      </c>
      <c r="J110" s="1377">
        <f>ROUND(H110/SOAL!$F$31,4)*100</f>
        <v>0.01</v>
      </c>
      <c r="K110" s="1377">
        <f>ROUND(H110/SOAL!$F$12,4)*100</f>
        <v>0.01</v>
      </c>
      <c r="L110" s="1377">
        <f>F110/3120000*100</f>
        <v>3.2051282051282051E-4</v>
      </c>
      <c r="M110" s="234" t="s">
        <v>1086</v>
      </c>
      <c r="N110" s="282" t="s">
        <v>1081</v>
      </c>
      <c r="O110" s="234" t="s">
        <v>1075</v>
      </c>
      <c r="P110" s="278">
        <v>3120000000</v>
      </c>
      <c r="Q110" s="278">
        <f>P110/1000</f>
        <v>3120000</v>
      </c>
    </row>
    <row r="111" spans="1:17" s="234" customFormat="1" ht="7.5" customHeight="1">
      <c r="B111" s="1370"/>
      <c r="C111" s="1375"/>
      <c r="D111" s="1372"/>
      <c r="E111" s="1372"/>
      <c r="F111" s="1375"/>
      <c r="G111" s="1371"/>
      <c r="H111" s="1371"/>
      <c r="I111" s="1376"/>
      <c r="J111" s="1377"/>
      <c r="K111" s="1377"/>
      <c r="L111" s="1377"/>
    </row>
    <row r="112" spans="1:17" s="234" customFormat="1" ht="11.85" customHeight="1">
      <c r="B112" s="1456" t="s">
        <v>1049</v>
      </c>
      <c r="C112" s="1375"/>
      <c r="D112" s="1372"/>
      <c r="E112" s="1372"/>
      <c r="F112" s="1375"/>
      <c r="G112" s="1371"/>
      <c r="H112" s="1371"/>
      <c r="I112" s="1376"/>
      <c r="J112" s="1377"/>
      <c r="K112" s="1377"/>
      <c r="L112" s="1377"/>
      <c r="N112" s="282"/>
      <c r="P112" s="278"/>
      <c r="Q112" s="278"/>
    </row>
    <row r="113" spans="1:17" s="234" customFormat="1" ht="11.85" customHeight="1">
      <c r="B113" s="1456"/>
      <c r="C113" s="1375"/>
      <c r="D113" s="1372"/>
      <c r="E113" s="1372"/>
      <c r="F113" s="1375"/>
      <c r="G113" s="1371"/>
      <c r="H113" s="1371"/>
      <c r="I113" s="1376"/>
      <c r="J113" s="1377"/>
      <c r="K113" s="1377"/>
      <c r="L113" s="1377"/>
      <c r="N113" s="282"/>
      <c r="P113" s="278"/>
      <c r="Q113" s="278"/>
    </row>
    <row r="114" spans="1:17" s="234" customFormat="1" ht="11.85" customHeight="1">
      <c r="B114" s="1391" t="s">
        <v>1319</v>
      </c>
      <c r="C114" s="1375">
        <v>500</v>
      </c>
      <c r="D114" s="1372">
        <v>0</v>
      </c>
      <c r="E114" s="1372">
        <v>0</v>
      </c>
      <c r="F114" s="1375">
        <f>C114+D114-E114</f>
        <v>500</v>
      </c>
      <c r="G114" s="1371">
        <f>14492319.6498824/1000</f>
        <v>14492.3196498824</v>
      </c>
      <c r="H114" s="1371">
        <f>14392919.1962288/1000</f>
        <v>14392.919196228801</v>
      </c>
      <c r="I114" s="1376">
        <f>H114-G114</f>
        <v>-99.40045365359947</v>
      </c>
      <c r="J114" s="1377">
        <f>ROUND(H114/SOAL!$F$31,4)*100</f>
        <v>0.16999999999999998</v>
      </c>
      <c r="K114" s="1377">
        <f>ROUND(H114/SOAL!$F$12,4)*100</f>
        <v>0.33999999999999997</v>
      </c>
      <c r="L114" s="1377">
        <f>F114/2830000*100</f>
        <v>1.7667844522968199E-2</v>
      </c>
      <c r="M114" s="1280">
        <v>44929</v>
      </c>
      <c r="N114" s="282" t="s">
        <v>1081</v>
      </c>
      <c r="O114" s="234" t="s">
        <v>1075</v>
      </c>
      <c r="P114" s="278">
        <v>6000000000</v>
      </c>
      <c r="Q114" s="278">
        <f>P114/1000</f>
        <v>6000000</v>
      </c>
    </row>
    <row r="115" spans="1:17" s="234" customFormat="1" ht="7.5" customHeight="1">
      <c r="B115" s="1391"/>
      <c r="C115" s="1375"/>
      <c r="D115" s="1372"/>
      <c r="E115" s="1372"/>
      <c r="F115" s="1375"/>
      <c r="G115" s="1371"/>
      <c r="H115" s="1371"/>
      <c r="I115" s="1376"/>
      <c r="J115" s="1377"/>
      <c r="K115" s="1377"/>
      <c r="L115" s="1377"/>
      <c r="M115" s="1280"/>
      <c r="N115" s="282"/>
      <c r="P115" s="278"/>
      <c r="Q115" s="278"/>
    </row>
    <row r="116" spans="1:17" s="234" customFormat="1" ht="9">
      <c r="C116" s="1432"/>
      <c r="D116" s="1432"/>
      <c r="E116" s="1432"/>
      <c r="F116" s="1432"/>
      <c r="G116" s="1432"/>
      <c r="H116" s="1432"/>
      <c r="I116" s="1432"/>
      <c r="J116" s="1457"/>
      <c r="K116" s="1457"/>
      <c r="L116" s="1457"/>
      <c r="O116" s="234">
        <v>2</v>
      </c>
    </row>
    <row r="117" spans="1:17" s="1008" customFormat="1" ht="21" customHeight="1" thickBot="1">
      <c r="B117" s="1429" t="s">
        <v>1975</v>
      </c>
      <c r="C117" s="1438"/>
      <c r="D117" s="1438"/>
      <c r="E117" s="1438"/>
      <c r="F117" s="1438"/>
      <c r="G117" s="1439">
        <v>32415.327105490018</v>
      </c>
      <c r="H117" s="1439">
        <v>33293.671278664631</v>
      </c>
      <c r="I117" s="1439">
        <v>878.34417317461453</v>
      </c>
      <c r="J117" s="1440"/>
      <c r="K117" s="1440"/>
      <c r="L117" s="1441"/>
      <c r="O117" s="1008">
        <v>4</v>
      </c>
    </row>
    <row r="118" spans="1:17" s="234" customFormat="1" ht="9.75" thickTop="1">
      <c r="B118" s="1430"/>
      <c r="C118" s="1431"/>
      <c r="D118" s="1387"/>
      <c r="E118" s="1387"/>
      <c r="F118" s="1386"/>
      <c r="G118" s="1386"/>
      <c r="H118" s="1386"/>
      <c r="I118" s="1435"/>
      <c r="J118" s="1436"/>
      <c r="K118" s="1436"/>
      <c r="L118" s="1436"/>
      <c r="O118" s="234">
        <f>SUM(O116:O117)</f>
        <v>6</v>
      </c>
    </row>
    <row r="119" spans="1:17" s="234" customFormat="1" ht="9.75" thickBot="1">
      <c r="B119" s="1385" t="str">
        <f>B73</f>
        <v>Total as at June 30, 2021</v>
      </c>
      <c r="C119" s="1375"/>
      <c r="D119" s="1394"/>
      <c r="E119" s="1394"/>
      <c r="F119" s="1394"/>
      <c r="G119" s="1454">
        <v>39474</v>
      </c>
      <c r="H119" s="1454">
        <v>40218</v>
      </c>
      <c r="I119" s="1454">
        <v>744</v>
      </c>
      <c r="J119" s="1436"/>
      <c r="K119" s="1436"/>
      <c r="L119" s="238"/>
    </row>
    <row r="120" spans="1:17" s="234" customFormat="1" ht="9.75" thickTop="1">
      <c r="B120" s="1385"/>
      <c r="C120" s="1375"/>
      <c r="D120" s="1394"/>
      <c r="E120" s="1394"/>
      <c r="F120" s="1394"/>
      <c r="G120" s="1394"/>
      <c r="H120" s="1394"/>
      <c r="I120" s="1394"/>
      <c r="J120" s="1436"/>
      <c r="K120" s="1436"/>
      <c r="L120" s="238"/>
    </row>
    <row r="121" spans="1:17" s="234" customFormat="1">
      <c r="A121" s="1458" t="s">
        <v>1472</v>
      </c>
      <c r="B121" s="1401" t="s">
        <v>1651</v>
      </c>
      <c r="C121" s="1375"/>
      <c r="D121" s="1394"/>
      <c r="E121" s="1394"/>
      <c r="F121" s="1394"/>
      <c r="G121" s="1394"/>
      <c r="H121" s="1394"/>
      <c r="I121" s="1394"/>
      <c r="J121" s="1436"/>
      <c r="K121" s="1436"/>
      <c r="L121" s="238"/>
    </row>
    <row r="122" spans="1:17" s="234" customFormat="1" ht="9">
      <c r="B122" s="1385"/>
      <c r="C122" s="1375"/>
      <c r="D122" s="1394"/>
      <c r="E122" s="1394"/>
      <c r="F122" s="1394"/>
      <c r="G122" s="1394"/>
      <c r="H122" s="1394"/>
      <c r="I122" s="1394"/>
      <c r="J122" s="1436"/>
      <c r="K122" s="1436"/>
      <c r="L122" s="238"/>
    </row>
    <row r="123" spans="1:17">
      <c r="C123" s="1417"/>
      <c r="D123" s="1417"/>
      <c r="E123" s="1417"/>
      <c r="F123" s="1417"/>
      <c r="G123" s="1417"/>
      <c r="H123" s="1417"/>
      <c r="I123" s="1417"/>
      <c r="J123" s="1452"/>
      <c r="K123" s="1452"/>
      <c r="L123" s="1452"/>
    </row>
    <row r="124" spans="1:17">
      <c r="A124" s="268" t="str">
        <f>+$A$93&amp;".1"</f>
        <v>7.4.1</v>
      </c>
      <c r="B124" s="1401" t="s">
        <v>2106</v>
      </c>
      <c r="C124" s="1401"/>
      <c r="D124" s="1401"/>
      <c r="E124" s="1401"/>
      <c r="F124" s="1401"/>
      <c r="G124" s="1401"/>
      <c r="H124" s="1401"/>
      <c r="I124" s="1401"/>
      <c r="J124" s="1401"/>
      <c r="K124" s="262"/>
      <c r="L124" s="262"/>
    </row>
    <row r="125" spans="1:17" ht="14.25" customHeight="1">
      <c r="A125" s="1404"/>
      <c r="B125" s="1401"/>
      <c r="C125" s="1401"/>
      <c r="D125" s="1401"/>
      <c r="E125" s="1401"/>
      <c r="F125" s="1401"/>
      <c r="G125" s="1401"/>
      <c r="H125" s="1401"/>
      <c r="I125" s="1401"/>
      <c r="J125" s="1401"/>
      <c r="K125" s="262"/>
      <c r="L125" s="262"/>
    </row>
    <row r="126" spans="1:17" s="1014" customFormat="1" ht="15" customHeight="1">
      <c r="A126" s="1405"/>
      <c r="B126" s="1406" t="s">
        <v>1051</v>
      </c>
      <c r="C126" s="1407"/>
      <c r="D126" s="1408"/>
      <c r="E126" s="2000" t="s">
        <v>1052</v>
      </c>
      <c r="F126" s="2000"/>
      <c r="G126" s="2000"/>
      <c r="H126" s="2001" t="s">
        <v>1032</v>
      </c>
      <c r="I126" s="2002"/>
      <c r="J126" s="1997" t="s">
        <v>1053</v>
      </c>
      <c r="K126" s="1998"/>
      <c r="L126" s="1409" t="s">
        <v>1054</v>
      </c>
      <c r="M126" s="285"/>
    </row>
    <row r="127" spans="1:17" s="271" customFormat="1" ht="9">
      <c r="A127" s="283"/>
      <c r="B127" s="283"/>
      <c r="C127" s="283"/>
      <c r="D127" s="283"/>
      <c r="E127" s="283"/>
      <c r="F127" s="283"/>
      <c r="G127" s="283"/>
      <c r="H127" s="1999"/>
      <c r="I127" s="1999"/>
      <c r="J127" s="1963"/>
      <c r="K127" s="1963"/>
      <c r="L127" s="283"/>
      <c r="M127" s="283"/>
    </row>
    <row r="128" spans="1:17" s="271" customFormat="1" ht="9">
      <c r="A128" s="283"/>
      <c r="B128" s="1410" t="s">
        <v>1084</v>
      </c>
      <c r="C128" s="1411"/>
      <c r="D128" s="1411"/>
      <c r="E128" s="283"/>
      <c r="F128" s="283"/>
      <c r="G128" s="283"/>
      <c r="H128" s="1963"/>
      <c r="I128" s="1963"/>
      <c r="J128" s="1963"/>
      <c r="K128" s="1963"/>
      <c r="L128" s="283"/>
      <c r="M128" s="283"/>
    </row>
    <row r="129" spans="1:17" s="271" customFormat="1" ht="9">
      <c r="A129" s="283"/>
      <c r="B129" s="1411" t="s">
        <v>1506</v>
      </c>
      <c r="C129" s="1411"/>
      <c r="D129" s="1411"/>
      <c r="E129" s="1964" t="s">
        <v>1082</v>
      </c>
      <c r="F129" s="1963"/>
      <c r="G129" s="1963"/>
      <c r="H129" s="1965" t="s">
        <v>1088</v>
      </c>
      <c r="I129" s="1965"/>
      <c r="J129" s="1966">
        <v>44959</v>
      </c>
      <c r="K129" s="1966"/>
      <c r="L129" s="284" t="s">
        <v>770</v>
      </c>
      <c r="M129" s="283"/>
      <c r="P129" s="761">
        <f>J129-H129</f>
        <v>2191</v>
      </c>
      <c r="Q129" s="1278">
        <f>P129/365</f>
        <v>6.0027397260273974</v>
      </c>
    </row>
    <row r="130" spans="1:17" s="271" customFormat="1" ht="9">
      <c r="A130" s="283"/>
      <c r="B130" s="1411"/>
      <c r="C130" s="1411"/>
      <c r="D130" s="1411"/>
      <c r="E130" s="283"/>
      <c r="F130" s="283"/>
      <c r="G130" s="283"/>
      <c r="H130" s="1963"/>
      <c r="I130" s="1963"/>
      <c r="J130" s="1963"/>
      <c r="K130" s="1963"/>
      <c r="L130" s="283"/>
      <c r="M130" s="283"/>
    </row>
    <row r="131" spans="1:17" s="271" customFormat="1" ht="9">
      <c r="A131" s="283"/>
      <c r="B131" s="1410" t="s">
        <v>1085</v>
      </c>
      <c r="C131" s="1411"/>
      <c r="D131" s="1411"/>
      <c r="E131" s="283"/>
      <c r="F131" s="283"/>
      <c r="G131" s="283"/>
      <c r="H131" s="1963"/>
      <c r="I131" s="1963"/>
      <c r="J131" s="1963"/>
      <c r="K131" s="1963"/>
      <c r="L131" s="283"/>
      <c r="M131" s="283"/>
      <c r="P131" s="761"/>
      <c r="Q131" s="1278"/>
    </row>
    <row r="132" spans="1:17" s="271" customFormat="1" ht="9">
      <c r="A132" s="283"/>
      <c r="B132" s="1411" t="s">
        <v>1094</v>
      </c>
      <c r="C132" s="1411"/>
      <c r="D132" s="1411"/>
      <c r="E132" s="1964" t="s">
        <v>1089</v>
      </c>
      <c r="F132" s="1963"/>
      <c r="G132" s="1963"/>
      <c r="H132" s="1965" t="s">
        <v>1090</v>
      </c>
      <c r="I132" s="1965"/>
      <c r="J132" s="1966">
        <v>44579</v>
      </c>
      <c r="K132" s="1966"/>
      <c r="L132" s="284" t="s">
        <v>771</v>
      </c>
      <c r="M132" s="283"/>
      <c r="P132" s="761">
        <f>J132-H132</f>
        <v>1826</v>
      </c>
      <c r="Q132" s="1278">
        <f>P132/365</f>
        <v>5.0027397260273974</v>
      </c>
    </row>
    <row r="133" spans="1:17" s="271" customFormat="1" ht="9" customHeight="1">
      <c r="A133" s="283"/>
      <c r="B133" s="1411"/>
      <c r="C133" s="1411"/>
      <c r="D133" s="1411"/>
      <c r="E133" s="283"/>
      <c r="F133" s="283"/>
      <c r="G133" s="283"/>
      <c r="H133" s="1963"/>
      <c r="I133" s="1963"/>
      <c r="J133" s="1963"/>
      <c r="K133" s="1963"/>
      <c r="L133" s="283"/>
      <c r="M133" s="283"/>
    </row>
    <row r="134" spans="1:17" s="271" customFormat="1" ht="9">
      <c r="A134" s="283"/>
      <c r="B134" s="1413" t="s">
        <v>1049</v>
      </c>
      <c r="C134" s="283"/>
      <c r="D134" s="283"/>
      <c r="E134" s="283"/>
      <c r="F134" s="283"/>
      <c r="G134" s="283"/>
      <c r="H134" s="1963"/>
      <c r="I134" s="1963"/>
      <c r="J134" s="1963"/>
      <c r="K134" s="1963"/>
      <c r="L134" s="283"/>
      <c r="M134" s="283"/>
    </row>
    <row r="135" spans="1:17" s="271" customFormat="1" ht="9">
      <c r="A135" s="283"/>
      <c r="B135" s="1411" t="s">
        <v>1319</v>
      </c>
      <c r="C135" s="283"/>
      <c r="D135" s="283"/>
      <c r="E135" s="1964" t="s">
        <v>1091</v>
      </c>
      <c r="F135" s="1963"/>
      <c r="G135" s="1963"/>
      <c r="H135" s="1965" t="s">
        <v>1092</v>
      </c>
      <c r="I135" s="1965"/>
      <c r="J135" s="1966">
        <v>44515</v>
      </c>
      <c r="K135" s="1966"/>
      <c r="L135" s="284" t="s">
        <v>767</v>
      </c>
      <c r="M135" s="284"/>
      <c r="P135" s="761">
        <f>J135-H135</f>
        <v>1461</v>
      </c>
      <c r="Q135" s="1278">
        <f>P135/365</f>
        <v>4.0027397260273974</v>
      </c>
    </row>
    <row r="136" spans="1:17" s="271" customFormat="1" ht="9" customHeight="1">
      <c r="A136" s="283"/>
      <c r="B136" s="1411"/>
      <c r="C136" s="283"/>
      <c r="D136" s="283"/>
      <c r="E136" s="1414"/>
      <c r="F136" s="1412"/>
      <c r="G136" s="1412"/>
      <c r="H136" s="1415"/>
      <c r="I136" s="1415"/>
      <c r="J136" s="1416"/>
      <c r="K136" s="1416"/>
      <c r="L136" s="284"/>
      <c r="M136" s="284"/>
      <c r="P136" s="761"/>
      <c r="Q136" s="1278"/>
    </row>
  </sheetData>
  <mergeCells count="99">
    <mergeCell ref="D98:D102"/>
    <mergeCell ref="E98:E102"/>
    <mergeCell ref="E82:G82"/>
    <mergeCell ref="H82:I82"/>
    <mergeCell ref="J82:K82"/>
    <mergeCell ref="J84:K84"/>
    <mergeCell ref="E37:G37"/>
    <mergeCell ref="H37:I37"/>
    <mergeCell ref="B97:B102"/>
    <mergeCell ref="J97:J102"/>
    <mergeCell ref="K97:K102"/>
    <mergeCell ref="E81:G81"/>
    <mergeCell ref="H81:I81"/>
    <mergeCell ref="J81:K81"/>
    <mergeCell ref="G59:I59"/>
    <mergeCell ref="F54:F58"/>
    <mergeCell ref="D54:D58"/>
    <mergeCell ref="E54:E58"/>
    <mergeCell ref="B44:L47"/>
    <mergeCell ref="C54:C58"/>
    <mergeCell ref="L97:L102"/>
    <mergeCell ref="C98:C102"/>
    <mergeCell ref="F7:F10"/>
    <mergeCell ref="B6:B10"/>
    <mergeCell ref="C6:F6"/>
    <mergeCell ref="G11:I11"/>
    <mergeCell ref="K6:K10"/>
    <mergeCell ref="G6:I6"/>
    <mergeCell ref="G7:G10"/>
    <mergeCell ref="C7:C10"/>
    <mergeCell ref="D7:D10"/>
    <mergeCell ref="E7:E10"/>
    <mergeCell ref="H7:H10"/>
    <mergeCell ref="I7:I10"/>
    <mergeCell ref="J6:J10"/>
    <mergeCell ref="E34:G34"/>
    <mergeCell ref="H34:I34"/>
    <mergeCell ref="J34:K34"/>
    <mergeCell ref="E129:G129"/>
    <mergeCell ref="H129:I129"/>
    <mergeCell ref="J129:K129"/>
    <mergeCell ref="E40:G40"/>
    <mergeCell ref="J126:K126"/>
    <mergeCell ref="H80:I80"/>
    <mergeCell ref="J80:K80"/>
    <mergeCell ref="B87:L89"/>
    <mergeCell ref="H127:I127"/>
    <mergeCell ref="J127:K127"/>
    <mergeCell ref="E126:G126"/>
    <mergeCell ref="H126:I126"/>
    <mergeCell ref="G103:I103"/>
    <mergeCell ref="L6:L10"/>
    <mergeCell ref="C97:F97"/>
    <mergeCell ref="G97:I97"/>
    <mergeCell ref="B53:B58"/>
    <mergeCell ref="C53:F53"/>
    <mergeCell ref="H40:I40"/>
    <mergeCell ref="J40:K40"/>
    <mergeCell ref="J11:L11"/>
    <mergeCell ref="B42:L43"/>
    <mergeCell ref="L53:L58"/>
    <mergeCell ref="E78:G78"/>
    <mergeCell ref="H78:I78"/>
    <mergeCell ref="J78:K78"/>
    <mergeCell ref="H79:I79"/>
    <mergeCell ref="J79:K79"/>
    <mergeCell ref="J37:K37"/>
    <mergeCell ref="H130:I130"/>
    <mergeCell ref="J130:K130"/>
    <mergeCell ref="H131:I131"/>
    <mergeCell ref="J131:K131"/>
    <mergeCell ref="H128:I128"/>
    <mergeCell ref="J128:K128"/>
    <mergeCell ref="J103:L103"/>
    <mergeCell ref="G53:I53"/>
    <mergeCell ref="F98:F102"/>
    <mergeCell ref="G98:G102"/>
    <mergeCell ref="H98:H102"/>
    <mergeCell ref="I98:I102"/>
    <mergeCell ref="H54:H58"/>
    <mergeCell ref="I54:I58"/>
    <mergeCell ref="H84:I84"/>
    <mergeCell ref="J59:L59"/>
    <mergeCell ref="G54:G58"/>
    <mergeCell ref="E86:G86"/>
    <mergeCell ref="H86:I86"/>
    <mergeCell ref="J86:K86"/>
    <mergeCell ref="J53:J58"/>
    <mergeCell ref="K53:K58"/>
    <mergeCell ref="H133:I133"/>
    <mergeCell ref="E132:G132"/>
    <mergeCell ref="E135:G135"/>
    <mergeCell ref="H135:I135"/>
    <mergeCell ref="J135:K135"/>
    <mergeCell ref="J133:K133"/>
    <mergeCell ref="H134:I134"/>
    <mergeCell ref="J134:K134"/>
    <mergeCell ref="J132:K132"/>
    <mergeCell ref="H132:I132"/>
  </mergeCells>
  <pageMargins left="0.6" right="0.35" top="0.62" bottom="0.4" header="0.45" footer="0.5"/>
  <pageSetup scale="77" firstPageNumber="8" fitToHeight="0" orientation="portrait" useFirstPageNumber="1" r:id="rId1"/>
  <rowBreaks count="2" manualBreakCount="2">
    <brk id="74" max="11" man="1"/>
    <brk id="122"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b o o l e a n > f a l s e < / b o o l e a n > 
</file>

<file path=customXml/item2.xml><?xml version="1.0" encoding="utf-8"?>
<boolean xmlns="http://schemas.dtt.com/da/IsLeadSheet">true</boolean>
</file>

<file path=customXml/item3.xml><?xml version="1.0" encoding="utf-8"?>
<boolean xmlns="http://schemas.dtt.com/da/IsFirstTimeLoaded">true</boolean>
</file>

<file path=customXml/item4.xml><?xml version="1.0" encoding="utf-8"?>
<DAEMSEngagementItemInfo xmlns="http://schemas.microsoft.com/DAEMSEngagementItemInfoXML">
  <EngagementID>5000027030</EngagementID>
  <LogicalEMSServerID>1965072166277195099</LogicalEMSServerID>
  <WorkingPaperID>3418028034400002164</WorkingPaperID>
</DAEMSEngagementItemInfo>
</file>

<file path=customXml/item5.xml>��< ? x m l   v e r s i o n = " 1 . 0 "   e n c o d i n g = " u t f - 1 6 " ? > < L e a d S h e e t P a r a m s   x m l n s : x s d = " h t t p : / / w w w . w 3 . o r g / 2 0 0 1 / X M L S c h e m a "   x m l n s : x s i = " h t t p : / / w w w . w 3 . o r g / 2 0 0 1 / X M L S c h e m a - i n s t a n c e " >  
     < I s M a p p e d T o D e t a i l E n g L e v e l > f a l s e < / I s M a p p e d T o D e t a i l E n g L e v e l >  
     < T B P a i I D > 3 1 1 3 8 4 9 3 0 9 4 0 0 0 0 0 0 0 5 < / T B P a i I D >  
     < E n g a g e m e n t I D > 5 0 0 0 0 2 0 5 2 6 < / E n g a g e m e n t I D >  
     < T a r g e t C h a r t I D > 3 1 1 3 8 4 9 3 0 9 4 0 0 0 0 0 0 0 7 < / T a r g e t C h a r t I D >  
     < C o m p a r i s o n C o l u m n >  
         < F i e l d N a m e > P r i o r P e r i o d 1 B a l a n c e < / F i e l d N a m e >  
         < U s e r D i s p l a y N a m e > J u n e   3 0 ,   2 0 1 9 < / U s e r D i s p l a y N a m e >  
     < / C o m p a r i s o n C o l u m n >  
     < U s e r S e l e c t e d B a l a n c e C o l u m n s / >  
     < L e v e l > D e t a i l < / L e v e l >  
     < R o u n d e d > t r u e < / R o u n d e d >  
     < C o m b i n e d > t r u e < / C o m b i n e d >  
     < T a r g e t A c c o u n t I n f o L i s t >  
         < A c c o u n t I n f o >  
             < I D > 3 1 1 3 8 4 9 3 0 9 4 0 0 0 0 0 2 5 8 < / I D >  
             < N a m e > B a n k   B a l a n c e s < / N a m e >  
             < N u m b e r > 5 1 1 0 . 1 < / N u m b e r >  
             < I s L i n k e d > f a l s e < / I s L i n k e d >  
             < C h a r t I D > 3 1 1 3 8 4 9 3 0 9 4 0 0 0 0 0 0 0 7 < / C h a r t I D >  
             < S e q u e n c e > 0 < / S e q u e n c e >  
         < / A c c o u n t I n f o >  
         < A c c o u n t I n f o >  
             < I D > 3 1 1 3 8 4 9 3 0 9 4 0 0 0 0 0 2 5 9 < / I D >  
             < N a m e > R e c e i v a b l e   a g a i n s t   s a l e   o f   i n v e s t m e n t < / N a m e >  
             < N u m b e r > 5 1 2 0 . 1 < / N u m b e r >  
             < I s L i n k e d > f a l s e < / I s L i n k e d >  
             < C h a r t I D > 3 1 1 3 8 4 9 3 0 9 4 0 0 0 0 0 0 0 7 < / C h a r t I D >  
             < S e q u e n c e > 0 < / S e q u e n c e >  
         < / A c c o u n t I n f o >  
         < A c c o u n t I n f o >  
             < I D > 3 1 1 3 8 4 9 3 0 9 4 0 0 0 0 0 2 6 0 < / I D >  
             < N a m e > R e c e i v a b l e   a g a i n s t   M a r g i n   T r a d i n g   S y s t e m   T r a n s a c t i o n s < / N a m e >  
             < N u m b e r > 5 1 2 0 . 1 A < / N u m b e r >  
             < I s L i n k e d > f a l s e < / I s L i n k e d >  
             < C h a r t I D > 3 1 1 3 8 4 9 3 0 9 4 0 0 0 0 0 0 0 7 < / C h a r t I D >  
             < S e q u e n c e > 0 < / S e q u e n c e >  
         < / A c c o u n t I n f o >  
         < A c c o u n t I n f o >  
             < I D > 3 1 1 3 8 4 9 3 0 9 4 0 0 0 0 0 2 6 1 < / I D >  
             < N a m e > T e r m   F i n a n c e   C e r t i f i c a t e s   -   F V T P L < / N a m e >  
             < N u m b e r > 5 1 3 0 . 1 < / N u m b e r >  
             < I s L i n k e d > f a l s e < / I s L i n k e d >  
             < C h a r t I D > 3 1 1 3 8 4 9 3 0 9 4 0 0 0 0 0 0 0 7 < / C h a r t I D >  
             < S e q u e n c e > 0 < / S e q u e n c e >  
         < / A c c o u n t I n f o >  
         < A c c o u n t I n f o >  
             < I D > 3 1 1 3 8 4 9 3 0 9 4 0 0 0 0 0 2 6 2 < / I D >  
             < N a m e > T e r m   F i n a n c e   C e r t i f i c a t e s   -   A F S < / N a m e >  
             < N u m b e r > 5 1 3 0 . 1 A < / N u m b e r >  
             < I s L i n k e d > f a l s e < / I s L i n k e d >  
             < C h a r t I D > 3 1 1 3 8 4 9 3 0 9 4 0 0 0 0 0 0 0 7 < / C h a r t I D >  
             < S e q u e n c e > 0 < / S e q u e n c e >  
         < / A c c o u n t I n f o >  
         < A c c o u n t I n f o >  
             < I D > 3 1 1 3 8 4 9 3 0 9 4 0 0 0 0 0 2 6 3 < / I D >  
             < N a m e > C e r t i f i c a t e   o f   M u s h a r i k a < / N a m e >  
             < N u m b e r > 5 1 3 0 . 2 < / N u m b e r >  
             < I s L i n k e d > f a l s e < / I s L i n k e d >  
             < C h a r t I D > 3 1 1 3 8 4 9 3 0 9 4 0 0 0 0 0 0 0 7 < / C h a r t I D >  
             < S e q u e n c e > 0 < / S e q u e n c e >  
         < / A c c o u n t I n f o >  
         < A c c o u n t I n f o >  
             < I D > 3 1 1 3 8 4 9 3 0 9 4 0 0 0 0 0 2 6 4 < / I D >  
             < N a m e > G o v e r n m e n t   s e c u r i t i e s   -   H F T < / N a m e >  
             < N u m b e r > 5 1 3 0 . 3 < / N u m b e r >  
             < I s L i n k e d > f a l s e < / I s L i n k e d >  
             < C h a r t I D > 3 1 1 3 8 4 9 3 0 9 4 0 0 0 0 0 0 0 7 < / C h a r t I D >  
             < S e q u e n c e > 0 < / S e q u e n c e >  
         < / A c c o u n t I n f o >  
         < A c c o u n t I n f o >  
             < I D > 3 1 1 3 8 4 9 3 0 9 4 0 0 0 0 0 2 6 5 < / I D >  
             < N a m e > G o v e r n m e n t   s e c u r i t i e s   -   F V T P L < / N a m e >  
             < N u m b e r > 5 1 3 0 . 3 A < / N u m b e r >  
             < I s L i n k e d > f a l s e < / I s L i n k e d >  
             < C h a r t I D > 3 1 1 3 8 4 9 3 0 9 4 0 0 0 0 0 0 0 7 < / C h a r t I D >  
             < S e q u e n c e > 0 < / S e q u e n c e >  
         < / A c c o u n t I n f o >  
         < A c c o u n t I n f o >  
             < I D > 3 1 1 3 8 4 9 3 0 9 4 0 0 0 0 0 2 6 6 < / I D >  
             < N a m e > I n v e s t m e n t   i n   E q u i t y   S e c u r i t i e s   -   H F T < / N a m e >  
             < N u m b e r > 5 1 3 0 . 4 < / N u m b e r >  
             < I s L i n k e d > f a l s e < / I s L i n k e d >  
             < C h a r t I D > 3 1 1 3 8 4 9 3 0 9 4 0 0 0 0 0 0 0 7 < / C h a r t I D >  
             < S e q u e n c e > 0 < / S e q u e n c e >  
         < / A c c o u n t I n f o >  
         < A c c o u n t I n f o >  
             < I D > 3 1 1 3 8 4 9 3 0 9 4 0 0 0 0 0 2 6 7 < / I D >  
             < N a m e > C o m m e r c i a l   P a p e r s   -   H F T < / N a m e >  
             < N u m b e r > 5 1 3 0 . 5 < / N u m b e r >  
             < I s L i n k e d > f a l s e < / I s L i n k e d >  
             < C h a r t I D > 3 1 1 3 8 4 9 3 0 9 4 0 0 0 0 0 0 0 7 < / C h a r t I D >  
             < S e q u e n c e > 0 < / S e q u e n c e >  
         < / A c c o u n t I n f o >  
         < A c c o u n t I n f o >  
             < I D > 3 1 1 3 8 4 9 3 0 9 4 0 0 0 0 0 2 6 8 < / I D >  
             < N a m e > I n v e s t m e n t   i n   T D R   -   A F S < / N a m e >  
             < N u m b e r > 5 1 4 0 . 1 < / N u m b e r >  
             < I s L i n k e d > f a l s e < / I s L i n k e d >  
             < C h a r t I D > 3 1 1 3 8 4 9 3 0 9 4 0 0 0 0 0 0 0 7 < / C h a r t I D >  
             < S e q u e n c e > 0 < / S e q u e n c e >  
         < / A c c o u n t I n f o >  
         < A c c o u n t I n f o >  
             < I D > 3 1 1 3 8 4 9 3 0 9 4 0 0 0 0 0 2 6 9 < / I D >  
             < N a m e > I n v e s t m e n t   i n   F u t u r e s < / N a m e >  
             < N u m b e r > 5 1 5 0 . 1 < / N u m b e r >  
             < I s L i n k e d > f a l s e < / I s L i n k e d >  
             < C h a r t I D > 3 1 1 3 8 4 9 3 0 9 4 0 0 0 0 0 0 0 7 < / C h a r t I D >  
             < S e q u e n c e > 0 < / S e q u e n c e >  
         < / A c c o u n t I n f o >  
         < A c c o u n t I n f o >  
             < I D > 3 1 1 3 8 4 9 3 0 9 4 0 0 0 0 0 2 7 0 < / I D >  
             < N a m e > D i v i d e n d   r e c e i v a b l e   o n   e q u i t y   s e c u r i t i e s < / N a m e >  
             < N u m b e r > 5 1 6 0 . 1 < / N u m b e r >  
             < I s L i n k e d > f a l s e < / I s L i n k e d >  
             < C h a r t I D > 3 1 1 3 8 4 9 3 0 9 4 0 0 0 0 0 0 0 7 < / C h a r t I D >  
             < S e q u e n c e > 0 < / S e q u e n c e >  
         < / A c c o u n t I n f o >  
         < A c c o u n t I n f o >  
             < I D > 3 1 1 3 8 4 9 3 0 9 4 0 0 0 0 0 2 7 1 < / I D >  
             < N a m e > P r o f i t   r e c e i v a b l e   o n   b a n k   d e p o s i t s < / N a m e >  
             < N u m b e r > 5 1 6 0 . 2 < / N u m b e r >  
             < I s L i n k e d > f a l s e < / I s L i n k e d >  
             < C h a r t I D > 3 1 1 3 8 4 9 3 0 9 4 0 0 0 0 0 0 0 7 < / C h a r t I D >  
             < S e q u e n c e > 0 < / S e q u e n c e >  
         < / A c c o u n t I n f o >  
         < A c c o u n t I n f o >  
             < I D > 3 1 1 3 8 4 9 3 0 9 4 0 0 0 0 0 2 7 2 < / I D >  
             < N a m e > P r o f i t   r e c e i v a b l e   o n   d e b t   s e c u r i t i e s < / N a m e >  
             < N u m b e r > 5 1 6 0 . 3 < / N u m b e r >  
             < I s L i n k e d > f a l s e < / I s L i n k e d >  
             < C h a r t I D > 3 1 1 3 8 4 9 3 0 9 4 0 0 0 0 0 0 0 7 < / C h a r t I D >  
             < S e q u e n c e > 0 < / S e q u e n c e >  
         < / A c c o u n t I n f o >  
         < A c c o u n t I n f o >  
             < I D > 3 1 1 3 8 4 9 3 0 9 4 0 0 0 0 0 2 7 3 < / I D >  
             < N a m e > P r o f i t   r e c e i v a b l e   o n   g o v e r n m e n t   s e c u r i t i e s < / N a m e >  
             < N u m b e r > 5 1 6 0 . 4 < / N u m b e r >  
             < I s L i n k e d > f a l s e < / I s L i n k e d >  
             < C h a r t I D > 3 1 1 3 8 4 9 3 0 9 4 0 0 0 0 0 0 0 7 < / C h a r t I D >  
             < S e q u e n c e > 0 < / S e q u e n c e >  
         < / A c c o u n t I n f o >  
         < A c c o u n t I n f o >  
             < I D > 3 1 1 3 8 4 9 3 0 9 4 0 0 0 0 0 2 7 4 < / I D >  
             < N a m e > P r o f i t   r e c e i v a b l e   o n   t e r m   d e p o s i t   r e c e i p t s < / N a m e >  
             < N u m b e r > 5 1 6 0 . 5 < / N u m b e r >  
             < I s L i n k e d > f a l s e < / I s L i n k e d >  
             < C h a r t I D > 3 1 1 3 8 4 9 3 0 9 4 0 0 0 0 0 0 0 7 < / C h a r t I D >  
             < S e q u e n c e > 0 < / S e q u e n c e >  
         < / A c c o u n t I n f o >  
         < A c c o u n t I n f o >  
             < I D > 3 1 1 3 8 4 9 3 0 9 4 0 0 0 0 0 2 7 5 < / I D >  
             < N a m e > P r o f i t   r e c e i v a b l e   a g a i n s t   M T S < / N a m e >  
             < N u m b e r > 5 1 6 0 . 6 < / N u m b e r >  
             < I s L i n k e d > f a l s e < / I s L i n k e d >  
             < C h a r t I D > 3 1 1 3 8 4 9 3 0 9 4 0 0 0 0 0 0 0 7 < / C h a r t I D >  
             < S e q u e n c e > 0 < / S e q u e n c e >  
         < / A c c o u n t I n f o >  
         < A c c o u n t I n f o >  
             < I D > 3 1 1 3 8 4 9 3 0 9 4 0 0 0 0 0 2 7 6 < / I D >  
             < N a m e > D e p o s i t s ,   p r e p a y m e n t s   a n d   o t h e r   r e c e i v a b l e s < / N a m e >  
             < N u m b e r > 5 1 7 0 . 1 < / N u m b e r >  
             < I s L i n k e d > f a l s e < / I s L i n k e d >  
             < C h a r t I D > 3 1 1 3 8 4 9 3 0 9 4 0 0 0 0 0 0 0 7 < / C h a r t I D >  
             < S e q u e n c e > 0 < / S e q u e n c e >  
         < / A c c o u n t I n f o >  
         < A c c o u n t I n f o >  
             < I D > 3 1 1 3 8 4 9 3 0 9 4 0 0 0 0 0 2 7 7 < / I D >  
             < N a m e > A d v a n c e   T a x < / N a m e >  
             < N u m b e r > 5 1 7 0 . 2 < / N u m b e r >  
             < I s L i n k e d > f a l s e < / I s L i n k e d >  
             < C h a r t I D > 3 1 1 3 8 4 9 3 0 9 4 0 0 0 0 0 0 0 7 < / C h a r t I D >  
             < S e q u e n c e > 0 < / S e q u e n c e >  
         < / A c c o u n t I n f o >  
         < A c c o u n t I n f o >  
             < I D > 3 1 1 3 8 4 9 3 0 9 4 0 0 0 0 0 2 7 8 < / I D >  
             < N a m e > D e p o s i t s   w i t h   N C C P L < / N a m e >  
             < N u m b e r > 5 1 7 0 . 3 < / N u m b e r >  
             < I s L i n k e d > f a l s e < / I s L i n k e d >  
             < C h a r t I D > 3 1 1 3 8 4 9 3 0 9 4 0 0 0 0 0 0 0 7 < / C h a r t I D >  
             < S e q u e n c e > 0 < / S e q u e n c e >  
         < / A c c o u n t I n f o >  
         < A c c o u n t I n f o >  
             < I D > 3 1 1 3 8 4 9 3 0 9 4 0 0 0 0 0 2 7 9 < / I D >  
             < N a m e > D e p o s i t s   w i t h   C D C < / N a m e >  
             < N u m b e r > 5 1 7 0 . 4 < / N u m b e r >  
             < I s L i n k e d > f a l s e < / I s L i n k e d >  
             < C h a r t I D > 3 1 1 3 8 4 9 3 0 9 4 0 0 0 0 0 0 0 7 < / C h a r t I D >  
             < S e q u e n c e > 0 < / S e q u e n c e >  
         < / A c c o u n t I n f o >  
         < A c c o u n t I n f o >  
             < I D > 3 1 1 3 8 4 9 3 0 9 4 0 0 0 0 0 2 8 0 < / I D >  
             < N a m e > M a r g i n   a g a i n s t   T F C < / N a m e >  
             < N u m b e r > 5 1 7 0 . 5 < / N u m b e r >  
             < I s L i n k e d > f a l s e < / I s L i n k e d >  
             < C h a r t I D > 3 1 1 3 8 4 9 3 0 9 4 0 0 0 0 0 0 0 7 < / C h a r t I D >  
             < S e q u e n c e > 0 < / S e q u e n c e >  
         < / A c c o u n t I n f o >  
         < A c c o u n t I n f o >  
             < I D > 3 1 1 3 8 4 9 3 0 9 4 0 0 0 0 0 2 8 1 < / I D >  
             < N a m e > P R E P A Y M E N T   O F   N C C P L   A G A I N S T   M A R G I N   T R A D I N G   S Y S T E M < / N a m e >  
             < N u m b e r > 5 1 7 0 . 5 A < / N u m b e r >  
             < I s L i n k e d > f a l s e < / I s L i n k e d >  
             < C h a r t I D > 3 1 1 3 8 4 9 3 0 9 4 0 0 0 0 0 0 0 7 < / C h a r t I D >  
             < S e q u e n c e > 0 < / S e q u e n c e >  
         < / A c c o u n t I n f o >  
         < A c c o u n t I n f o >  
             < I D > 3 1 1 3 8 4 9 3 0 9 4 0 0 0 0 0 2 8 2 < / I D >  
             < N a m e > P r e p a y m e n t s < / N a m e >  
             < N u m b e r > 5 1 7 0 . 6 < / N u m b e r >  
             < I s L i n k e d > f a l s e < / I s L i n k e d >  
             < C h a r t I D > 3 1 1 3 8 4 9 3 0 9 4 0 0 0 0 0 0 0 7 < / C h a r t I D >  
             < S e q u e n c e > 0 < / S e q u e n c e >  
         < / A c c o u n t I n f o >  
         < A c c o u n t I n f o >  
             < I D > 3 1 1 3 8 4 9 3 0 9 4 0 0 0 0 0 2 8 3 < / I D >  
             < N a m e > R e c e i v a b l e   f r o m   N a t i o n a l   C l e a r i n g   C o m p n a y   o f   P a k i s t a n < / N a m e >  
             < N u m b e r > 5 1 7 0 . 7 < / N u m b e r >  
             < I s L i n k e d > f a l s e < / I s L i n k e d >  
             < C h a r t I D > 3 1 1 3 8 4 9 3 0 9 4 0 0 0 0 0 0 0 7 < / C h a r t I D >  
             < S e q u e n c e > 0 < / S e q u e n c e >  
         < / A c c o u n t I n f o >  
         < A c c o u n t I n f o >  
             < I D > 3 1 1 3 8 4 9 3 0 9 4 0 0 0 0 0 2 8 4 < / I D >  
             < N a m e > P r e l i m i n a r y   e x p e n s e s   a n d   f l o a t a t i o n   c o s t s ,   a n d   O t h e r   A d v a n c e s < / N a m e >  
             < N u m b e r > 5 1 8 0 - 1 < / N u m b e r >  
             < I s L i n k e d > f a l s e < / I s L i n k e d >  
             < C h a r t I D > 3 1 1 3 8 4 9 3 0 9 4 0 0 0 0 0 0 0 7 < / C h a r t I D >  
             < S e q u e n c e > 0 < / S e q u e n c e >  
         < / A c c o u n t I n f o >  
         < A c c o u n t I n f o >  
             < I D > 3 1 1 3 8 4 9 3 0 9 4 0 0 0 0 0 2 8 5 < / I D >  
             < N a m e > P a y a b l e   t o   M a n a g e m e n t   C o m p a n y < / N a m e >  
             < N u m b e r > 6 1 1 0 . 1 < / N u m b e r >  
             < I s L i n k e d > f a l s e < / I s L i n k e d >  
             < C h a r t I D > 3 1 1 3 8 4 9 3 0 9 4 0 0 0 0 0 0 0 7 < / C h a r t I D >  
             < S e q u e n c e > 0 < / S e q u e n c e >  
         < / A c c o u n t I n f o >  
         < A c c o u n t I n f o >  
             < I D > 3 1 1 3 8 4 9 3 0 9 4 0 0 0 0 0 2 8 6 < / I D >  
             < N a m e > P a y a b l e   t o   C e n t r a l   D e p o s i t o r y   C o m p a n y   o f   P a k i s t a n   L i m i t e d   -   T r u s t e e < / N a m e >  
             < N u m b e r > 6 1 2 0 . 1 < / N u m b e r >  
             < I s L i n k e d > f a l s e < / I s L i n k e d >  
             < C h a r t I D > 3 1 1 3 8 4 9 3 0 9 4 0 0 0 0 0 0 0 7 < / C h a r t I D >  
             < S e q u e n c e > 0 < / S e q u e n c e >  
         < / A c c o u n t I n f o >  
         < A c c o u n t I n f o >  
             < I D > 3 1 1 3 8 4 9 3 0 9 4 0 0 0 0 0 2 8 7 < / I D >  
             < N a m e > P a y a b l e   t o   S e c u r i t i e s   a n d   E x c h a n g e   C o m m i s s i o n < / N a m e >  
             < N u m b e r > 6 1 3 0 . 1 < / N u m b e r >  
             < I s L i n k e d > f a l s e < / I s L i n k e d >  
             < C h a r t I D > 3 1 1 3 8 4 9 3 0 9 4 0 0 0 0 0 0 0 7 < / C h a r t I D >  
             < S e q u e n c e > 0 < / S e q u e n c e >  
         < / A c c o u n t I n f o >  
         < A c c o u n t I n f o >  
             < I D > 3 1 1 3 8 4 9 3 0 9 4 0 0 0 0 0 2 8 8 < / I D >  
             < N a m e > P a y a b l e   a g a i n s t   r e d e m p t i o n   o f   u n i t s < / N a m e >  
             < N u m b e r > 6 1 4 0 . 1 < / N u m b e r >  
             < I s L i n k e d > f a l s e < / I s L i n k e d >  
             < C h a r t I D > 3 1 1 3 8 4 9 3 0 9 4 0 0 0 0 0 0 0 7 < / C h a r t I D >  
             < S e q u e n c e > 0 < / S e q u e n c e >  
         < / A c c o u n t I n f o >  
         < A c c o u n t I n f o >  
             < I D > 3 1 1 3 8 4 9 3 0 9 4 0 0 0 0 0 2 8 9 < / I D >  
             < N a m e > P A Y A B L E   A G A I N S T   P U R C H A S E   O F   E Q U I T Y   S E C U R I T I E S < / N a m e >  
             < N u m b e r > 6 1 4 0 . 1 A < / N u m b e r >  
             < I s L i n k e d > f a l s e < / I s L i n k e d >  
             < C h a r t I D > 3 1 1 3 8 4 9 3 0 9 4 0 0 0 0 0 0 0 7 < / C h a r t I D >  
             < S e q u e n c e > 0 < / S e q u e n c e >  
         < / A c c o u n t I n f o >  
         < A c c o u n t I n f o >  
             < I D > 3 1 1 3 8 4 9 3 0 9 4 0 0 0 0 0 2 9 0 < / I D >  
             < N a m e > U n c l a i m e d   d i v i d e n d < / N a m e >  
             < N u m b e r > 6 1 5 0 . 1 < / N u m b e r >  
             < I s L i n k e d > f a l s e < / I s L i n k e d >  
             < C h a r t I D > 3 1 1 3 8 4 9 3 0 9 4 0 0 0 0 0 0 0 7 < / C h a r t I D >  
             < S e q u e n c e > 0 < / S e q u e n c e >  
         < / A c c o u n t I n f o >  
         < A c c o u n t I n f o >  
             < I D > 3 1 1 3 8 4 9 3 0 9 4 0 0 0 0 0 2 9 1 < / I D >  
             < N a m e > A c c r u e d   e x p e n s e s   a n d   o t h e r   l i a b i l i t i e s < / N a m e >  
             < N u m b e r > 6 1 6 0 . 1 < / N u m b e r >  
             < I s L i n k e d > f a l s e < / I s L i n k e d >  
             < C h a r t I D > 3 1 1 3 8 4 9 3 0 9 4 0 0 0 0 0 0 0 7 < / C h a r t I D >  
             < S e q u e n c e > 0 < / S e q u e n c e >  
         < / A c c o u n t I n f o >  
         < A c c o u n t I n f o >  
             < I D > 3 1 1 3 8 4 9 3 0 9 4 0 0 0 0 0 2 9 2 < / I D >  
             < N a m e > P a y a b l e   A g a i n s t   E x p o s u r e   I n   M a g i n   T r a d i n g   S y s t e m < / N a m e >  
             < N u m b e r > 6 1 6 0 . 1 A < / N u m b e r >  
             < I s L i n k e d > f a l s e < / I s L i n k e d >  
             < C h a r t I D > 3 1 1 3 8 4 9 3 0 9 4 0 0 0 0 0 0 0 7 < / C h a r t I D >  
             < S e q u e n c e > 0 < / S e q u e n c e >  
         < / A c c o u n t I n f o >  
         < A c c o u n t I n f o >  
             < I D > 3 1 2 2 5 4 7 6 3 1 5 0 0 0 0 2 3 3 7 < / I D >  
             < N a m e > D i v i d e n d   P a y a b l e < / N a m e >  
             < N u m b e r > 6 1 6 0 . 1 B < / N u m b e r >  
             < I s L i n k e d > f a l s e < / I s L i n k e d >  
             < C h a r t I D > 3 1 1 3 8 4 9 3 0 9 4 0 0 0 0 0 0 0 7 < / C h a r t I D >  
             < S e q u e n c e > 0 < / S e q u e n c e >  
         < / A c c o u n t I n f o >  
         < A c c o u n t I n f o >  
             < I D > 3 1 1 3 8 4 9 3 0 9 4 0 0 0 0 0 2 9 3 < / I D >  
             < N a m e > D i v i d e n d   p a y a b l e < / N a m e >  
             < N u m b e r > 6 1 7 0 . 1 < / N u m b e r >  
             < I s L i n k e d > f a l s e < / I s L i n k e d >  
             < C h a r t I D > 3 1 1 3 8 4 9 3 0 9 4 0 0 0 0 0 0 0 7 < / C h a r t I D >  
             < S e q u e n c e > 0 < / S e q u e n c e >  
         < / A c c o u n t I n f o >  
         < A c c o u n t I n f o >  
             < I D > 3 1 1 3 8 4 9 3 0 9 4 0 0 0 0 0 2 9 4 < / I D >  
             < N a m e > T a x   P a y a b l e < / N a m e >  
             < N u m b e r > 6 1 8 0 < / N u m b e r >  
             < I s L i n k e d > f a l s e < / I s L i n k e d >  
             < C h a r t I D > 3 1 1 3 8 4 9 3 0 9 4 0 0 0 0 0 0 0 7 < / C h a r t I D >  
             < S e q u e n c e > 0 < / S e q u e n c e >  
         < / A c c o u n t I n f o >  
         < A c c o u n t I n f o >  
             < I D > 3 1 1 3 8 4 9 3 0 9 4 0 0 0 0 0 2 9 5 < / I D >  
             < N a m e > I s s u e d ,   s u b s c r i b e d   a n d   p a i d - u p   c a p i t a l < / N a m e >  
             < N u m b e r > 7 1 1 0 . 1 < / N u m b e r >  
             < I s L i n k e d > f a l s e < / I s L i n k e d >  
             < C h a r t I D > 3 1 1 3 8 4 9 3 0 9 4 0 0 0 0 0 0 0 7 < / C h a r t I D >  
             < S e q u e n c e > 0 < / S e q u e n c e >  
         < / A c c o u n t I n f o >  
         < A c c o u n t I n f o >  
             < I D > 3 1 1 3 8 4 9 3 0 9 4 0 0 0 0 0 2 9 6 < / I D >  
             < N a m e > U n r e a l i z e d   a p p r e c i a t i o n   i n   v a l u e   o f   i n v e s t m e n t s - A F S < / N a m e >  
             < N u m b e r > 7 2 1 0 . 1 < / N u m b e r >  
             < I s L i n k e d > f a l s e < / I s L i n k e d >  
             < C h a r t I D > 3 1 1 3 8 4 9 3 0 9 4 0 0 0 0 0 0 0 7 < / C h a r t I D >  
             < S e q u e n c e > 0 < / S e q u e n c e >  
         < / A c c o u n t I n f o >  
         < A c c o u n t I n f o >  
             < I D > 3 1 1 3 8 4 9 3 0 9 4 0 0 0 0 0 2 9 7 < / I D >  
             < N a m e > A c c u m u l a t e d   l o s s < / N a m e >  
             < N u m b e r > 7 2 2 0 . 2 < / N u m b e r >  
             < I s L i n k e d > f a l s e < / I s L i n k e d >  
             < C h a r t I D > 3 1 1 3 8 4 9 3 0 9 4 0 0 0 0 0 0 0 7 < / C h a r t I D >  
             < S e q u e n c e > 0 < / S e q u e n c e >  
         < / A c c o u n t I n f o >  
         < A c c o u n t I n f o >  
             < I D > 3 1 1 3 8 4 9 3 0 9 4 0 0 0 0 0 2 9 8 < / I D >  
             < N a m e > U n i t   h o l d e r s   F u n d < / N a m e >  
             < N u m b e r > 7 2 3 0 < / N u m b e r >  
             < I s L i n k e d > f a l s e < / I s L i n k e d >  
             < C h a r t I D > 3 1 1 3 8 4 9 3 0 9 4 0 0 0 0 0 0 0 7 < / C h a r t I D >  
             < S e q u e n c e > 0 < / S e q u e n c e >  
         < / A c c o u n t I n f o >  
         < A c c o u n t I n f o >  
             < I D > 3 1 1 3 8 4 9 3 0 9 4 0 0 0 0 0 2 9 9 < / I D >  
             < N a m e > R e a l i z e d   E l e m e n t   o f   i n c o m e < / N a m e >  
             < N u m b e r > 7 2 3 0 . 1 < / N u m b e r >  
             < I s L i n k e d > f a l s e < / I s L i n k e d >  
             < C h a r t I D > 3 1 1 3 8 4 9 3 0 9 4 0 0 0 0 0 0 0 7 < / C h a r t I D >  
             < S e q u e n c e > 0 < / S e q u e n c e >  
         < / A c c o u n t I n f o >  
         < A c c o u n t I n f o >  
             < I D > 3 1 1 3 8 4 9 3 0 9 4 0 0 0 0 0 3 0 0 < / I D >  
             < N a m e > U n r e a l i z e d   E l e m e n t   o f   i n c o m e < / N a m e >  
             < N u m b e r > 7 2 3 0 . 2 < / N u m b e r >  
             < I s L i n k e d > f a l s e < / I s L i n k e d >  
             < C h a r t I D > 3 1 1 3 8 4 9 3 0 9 4 0 0 0 0 0 0 0 7 < / C h a r t I D >  
             < S e q u e n c e > 0 < / S e q u e n c e >  
         < / A c c o u n t I n f o >  
         < A c c o u n t I n f o >  
             < I D > 3 1 1 3 8 4 9 3 0 9 4 0 0 0 0 0 3 0 1 < / I D >  
             < N a m e > C a p i t a l   g a i n   /   ( l o s s )   o n   s a l e   o f   i n v e s t m e n t s   -   n e t < / N a m e >  
             < N u m b e r > 8 1 1 0 . 1 < / N u m b e r >  
             < I s L i n k e d > f a l s e < / I s L i n k e d >  
             < C h a r t I D > 3 1 1 3 8 4 9 3 0 9 4 0 0 0 0 0 0 0 7 < / C h a r t I D >  
             < S e q u e n c e > 0 < / S e q u e n c e >  
         < / A c c o u n t I n f o >  
         < A c c o u n t I n f o >  
             < I D > 3 1 1 3 8 4 9 3 0 9 4 0 0 0 0 0 3 0 2 < / I D >  
             < N a m e > I n c o m e   f r o m   C F S   T r a n s a c t i o n s < / N a m e >  
             < N u m b e r > 8 1 1 0 . 1 A < / N u m b e r >  
             < I s L i n k e d > f a l s e < / I s L i n k e d >  
             < C h a r t I D > 3 1 1 3 8 4 9 3 0 9 4 0 0 0 0 0 0 0 7 < / C h a r t I D >  
             < S e q u e n c e > 0 < / S e q u e n c e >  
         < / A c c o u n t I n f o >  
         < A c c o u n t I n f o >  
             < I D > 3 1 1 3 8 4 9 3 0 9 4 0 0 0 0 0 3 0 3 < / I D >  
             < N a m e > I n c o m e   f r o m   i n v e s t m e n t   i n   D e r i v a t i v e < / N a m e >  
             < N u m b e r > 8 1 1 0 . 1 B < / N u m b e r >  
             < I s L i n k e d > f a l s e < / I s L i n k e d >  
             < C h a r t I D > 3 1 1 3 8 4 9 3 0 9 4 0 0 0 0 0 0 0 7 < / C h a r t I D >  
             < S e q u e n c e > 0 < / S e q u e n c e >  
         < / A c c o u n t I n f o >  
         < A c c o u n t I n f o >  
             < I D > 3 1 1 3 8 4 9 3 0 9 4 0 0 0 0 0 3 0 4 < / I D >  
             < N a m e > I n c o m e   f r o m   T e r m   F i n a n c e   C e r t i f i c a t e s < / N a m e >  
             < N u m b e r > 8 1 1 0 . 2 A < / N u m b e r >  
             < I s L i n k e d > f a l s e < / I s L i n k e d >  
             < C h a r t I D > 3 1 1 3 8 4 9 3 0 9 4 0 0 0 0 0 0 0 7 < / C h a r t I D >  
             < S e q u e n c e > 0 < / S e q u e n c e >  
         < / A c c o u n t I n f o >  
         < A c c o u n t I n f o >  
             < I D > 3 1 1 3 8 4 9 3 0 9 4 0 0 0 0 0 3 0 5 < / I D >  
             < N a m e > I n c o m e   f r o m   G o v e r n m e n t   S e c u r i t i e s < / N a m e >  
             < N u m b e r > 8 1 1 0 . 3 A < / N u m b e r >  
             < I s L i n k e d > f a l s e < / I s L i n k e d >  
             < C h a r t I D > 3 1 1 3 8 4 9 3 0 9 4 0 0 0 0 0 0 0 7 < / C h a r t I D >  
             < S e q u e n c e > 0 < / S e q u e n c e >  
         < / A c c o u n t I n f o >  
         < A c c o u n t I n f o >  
             < I D > 3 1 1 3 8 4 9 3 0 9 4 0 0 0 0 0 3 0 6 < / I D >  
             < N a m e > I n c o m e   f r o m   p l a c e m e n t s   w i t h   f i n a n c i a l   i n s t i t u t i o n s < / N a m e >  
             < N u m b e r > 8 1 1 0 . 4 A < / N u m b e r >  
             < I s L i n k e d > f a l s e < / I s L i n k e d >  
             < C h a r t I D > 3 1 1 3 8 4 9 3 0 9 4 0 0 0 0 0 0 0 7 < / C h a r t I D >  
             < S e q u e n c e > 0 < / S e q u e n c e >  
         < / A c c o u n t I n f o >  
         < A c c o u n t I n f o >  
             < I D > 3 1 1 3 8 4 9 3 0 9 4 0 0 0 0 0 3 0 7 < / I D >  
             < N a m e > I n c o m e   o n   C P < / N a m e >  
             < N u m b e r > 8 1 1 0 . 4 B < / N u m b e r >  
             < I s L i n k e d > f a l s e < / I s L i n k e d >  
             < C h a r t I D > 3 1 1 3 8 4 9 3 0 9 4 0 0 0 0 0 0 0 7 < / C h a r t I D >  
             < S e q u e n c e > 0 < / S e q u e n c e >  
         < / A c c o u n t I n f o >  
         < A c c o u n t I n f o >  
             < I D > 3 1 1 3 8 4 9 3 0 9 4 0 0 0 0 0 3 0 8 < / I D >  
             < N a m e > I n c o m e   f r o m   T D R < / N a m e >  
             < N u m b e r > 8 1 1 0 . 5 A < / N u m b e r >  
             < I s L i n k e d > f a l s e < / I s L i n k e d >  
             < C h a r t I D > 3 1 1 3 8 4 9 3 0 9 4 0 0 0 0 0 0 0 7 < / C h a r t I D >  
             < S e q u e n c e > 0 < / S e q u e n c e >  
         < / A c c o u n t I n f o >  
         < A c c o u n t I n f o >  
             < I D > 3 1 1 3 8 4 9 3 0 9 4 0 0 0 0 0 3 0 9 < / I D >  
             < N a m e > I n c o m e   o n   N C C P L   m a r g i n < / N a m e >  
             < N u m b e r > 8 1 1 0 . 6 A < / N u m b e r >  
             < I s L i n k e d > f a l s e < / I s L i n k e d >  
             < C h a r t I D > 3 1 1 3 8 4 9 3 0 9 4 0 0 0 0 0 0 0 7 < / C h a r t I D >  
             < S e q u e n c e > 0 < / S e q u e n c e >  
         < / A c c o u n t I n f o >  
         < A c c o u n t I n f o >  
             < I D > 3 1 1 3 8 4 9 3 0 9 4 0 0 0 0 0 3 1 0 < / I D >  
             < N a m e > M a r k u p   I n c o m e   o n   M T S < / N a m e >  
             < N u m b e r > 8 1 1 0 . 6 B < / N u m b e r >  
             < I s L i n k e d > f a l s e < / I s L i n k e d >  
             < C h a r t I D > 3 1 1 3 8 4 9 3 0 9 4 0 0 0 0 0 0 0 7 < / C h a r t I D >  
             < S e q u e n c e > 0 < / S e q u e n c e >  
         < / A c c o u n t I n f o >  
         < A c c o u n t I n f o >  
             < I D > 3 1 1 3 8 4 9 3 0 9 4 0 0 0 0 0 3 1 1 < / I D >  
             < N a m e > P r o f i t   o n   b a n k   d e p o s i t s < / N a m e >  
             < N u m b e r > 8 1 1 0 . 7 A < / N u m b e r >  
             < I s L i n k e d > f a l s e < / I s L i n k e d >  
             < C h a r t I D > 3 1 1 3 8 4 9 3 0 9 4 0 0 0 0 0 0 0 7 < / C h a r t I D >  
             < S e q u e n c e > 0 < / S e q u e n c e >  
         < / A c c o u n t I n f o >  
         < A c c o u n t I n f o >  
             < I D > 3 1 1 3 8 4 9 3 0 9 4 0 0 0 0 0 3 1 2 < / I D >  
             < N a m e > U n r e a l i z e d   a p p r e c i a t i o n   /   ( d i m i n u i t i o n )   i n   v a l u e   o f   i n v e s t m e n t s   a t   f a i r   v a l u e   t h r o u g h   p r o f i t   o r   l o s s < / N a m e >  
             < N u m b e r > 8 1 1 0 . 8 A < / N u m b e r >  
             < I s L i n k e d > f a l s e < / I s L i n k e d >  
             < C h a r t I D > 3 1 1 3 8 4 9 3 0 9 4 0 0 0 0 0 0 0 7 < / C h a r t I D >  
             < S e q u e n c e > 0 < / S e q u e n c e >  
         < / A c c o u n t I n f o >  
         < A c c o u n t I n f o >  
             < I D > 3 1 1 3 8 4 9 3 0 9 4 0 0 0 0 0 3 1 3 < / I D >  
             < N a m e > D i v i d e n d   I n c o m e < / N a m e >  
             < N u m b e r > 8 1 1 0 . 9 A < / N u m b e r >  
             < I s L i n k e d > f a l s e < / I s L i n k e d >  
             < C h a r t I D > 3 1 1 3 8 4 9 3 0 9 4 0 0 0 0 0 0 0 7 < / C h a r t I D >  
             < S e q u e n c e > 0 < / S e q u e n c e >  
         < / A c c o u n t I n f o >  
         < A c c o u n t I n f o >  
             < I D > 3 1 1 3 8 4 9 3 0 9 4 0 0 0 0 0 3 1 4 < / I D >  
             < N a m e > O t h e r   i n c o m e < / N a m e >  
             < N u m b e r > 8 1 1 1 < / N u m b e r >  
             < I s L i n k e d > f a l s e < / I s L i n k e d >  
             < C h a r t I D > 3 1 1 3 8 4 9 3 0 9 4 0 0 0 0 0 0 0 7 < / C h a r t I D >  
             < S e q u e n c e > 0 < / S e q u e n c e >  
         < / A c c o u n t I n f o >  
         < A c c o u n t I n f o >  
             < I D > 3 1 1 3 8 4 9 3 0 9 4 0 0 0 0 0 3 1 5 < / I D >  
             < N a m e > R e m u n e r a t i o n   o f   m a n a g e m e n t   c o m p a n y < / N a m e >  
             < N u m b e r > 8 1 2 0 . 1 < / N u m b e r >  
             < I s L i n k e d > f a l s e < / I s L i n k e d >  
             < C h a r t I D > 3 1 1 3 8 4 9 3 0 9 4 0 0 0 0 0 0 0 7 < / C h a r t I D >  
             < S e q u e n c e > 0 < / S e q u e n c e >  
         < / A c c o u n t I n f o >  
         < A c c o u n t I n f o >  
             < I D > 3 1 1 3 8 4 9 3 0 9 4 0 0 0 0 0 3 1 6 < / I D >  
             < N a m e > R e m u n e r a t i o n   o f   C D C   -   T r u s t e e < / N a m e >  
             < N u m b e r > 8 1 2 0 . 1 A < / N u m b e r >  
             < I s L i n k e d > f a l s e < / I s L i n k e d >  
             < C h a r t I D > 3 1 1 3 8 4 9 3 0 9 4 0 0 0 0 0 0 0 7 < / C h a r t I D >  
             < S e q u e n c e > 0 < / S e q u e n c e >  
         < / A c c o u n t I n f o >  
         < A c c o u n t I n f o >  
             < I D > 3 1 1 3 8 4 9 3 0 9 4 0 0 0 0 0 3 1 7 < / I D >  
             < N a m e > A n n u a l   f e e   -   S E C P < / N a m e >  
             < N u m b e r > 8 1 2 0 . 2 A < / N u m b e r >  
             < I s L i n k e d > f a l s e < / I s L i n k e d >  
             < C h a r t I D > 3 1 1 3 8 4 9 3 0 9 4 0 0 0 0 0 0 0 7 < / C h a r t I D >  
             < S e q u e n c e > 0 < / S e q u e n c e >  
         < / A c c o u n t I n f o >  
         < A c c o u n t I n f o >  
             < I D > 3 1 1 3 8 4 9 3 0 9 4 0 0 0 0 0 3 1 8 < / I D >  
             < N a m e > S e c u r i t i e s   t r a n s a c t i n   c o s t < / N a m e >  
             < N u m b e r > 8 1 3 0 . 1 < / N u m b e r >  
             < I s L i n k e d > f a l s e < / I s L i n k e d >  
             < C h a r t I D > 3 1 1 3 8 4 9 3 0 9 4 0 0 0 0 0 0 0 7 < / C h a r t I D >  
             < S e q u e n c e > 0 < / S e q u e n c e >  
         < / A c c o u n t I n f o >  
         < A c c o u n t I n f o >  
             < I D > 3 1 1 3 8 4 9 3 0 9 4 0 0 0 0 0 3 1 9 < / I D >  
             < N a m e > C o n v e r s i o n   c o s t < / N a m e >  
             < N u m b e r > 8 1 3 0 . 2 < / N u m b e r >  
             < I s L i n k e d > f a l s e < / I s L i n k e d >  
             < C h a r t I D > 3 1 1 3 8 4 9 3 0 9 4 0 0 0 0 0 0 0 7 < / C h a r t I D >  
             < S e q u e n c e > 0 < / S e q u e n c e >  
         < / A c c o u n t I n f o >  
         < A c c o u n t I n f o >  
             < I D > 3 1 1 3 8 4 9 3 0 9 4 0 0 0 0 0 3 2 0 < / I D >  
             < N a m e > F i n a n c i a l   C h a r g e s < / N a m e >  
             < N u m b e r > 8 1 3 0 . 3 < / N u m b e r >  
             < I s L i n k e d > f a l s e < / I s L i n k e d >  
             < C h a r t I D > 3 1 1 3 8 4 9 3 0 9 4 0 0 0 0 0 0 0 7 < / C h a r t I D >  
             < S e q u e n c e > 0 < / S e q u e n c e >  
         < / A c c o u n t I n f o >  
         < A c c o u n t I n f o >  
             < I D > 3 1 1 3 8 4 9 3 0 9 4 0 0 0 0 0 3 2 1 < / I D >  
             < N a m e > B a n k   C h a r g e s < / N a m e >  
             < N u m b e r > 8 1 3 0 . 4 < / N u m b e r >  
             < I s L i n k e d > f a l s e < / I s L i n k e d >  
             < C h a r t I D > 3 1 1 3 8 4 9 3 0 9 4 0 0 0 0 0 0 0 7 < / C h a r t I D >  
             < S e q u e n c e > 0 < / S e q u e n c e >  
         < / A c c o u n t I n f o >  
         < A c c o u n t I n f o >  
             < I D > 3 1 1 3 8 4 9 3 0 9 4 0 0 0 0 0 3 2 2 < / I D >  
             < N a m e > L e g a l   a n d   P r o f e s s i o n a l   C h a r g e s < / N a m e >  
             < N u m b e r > 8 1 3 3 < / N u m b e r >  
             < I s L i n k e d > f a l s e < / I s L i n k e d >  
             < C h a r t I D > 3 1 1 3 8 4 9 3 0 9 4 0 0 0 0 0 0 0 7 < / C h a r t I D >  
             < S e q u e n c e > 0 < / S e q u e n c e >  
         < / A c c o u n t I n f o >  
         < A c c o u n t I n f o >  
             < I D > 3 1 1 3 8 4 9 3 0 9 4 0 0 0 0 0 3 2 3 < / I D >  
             < N a m e > F e e s   a n d   s u b s c r i p t i o n < / N a m e >  
             < N u m b e r > 8 1 4 0 . 1 < / N u m b e r >  
             < I s L i n k e d > f a l s e < / I s L i n k e d >  
             < C h a r t I D > 3 1 1 3 8 4 9 3 0 9 4 0 0 0 0 0 0 0 7 < / C h a r t I D >  
             < S e q u e n c e > 0 < / S e q u e n c e >  
         < / A c c o u n t I n f o >  
         < A c c o u n t I n f o >  
             < I D > 3 1 1 3 8 4 9 3 0 9 4 0 0 0 0 0 3 2 4 < / I D >  
             < N a m e > P o f e s s i o n a l   c h a r g e s   o n   M T S < / N a m e >  
             < N u m b e r > 8 1 4 0 . 2 < / N u m b e r >  
             < I s L i n k e d > f a l s e < / I s L i n k e d >  
             < C h a r t I D > 3 1 1 3 8 4 9 3 0 9 4 0 0 0 0 0 0 0 7 < / C h a r t I D >  
             < S e q u e n c e > 0 < / S e q u e n c e >  
         < / A c c o u n t I n f o >  
         < A c c o u n t I n f o >  
             < I D > 3 1 1 3 8 4 9 3 0 9 4 0 0 0 0 0 3 2 5 < / I D >  
             < N a m e > S e t t l e m e n t   C h a r g e s < / N a m e >  
             < N u m b e r > 8 1 5 0 . 1 < / N u m b e r >  
             < I s L i n k e d > f a l s e < / I s L i n k e d >  
             < C h a r t I D > 3 1 1 3 8 4 9 3 0 9 4 0 0 0 0 0 0 0 7 < / C h a r t I D >  
             < S e q u e n c e > 0 < / S e q u e n c e >  
         < / A c c o u n t I n f o >  
         < A c c o u n t I n f o >  
             < I D > 3 1 1 3 8 4 9 3 0 9 4 0 0 0 0 0 3 2 6 < / I D >  
             < N a m e > P r i n t i n g   a n d   r e l a t e d   c o s t < / N a m e >  
             < N u m b e r > 8 1 5 0 . 1 A < / N u m b e r >  
             < I s L i n k e d > f a l s e < / I s L i n k e d >  
             < C h a r t I D > 3 1 1 3 8 4 9 3 0 9 4 0 0 0 0 0 0 0 7 < / C h a r t I D >  
             < S e q u e n c e > 0 < / S e q u e n c e >  
         < / A c c o u n t I n f o >  
         < A c c o u n t I n f o >  
             < I D > 3 1 1 3 8 4 9 3 0 9 4 0 0 0 0 0 3 2 7 < / I D >  
             < N a m e > A u d i t o r ' s   r e m u n e r a t i o n < / N a m e >  
             < N u m b e r > 8 1 5 0 . 2 A < / N u m b e r >  
             < I s L i n k e d > f a l s e < / I s L i n k e d >  
             < C h a r t I D > 3 1 1 3 8 4 9 3 0 9 4 0 0 0 0 0 0 0 7 < / C h a r t I D >  
             < S e q u e n c e > 0 < / S e q u e n c e >  
         < / A c c o u n t I n f o >  
         < A c c o u n t I n f o >  
             < I D > 3 1 1 3 8 4 9 3 0 9 4 0 0 0 0 0 3 2 8 < / I D >  
             < N a m e > A m o r t i z a t i o n   o f   p r e l i m i n a r y   e x p e n s e s   a n d   f l o t a t i o n   c o s t s < / N a m e >  
             < N u m b e r > 8 1 5 0 . 3 A < / N u m b e r >  
             < I s L i n k e d > f a l s e < / I s L i n k e d >  
             < C h a r t I D > 3 1 1 3 8 4 9 3 0 9 4 0 0 0 0 0 0 0 7 < / C h a r t I D >  
             < S e q u e n c e > 0 < / S e q u e n c e >  
         < / A c c o u n t I n f o >  
         < A c c o u n t I n f o >  
             < I D > 3 1 1 3 8 4 9 3 0 9 4 0 0 0 0 0 3 2 9 < / I D >  
             < N a m e > P r o v i s i o n   A g a i n s t   I m p a i r m e n t   L o s s - E X P < / N a m e >  
             < N u m b e r > 8 1 6 0 . 1 < / N u m b e r >  
             < I s L i n k e d > f a l s e < / I s L i n k e d >  
             < C h a r t I D > 3 1 1 3 8 4 9 3 0 9 4 0 0 0 0 0 0 0 7 < / C h a r t I D >  
             < S e q u e n c e > 0 < / S e q u e n c e >  
         < / A c c o u n t I n f o >  
         < A c c o u n t I n f o >  
             < I D > 3 1 1 3 8 4 9 3 0 9 4 0 0 0 0 0 3 3 0 < / I D >  
             < N a m e > W W F - E X P < / N a m e >  
             < N u m b e r > 8 1 6 0 . 2 < / N u m b e r >  
             < I s L i n k e d > f a l s e < / I s L i n k e d >  
             < C h a r t I D > 3 1 1 3 8 4 9 3 0 9 4 0 0 0 0 0 0 0 7 < / C h a r t I D >  
             < S e q u e n c e > 0 < / S e q u e n c e >  
         < / A c c o u n t I n f o >  
         < A c c o u n t I n f o >  
             < I D > 3 1 1 3 8 4 9 3 0 9 4 0 0 0 0 0 3 3 1 < / I D >  
             < N a m e > S a l e s   T a x   o n   T r u s t e e   F e e s < / N a m e >  
             < N u m b e r > 8 1 7 0 . 1 < / N u m b e r >  
             < I s L i n k e d > f a l s e < / I s L i n k e d >  
             < C h a r t I D > 3 1 1 3 8 4 9 3 0 9 4 0 0 0 0 0 0 0 7 < / C h a r t I D >  
             < S e q u e n c e > 0 < / S e q u e n c e >  
         < / A c c o u n t I n f o >  
         < A c c o u n t I n f o >  
             < I D > 3 1 1 3 8 4 9 3 0 9 4 0 0 0 0 0 3 3 2 < / I D >  
             < N a m e > B a c k   o f f i c e   e x p e n s e < / N a m e >  
             < N u m b e r > 8 1 8 0 . 1 < / N u m b e r >  
             < I s L i n k e d > f a l s e < / I s L i n k e d >  
             < C h a r t I D > 3 1 1 3 8 4 9 3 0 9 4 0 0 0 0 0 0 0 7 < / C h a r t I D >  
             < S e q u e n c e > 0 < / S e q u e n c e >  
         < / A c c o u n t I n f o >  
         < A c c o u n t I n f o >  
             < I D > 3 4 1 8 0 2 8 0 3 4 4 0 0 0 0 1 0 7 2 < / I D >  
             < N a m e > M a r k e t i n g   a n d   s e l l i n g   e x p e n s e < / N a m e >  
             < N u m b e r > 8 1 8 5 , 1 < / N u m b e r >  
             < I s L i n k e d > f a l s e < / I s L i n k e d >  
             < C h a r t I D > 3 1 1 3 8 4 9 3 0 9 4 0 0 0 0 0 0 0 7 < / C h a r t I D >  
             < S e q u e n c e > 0 < / S e q u e n c e >  
         < / A c c o u n t I n f o >  
         < A c c o u n t I n f o >  
             < I D > 3 1 1 3 8 4 9 3 0 9 4 0 0 0 0 0 3 3 3 < / I D >  
             < N a m e > R e a l i z e d   E l e m e n t   & a m p ;   C G < / N a m e >  
             < N u m b e r > 9 1 1 0 . 1 < / N u m b e r >  
             < I s L i n k e d > f a l s e < / I s L i n k e d >  
             < C h a r t I D > 3 1 1 3 8 4 9 3 0 9 4 0 0 0 0 0 0 0 7 < / C h a r t I D >  
             < S e q u e n c e > 0 < / S e q u e n c e >  
         < / A c c o u n t I n f o >  
         < A c c o u n t I n f o >  
             < I D > 3 1 1 3 8 4 9 3 0 9 4 0 0 0 0 0 3 3 4 < / I D >  
             < N a m e > U n r e a l i z e d   E l e m e n t   & a m p ;   C a p i t a l   G a i n < / N a m e >  
             < N u m b e r > 9 1 1 0 . 2 < / N u m b e r >  
             < I s L i n k e d > f a l s e < / I s L i n k e d >  
             < C h a r t I D > 3 1 1 3 8 4 9 3 0 9 4 0 0 0 0 0 0 0 7 < / C h a r t I D >  
             < S e q u e n c e > 0 < / S e q u e n c e >  
         < / A c c o u n t I n f o >  
         < A c c o u n t I n f o >  
             < I D > 3 1 1 3 8 4 9 3 0 9 4 0 0 0 0 0 3 3 5 < / I D >  
             < N a m e > R e l a t e d   p a r t i e s   d i s c l o s u r e < / N a m e >  
             < N u m b e r > 9 1 1 0 . 3 < / N u m b e r >  
             < I s L i n k e d > f a l s e < / I s L i n k e d >  
             < C h a r t I D > 3 1 1 3 8 4 9 3 0 9 4 0 0 0 0 0 0 0 7 < / C h a r t I D >  
             < S e q u e n c e > 0 < / S e q u e n c e >  
         < / A c c o u n t I n f o >  
     < / T a r g e t A c c o u n t I n f o L i s t >  
     < D A A c c o u n t T y p e L i s t / >  
     < I s C o n s o l i d a t e d T B > f a l s e < / I s C o n s o l i d a t e d T B >  
 < / L e a d S h e e t P a r a m s > 
</file>

<file path=customXml/item6.xml>��< ? x m l   v e r s i o n = " 1 . 0 "   e n c o d i n g = " u t f - 1 6 " ? > < P a r t M a p   x m l n s : x s d = " h t t p : / / w w w . w 3 . o r g / 2 0 0 1 / X M L S c h e m a "   x m l n s : x s i = " h t t p : / / w w w . w 3 . o r g / 2 0 0 1 / X M L S c h e m a - i n s t a n c e " >  
     < P a r t s >  
         < P a r t I t e m >  
             < P r o p e r t y N a m e > A d d e d R a n g e L i s t < / P r o p e r t y N a m e >  
             < V a l u e > { 2 3 B C C 4 5 2 - A 2 1 0 - 4 0 C 1 - B 6 7 3 - 2 7 B E 0 0 8 D 2 4 C E } < / V a l u e >  
         < / P a r t I t e m >  
         < P a r t I t e m >  
             < P r o p e r t y N a m e > L e a d S h e e t N o t S y n c h e d < / P r o p e r t y N a m e >  
             < V a l u e > { 9 4 6 8 7 5 3 0 - A B A C - 4 8 0 3 - 9 3 D C - C E 8 B 9 5 D 5 9 E E 1 } < / V a l u e >  
         < / P a r t I t e m >  
         < P a r t I t e m >  
             < P r o p e r t y N a m e > L e a d S h e e t P a r a m K e y < / P r o p e r t y N a m e >  
             < V a l u e > { A A D 5 5 2 2 E - E 7 A 5 - 4 F 8 4 - 9 8 A 3 - 9 7 D 5 E 0 F F E 2 3 C } < / V a l u e >  
         < / P a r t I t e m >  
         < P a r t I t e m >  
             < P r o p e r t y N a m e > L e a d S h e e t D a t a K e y < / P r o p e r t y N a m e >  
             < V a l u e > { 7 3 9 2 2 5 B B - A B A 0 - 4 A 3 2 - A 5 3 F - E E D 2 4 C 7 E B 9 D E } < / V a l u e >  
         < / P a r t I t e m >  
     < / P a r t s >  
 < / P a r t M a p > 
</file>

<file path=customXml/item7.xml><?xml version="1.0" encoding="utf-8"?>
<boolean xmlns="http://schemas.dtt.com/da/LeadSheetOpenXML">true</boolean>
</file>

<file path=customXml/item8.xml>��< ? x m l   v e r s i o n = " 1 . 0 "   e n c o d i n g = " u t f - 1 6 " ? > < A r r a y O f S t r i n g   x m l n s : x s d = " h t t p : / / w w w . w 3 . o r g / 2 0 0 1 / X M L S c h e m a "   x m l n s : x s i = " h t t p : / / w w w . w 3 . o r g / 2 0 0 1 / X M L S c h e m a - i n s t a n c e " / > 
</file>

<file path=customXml/item9.xml>��< ? x m l   v e r s i o n = " 1 . 0 "   e n c o d i n g = " u t f - 1 6 " ? > < L e a d S h e e t D a t a S t o r a g e   x m l n s : x s d = " h t t p : / / w w w . w 3 . o r g / 2 0 0 1 / X M L S c h e m a "   x m l n s : x s i = " h t t p : / / w w w . w 3 . o r g / 2 0 0 1 / X M L S c h e m a - i n s t a n c e " >  
     < D A M a p p i n g L i s t / >  
     < A c c o u n t G r o u p s >  
         < A c c o u n t G r o u p I n f o >  
             < N a m e > B a n k   B a l a n c e s < / N a m e >  
             < T a r g e t A c c o u n t I D > 3 1 1 3 8 4 9 3 0 9 4 0 0 0 0 0 2 5 8 < / T a r g e t A c c o u n t I D >  
             < T a r g e t A c c o u n t N u m b e r > 5 1 1 0 . 1 < / T a r g e t A c c o u n t N u m b e r >  
         < / A c c o u n t G r o u p I n f o >  
         < A c c o u n t G r o u p I n f o >  
             < N a m e > R e c e i v a b l e   a g a i n s t   s a l e   o f   i n v e s t m e n t < / N a m e >  
             < T a r g e t A c c o u n t I D > 3 1 1 3 8 4 9 3 0 9 4 0 0 0 0 0 2 5 9 < / T a r g e t A c c o u n t I D >  
             < T a r g e t A c c o u n t N u m b e r > 5 1 2 0 . 1 < / T a r g e t A c c o u n t N u m b e r >  
         < / A c c o u n t G r o u p I n f o >  
         < A c c o u n t G r o u p I n f o >  
             < N a m e > R e c e i v a b l e   a g a i n s t   M a r g i n   T r a d i n g   S y s t e m   T r a n s a c t i o n s < / N a m e >  
             < T a r g e t A c c o u n t I D > 3 1 1 3 8 4 9 3 0 9 4 0 0 0 0 0 2 6 0 < / T a r g e t A c c o u n t I D >  
             < T a r g e t A c c o u n t N u m b e r > 5 1 2 0 . 1 A < / T a r g e t A c c o u n t N u m b e r >  
         < / A c c o u n t G r o u p I n f o >  
         < A c c o u n t G r o u p I n f o >  
             < N a m e > T e r m   F i n a n c e   C e r t i f i c a t e s   -   F V T P L < / N a m e >  
             < T a r g e t A c c o u n t I D > 3 1 1 3 8 4 9 3 0 9 4 0 0 0 0 0 2 6 1 < / T a r g e t A c c o u n t I D >  
             < T a r g e t A c c o u n t N u m b e r > 5 1 3 0 . 1 < / T a r g e t A c c o u n t N u m b e r >  
         < / A c c o u n t G r o u p I n f o >  
         < A c c o u n t G r o u p I n f o >  
             < N a m e > T e r m   F i n a n c e   C e r t i f i c a t e s   -   A F S < / N a m e >  
             < T a r g e t A c c o u n t I D > 3 1 1 3 8 4 9 3 0 9 4 0 0 0 0 0 2 6 2 < / T a r g e t A c c o u n t I D >  
             < T a r g e t A c c o u n t N u m b e r > 5 1 3 0 . 1 A < / T a r g e t A c c o u n t N u m b e r >  
         < / A c c o u n t G r o u p I n f o >  
         < A c c o u n t G r o u p I n f o >  
             < N a m e > C e r t i f i c a t e   o f   M u s h a r i k a < / N a m e >  
             < T a r g e t A c c o u n t I D > 3 1 1 3 8 4 9 3 0 9 4 0 0 0 0 0 2 6 3 < / T a r g e t A c c o u n t I D >  
             < T a r g e t A c c o u n t N u m b e r > 5 1 3 0 . 2 < / T a r g e t A c c o u n t N u m b e r >  
         < / A c c o u n t G r o u p I n f o >  
         < A c c o u n t G r o u p I n f o >  
             < N a m e > G o v e r n m e n t   s e c u r i t i e s   -   H F T < / N a m e >  
             < T a r g e t A c c o u n t I D > 3 1 1 3 8 4 9 3 0 9 4 0 0 0 0 0 2 6 4 < / T a r g e t A c c o u n t I D >  
             < T a r g e t A c c o u n t N u m b e r > 5 1 3 0 . 3 < / T a r g e t A c c o u n t N u m b e r >  
         < / A c c o u n t G r o u p I n f o >  
         < A c c o u n t G r o u p I n f o >  
             < N a m e > G o v e r n m e n t   s e c u r i t i e s   -   F V T P L < / N a m e >  
             < T a r g e t A c c o u n t I D > 3 1 1 3 8 4 9 3 0 9 4 0 0 0 0 0 2 6 5 < / T a r g e t A c c o u n t I D >  
             < T a r g e t A c c o u n t N u m b e r > 5 1 3 0 . 3 A < / T a r g e t A c c o u n t N u m b e r >  
         < / A c c o u n t G r o u p I n f o >  
         < A c c o u n t G r o u p I n f o >  
             < N a m e > I n v e s t m e n t   i n   E q u i t y   S e c u r i t i e s   -   H F T < / N a m e >  
             < T a r g e t A c c o u n t I D > 3 1 1 3 8 4 9 3 0 9 4 0 0 0 0 0 2 6 6 < / T a r g e t A c c o u n t I D >  
             < T a r g e t A c c o u n t N u m b e r > 5 1 3 0 . 4 < / T a r g e t A c c o u n t N u m b e r >  
         < / A c c o u n t G r o u p I n f o >  
         < A c c o u n t G r o u p I n f o >  
             < N a m e > C o m m e r c i a l   P a p e r s   -   H F T < / N a m e >  
             < T a r g e t A c c o u n t I D > 3 1 1 3 8 4 9 3 0 9 4 0 0 0 0 0 2 6 7 < / T a r g e t A c c o u n t I D >  
             < T a r g e t A c c o u n t N u m b e r > 5 1 3 0 . 5 < / T a r g e t A c c o u n t N u m b e r >  
         < / A c c o u n t G r o u p I n f o >  
         < A c c o u n t G r o u p I n f o >  
             < N a m e > I n v e s t m e n t   i n   T D R   -   A F S < / N a m e >  
             < T a r g e t A c c o u n t I D > 3 1 1 3 8 4 9 3 0 9 4 0 0 0 0 0 2 6 8 < / T a r g e t A c c o u n t I D >  
             < T a r g e t A c c o u n t N u m b e r > 5 1 4 0 . 1 < / T a r g e t A c c o u n t N u m b e r >  
         < / A c c o u n t G r o u p I n f o >  
         < A c c o u n t G r o u p I n f o >  
             < N a m e > I n v e s t m e n t   i n   F u t u r e s < / N a m e >  
             < T a r g e t A c c o u n t I D > 3 1 1 3 8 4 9 3 0 9 4 0 0 0 0 0 2 6 9 < / T a r g e t A c c o u n t I D >  
             < T a r g e t A c c o u n t N u m b e r > 5 1 5 0 . 1 < / T a r g e t A c c o u n t N u m b e r >  
         < / A c c o u n t G r o u p I n f o >  
         < A c c o u n t G r o u p I n f o >  
             < N a m e > D i v i d e n d   r e c e i v a b l e   o n   e q u i t y   s e c u r i t i e s < / N a m e >  
             < T a r g e t A c c o u n t I D > 3 1 1 3 8 4 9 3 0 9 4 0 0 0 0 0 2 7 0 < / T a r g e t A c c o u n t I D >  
             < T a r g e t A c c o u n t N u m b e r > 5 1 6 0 . 1 < / T a r g e t A c c o u n t N u m b e r >  
         < / A c c o u n t G r o u p I n f o >  
         < A c c o u n t G r o u p I n f o >  
             < N a m e > P r o f i t   r e c e i v a b l e   o n   b a n k   d e p o s i t s < / N a m e >  
             < T a r g e t A c c o u n t I D > 3 1 1 3 8 4 9 3 0 9 4 0 0 0 0 0 2 7 1 < / T a r g e t A c c o u n t I D >  
             < T a r g e t A c c o u n t N u m b e r > 5 1 6 0 . 2 < / T a r g e t A c c o u n t N u m b e r >  
         < / A c c o u n t G r o u p I n f o >  
         < A c c o u n t G r o u p I n f o >  
             < N a m e > P r o f i t   r e c e i v a b l e   o n   d e b t   s e c u r i t i e s < / N a m e >  
             < T a r g e t A c c o u n t I D > 3 1 1 3 8 4 9 3 0 9 4 0 0 0 0 0 2 7 2 < / T a r g e t A c c o u n t I D >  
             < T a r g e t A c c o u n t N u m b e r > 5 1 6 0 . 3 < / T a r g e t A c c o u n t N u m b e r >  
         < / A c c o u n t G r o u p I n f o >  
         < A c c o u n t G r o u p I n f o >  
             < N a m e > P r o f i t   r e c e i v a b l e   o n   g o v e r n m e n t   s e c u r i t i e s < / N a m e >  
             < T a r g e t A c c o u n t I D > 3 1 1 3 8 4 9 3 0 9 4 0 0 0 0 0 2 7 3 < / T a r g e t A c c o u n t I D >  
             < T a r g e t A c c o u n t N u m b e r > 5 1 6 0 . 4 < / T a r g e t A c c o u n t N u m b e r >  
         < / A c c o u n t G r o u p I n f o >  
         < A c c o u n t G r o u p I n f o >  
             < N a m e > P r o f i t   r e c e i v a b l e   o n   t e r m   d e p o s i t   r e c e i p t s < / N a m e >  
             < T a r g e t A c c o u n t I D > 3 1 1 3 8 4 9 3 0 9 4 0 0 0 0 0 2 7 4 < / T a r g e t A c c o u n t I D >  
             < T a r g e t A c c o u n t N u m b e r > 5 1 6 0 . 5 < / T a r g e t A c c o u n t N u m b e r >  
         < / A c c o u n t G r o u p I n f o >  
         < A c c o u n t G r o u p I n f o >  
             < N a m e > P r o f i t   r e c e i v a b l e   a g a i n s t   M T S < / N a m e >  
             < T a r g e t A c c o u n t I D > 3 1 1 3 8 4 9 3 0 9 4 0 0 0 0 0 2 7 5 < / T a r g e t A c c o u n t I D >  
             < T a r g e t A c c o u n t N u m b e r > 5 1 6 0 . 6 < / T a r g e t A c c o u n t N u m b e r >  
         < / A c c o u n t G r o u p I n f o >  
         < A c c o u n t G r o u p I n f o >  
             < N a m e > D e p o s i t s ,   p r e p a y m e n t s   a n d   o t h e r   r e c e i v a b l e s < / N a m e >  
             < T a r g e t A c c o u n t I D > 3 1 1 3 8 4 9 3 0 9 4 0 0 0 0 0 2 7 6 < / T a r g e t A c c o u n t I D >  
             < T a r g e t A c c o u n t N u m b e r > 5 1 7 0 . 1 < / T a r g e t A c c o u n t N u m b e r >  
         < / A c c o u n t G r o u p I n f o >  
         < A c c o u n t G r o u p I n f o >  
             < N a m e > A d v a n c e   T a x < / N a m e >  
             < T a r g e t A c c o u n t I D > 3 1 1 3 8 4 9 3 0 9 4 0 0 0 0 0 2 7 7 < / T a r g e t A c c o u n t I D >  
             < T a r g e t A c c o u n t N u m b e r > 5 1 7 0 . 2 < / T a r g e t A c c o u n t N u m b e r >  
         < / A c c o u n t G r o u p I n f o >  
         < A c c o u n t G r o u p I n f o >  
             < N a m e > D e p o s i t s   w i t h   N C C P L < / N a m e >  
             < T a r g e t A c c o u n t I D > 3 1 1 3 8 4 9 3 0 9 4 0 0 0 0 0 2 7 8 < / T a r g e t A c c o u n t I D >  
             < T a r g e t A c c o u n t N u m b e r > 5 1 7 0 . 3 < / T a r g e t A c c o u n t N u m b e r >  
         < / A c c o u n t G r o u p I n f o >  
         < A c c o u n t G r o u p I n f o >  
             < N a m e > D e p o s i t s   w i t h   C D C < / N a m e >  
             < T a r g e t A c c o u n t I D > 3 1 1 3 8 4 9 3 0 9 4 0 0 0 0 0 2 7 9 < / T a r g e t A c c o u n t I D >  
             < T a r g e t A c c o u n t N u m b e r > 5 1 7 0 . 4 < / T a r g e t A c c o u n t N u m b e r >  
         < / A c c o u n t G r o u p I n f o >  
         < A c c o u n t G r o u p I n f o >  
             < N a m e > M a r g i n   a g a i n s t   T F C < / N a m e >  
             < T a r g e t A c c o u n t I D > 3 1 1 3 8 4 9 3 0 9 4 0 0 0 0 0 2 8 0 < / T a r g e t A c c o u n t I D >  
             < T a r g e t A c c o u n t N u m b e r > 5 1 7 0 . 5 < / T a r g e t A c c o u n t N u m b e r >  
         < / A c c o u n t G r o u p I n f o >  
         < A c c o u n t G r o u p I n f o >  
             < N a m e > P R E P A Y M E N T   O F   N C C P L   A G A I N S T   M A R G I N   T R A D I N G   S Y S T E M < / N a m e >  
             < T a r g e t A c c o u n t I D > 3 1 1 3 8 4 9 3 0 9 4 0 0 0 0 0 2 8 1 < / T a r g e t A c c o u n t I D >  
             < T a r g e t A c c o u n t N u m b e r > 5 1 7 0 . 5 A < / T a r g e t A c c o u n t N u m b e r >  
         < / A c c o u n t G r o u p I n f o >  
         < A c c o u n t G r o u p I n f o >  
             < N a m e > P r e p a y m e n t s < / N a m e >  
             < T a r g e t A c c o u n t I D > 3 1 1 3 8 4 9 3 0 9 4 0 0 0 0 0 2 8 2 < / T a r g e t A c c o u n t I D >  
             < T a r g e t A c c o u n t N u m b e r > 5 1 7 0 . 6 < / T a r g e t A c c o u n t N u m b e r >  
         < / A c c o u n t G r o u p I n f o >  
         < A c c o u n t G r o u p I n f o >  
             < N a m e > R e c e i v a b l e   f r o m   N a t i o n a l   C l e a r i n g   C o m p n a y   o f   P a k i s t a n < / N a m e >  
             < T a r g e t A c c o u n t I D > 3 1 1 3 8 4 9 3 0 9 4 0 0 0 0 0 2 8 3 < / T a r g e t A c c o u n t I D >  
             < T a r g e t A c c o u n t N u m b e r > 5 1 7 0 . 7 < / T a r g e t A c c o u n t N u m b e r >  
         < / A c c o u n t G r o u p I n f o >  
         < A c c o u n t G r o u p I n f o >  
             < N a m e > P r e l i m i n a r y   e x p e n s e s   a n d   f l o a t a t i o n   c o s t s ,   a n d   O t h e r   A d v a n c e s < / N a m e >  
             < T a r g e t A c c o u n t I D > 3 1 1 3 8 4 9 3 0 9 4 0 0 0 0 0 2 8 4 < / T a r g e t A c c o u n t I D >  
             < T a r g e t A c c o u n t N u m b e r > 5 1 8 0 - 1 < / T a r g e t A c c o u n t N u m b e r >  
         < / A c c o u n t G r o u p I n f o >  
         < A c c o u n t G r o u p I n f o >  
             < N a m e > P a y a b l e   t o   M a n a g e m e n t   C o m p a n y < / N a m e >  
             < T a r g e t A c c o u n t I D > 3 1 1 3 8 4 9 3 0 9 4 0 0 0 0 0 2 8 5 < / T a r g e t A c c o u n t I D >  
             < T a r g e t A c c o u n t N u m b e r > 6 1 1 0 . 1 < / T a r g e t A c c o u n t N u m b e r >  
         < / A c c o u n t G r o u p I n f o >  
         < A c c o u n t G r o u p I n f o >  
             < N a m e > P a y a b l e   t o   C e n t r a l   D e p o s i t o r y   C o m p a n y   o f   P a k i s t a n   L i m i t e d   -   T r u s t e e < / N a m e >  
             < T a r g e t A c c o u n t I D > 3 1 1 3 8 4 9 3 0 9 4 0 0 0 0 0 2 8 6 < / T a r g e t A c c o u n t I D >  
             < T a r g e t A c c o u n t N u m b e r > 6 1 2 0 . 1 < / T a r g e t A c c o u n t N u m b e r >  
         < / A c c o u n t G r o u p I n f o >  
         < A c c o u n t G r o u p I n f o >  
             < N a m e > P a y a b l e   t o   S e c u r i t i e s   a n d   E x c h a n g e   C o m m i s s i o n < / N a m e >  
             < T a r g e t A c c o u n t I D > 3 1 1 3 8 4 9 3 0 9 4 0 0 0 0 0 2 8 7 < / T a r g e t A c c o u n t I D >  
             < T a r g e t A c c o u n t N u m b e r > 6 1 3 0 . 1 < / T a r g e t A c c o u n t N u m b e r >  
         < / A c c o u n t G r o u p I n f o >  
         < A c c o u n t G r o u p I n f o >  
             < N a m e > P a y a b l e   a g a i n s t   r e d e m p t i o n   o f   u n i t s < / N a m e >  
             < T a r g e t A c c o u n t I D > 3 1 1 3 8 4 9 3 0 9 4 0 0 0 0 0 2 8 8 < / T a r g e t A c c o u n t I D >  
             < T a r g e t A c c o u n t N u m b e r > 6 1 4 0 . 1 < / T a r g e t A c c o u n t N u m b e r >  
         < / A c c o u n t G r o u p I n f o >  
         < A c c o u n t G r o u p I n f o >  
             < N a m e > P A Y A B L E   A G A I N S T   P U R C H A S E   O F   E Q U I T Y   S E C U R I T I E S < / N a m e >  
             < T a r g e t A c c o u n t I D > 3 1 1 3 8 4 9 3 0 9 4 0 0 0 0 0 2 8 9 < / T a r g e t A c c o u n t I D >  
             < T a r g e t A c c o u n t N u m b e r > 6 1 4 0 . 1 A < / T a r g e t A c c o u n t N u m b e r >  
         < / A c c o u n t G r o u p I n f o >  
         < A c c o u n t G r o u p I n f o >  
             < N a m e > U n c l a i m e d   d i v i d e n d < / N a m e >  
             < T a r g e t A c c o u n t I D > 3 1 1 3 8 4 9 3 0 9 4 0 0 0 0 0 2 9 0 < / T a r g e t A c c o u n t I D >  
             < T a r g e t A c c o u n t N u m b e r > 6 1 5 0 . 1 < / T a r g e t A c c o u n t N u m b e r >  
         < / A c c o u n t G r o u p I n f o >  
         < A c c o u n t G r o u p I n f o >  
             < N a m e > A c c r u e d   e x p e n s e s   a n d   o t h e r   l i a b i l i t i e s < / N a m e >  
             < T a r g e t A c c o u n t I D > 3 1 1 3 8 4 9 3 0 9 4 0 0 0 0 0 2 9 1 < / T a r g e t A c c o u n t I D >  
             < T a r g e t A c c o u n t N u m b e r > 6 1 6 0 . 1 < / T a r g e t A c c o u n t N u m b e r >  
         < / A c c o u n t G r o u p I n f o >  
         < A c c o u n t G r o u p I n f o >  
             < N a m e > P a y a b l e   A g a i n s t   E x p o s u r e   I n   M a g i n   T r a d i n g   S y s t e m < / N a m e >  
             < T a r g e t A c c o u n t I D > 3 1 1 3 8 4 9 3 0 9 4 0 0 0 0 0 2 9 2 < / T a r g e t A c c o u n t I D >  
             < T a r g e t A c c o u n t N u m b e r > 6 1 6 0 . 1 A < / T a r g e t A c c o u n t N u m b e r >  
         < / A c c o u n t G r o u p I n f o >  
         < A c c o u n t G r o u p I n f o >  
             < N a m e > D i v i d e n d   P a y a b l e < / N a m e >  
             < T a r g e t A c c o u n t I D > 3 1 2 2 5 4 7 6 3 1 5 0 0 0 0 2 3 3 7 < / T a r g e t A c c o u n t I D >  
             < T a r g e t A c c o u n t N u m b e r > 6 1 6 0 . 1 B < / T a r g e t A c c o u n t N u m b e r >  
         < / A c c o u n t G r o u p I n f o >  
         < A c c o u n t G r o u p I n f o >  
             < N a m e > D i v i d e n d   p a y a b l e < / N a m e >  
             < T a r g e t A c c o u n t I D > 3 1 1 3 8 4 9 3 0 9 4 0 0 0 0 0 2 9 3 < / T a r g e t A c c o u n t I D >  
             < T a r g e t A c c o u n t N u m b e r > 6 1 7 0 . 1 < / T a r g e t A c c o u n t N u m b e r >  
         < / A c c o u n t G r o u p I n f o >  
         < A c c o u n t G r o u p I n f o >  
             < N a m e > T a x   P a y a b l e < / N a m e >  
             < T a r g e t A c c o u n t I D > 3 1 1 3 8 4 9 3 0 9 4 0 0 0 0 0 2 9 4 < / T a r g e t A c c o u n t I D >  
             < T a r g e t A c c o u n t N u m b e r > 6 1 8 0 < / T a r g e t A c c o u n t N u m b e r >  
         < / A c c o u n t G r o u p I n f o >  
         < A c c o u n t G r o u p I n f o >  
             < N a m e > I s s u e d ,   s u b s c r i b e d   a n d   p a i d - u p   c a p i t a l < / N a m e >  
             < T a r g e t A c c o u n t I D > 3 1 1 3 8 4 9 3 0 9 4 0 0 0 0 0 2 9 5 < / T a r g e t A c c o u n t I D >  
             < T a r g e t A c c o u n t N u m b e r > 7 1 1 0 . 1 < / T a r g e t A c c o u n t N u m b e r >  
         < / A c c o u n t G r o u p I n f o >  
         < A c c o u n t G r o u p I n f o >  
             < N a m e > U n r e a l i z e d   a p p r e c i a t i o n   i n   v a l u e   o f   i n v e s t m e n t s - A F S < / N a m e >  
             < T a r g e t A c c o u n t I D > 3 1 1 3 8 4 9 3 0 9 4 0 0 0 0 0 2 9 6 < / T a r g e t A c c o u n t I D >  
             < T a r g e t A c c o u n t N u m b e r > 7 2 1 0 . 1 < / T a r g e t A c c o u n t N u m b e r >  
         < / A c c o u n t G r o u p I n f o >  
         < A c c o u n t G r o u p I n f o >  
             < N a m e > A c c u m u l a t e d   l o s s < / N a m e >  
             < T a r g e t A c c o u n t I D > 3 1 1 3 8 4 9 3 0 9 4 0 0 0 0 0 2 9 7 < / T a r g e t A c c o u n t I D >  
             < T a r g e t A c c o u n t N u m b e r > 7 2 2 0 . 2 < / T a r g e t A c c o u n t N u m b e r >  
         < / A c c o u n t G r o u p I n f o >  
         < A c c o u n t G r o u p I n f o >  
             < N a m e > U n i t   h o l d e r s   F u n d < / N a m e >  
             < T a r g e t A c c o u n t I D > 3 1 1 3 8 4 9 3 0 9 4 0 0 0 0 0 2 9 8 < / T a r g e t A c c o u n t I D >  
             < T a r g e t A c c o u n t N u m b e r > 7 2 3 0 < / T a r g e t A c c o u n t N u m b e r >  
         < / A c c o u n t G r o u p I n f o >  
         < A c c o u n t G r o u p I n f o >  
             < N a m e > R e a l i z e d   E l e m e n t   o f   i n c o m e < / N a m e >  
             < T a r g e t A c c o u n t I D > 3 1 1 3 8 4 9 3 0 9 4 0 0 0 0 0 2 9 9 < / T a r g e t A c c o u n t I D >  
             < T a r g e t A c c o u n t N u m b e r > 7 2 3 0 . 1 < / T a r g e t A c c o u n t N u m b e r >  
         < / A c c o u n t G r o u p I n f o >  
         < A c c o u n t G r o u p I n f o >  
             < N a m e > U n r e a l i z e d   E l e m e n t   o f   i n c o m e < / N a m e >  
             < T a r g e t A c c o u n t I D > 3 1 1 3 8 4 9 3 0 9 4 0 0 0 0 0 3 0 0 < / T a r g e t A c c o u n t I D >  
             < T a r g e t A c c o u n t N u m b e r > 7 2 3 0 . 2 < / T a r g e t A c c o u n t N u m b e r >  
         < / A c c o u n t G r o u p I n f o >  
         < A c c o u n t G r o u p I n f o >  
             < N a m e > C a p i t a l   g a i n   /   ( l o s s )   o n   s a l e   o f   i n v e s t m e n t s   -   n e t < / N a m e >  
             < T a r g e t A c c o u n t I D > 3 1 1 3 8 4 9 3 0 9 4 0 0 0 0 0 3 0 1 < / T a r g e t A c c o u n t I D >  
             < T a r g e t A c c o u n t N u m b e r > 8 1 1 0 . 1 < / T a r g e t A c c o u n t N u m b e r >  
         < / A c c o u n t G r o u p I n f o >  
         < A c c o u n t G r o u p I n f o >  
             < N a m e > I n c o m e   f r o m   C F S   T r a n s a c t i o n s < / N a m e >  
             < T a r g e t A c c o u n t I D > 3 1 1 3 8 4 9 3 0 9 4 0 0 0 0 0 3 0 2 < / T a r g e t A c c o u n t I D >  
             < T a r g e t A c c o u n t N u m b e r > 8 1 1 0 . 1 A < / T a r g e t A c c o u n t N u m b e r >  
         < / A c c o u n t G r o u p I n f o >  
         < A c c o u n t G r o u p I n f o >  
             < N a m e > I n c o m e   f r o m   i n v e s t m e n t   i n   D e r i v a t i v e < / N a m e >  
             < T a r g e t A c c o u n t I D > 3 1 1 3 8 4 9 3 0 9 4 0 0 0 0 0 3 0 3 < / T a r g e t A c c o u n t I D >  
             < T a r g e t A c c o u n t N u m b e r > 8 1 1 0 . 1 B < / T a r g e t A c c o u n t N u m b e r >  
         < / A c c o u n t G r o u p I n f o >  
         < A c c o u n t G r o u p I n f o >  
             < N a m e > I n c o m e   f r o m   T e r m   F i n a n c e   C e r t i f i c a t e s < / N a m e >  
             < T a r g e t A c c o u n t I D > 3 1 1 3 8 4 9 3 0 9 4 0 0 0 0 0 3 0 4 < / T a r g e t A c c o u n t I D >  
             < T a r g e t A c c o u n t N u m b e r > 8 1 1 0 . 2 A < / T a r g e t A c c o u n t N u m b e r >  
         < / A c c o u n t G r o u p I n f o >  
         < A c c o u n t G r o u p I n f o >  
             < N a m e > I n c o m e   f r o m   G o v e r n m e n t   S e c u r i t i e s < / N a m e >  
             < T a r g e t A c c o u n t I D > 3 1 1 3 8 4 9 3 0 9 4 0 0 0 0 0 3 0 5 < / T a r g e t A c c o u n t I D >  
             < T a r g e t A c c o u n t N u m b e r > 8 1 1 0 . 3 A < / T a r g e t A c c o u n t N u m b e r >  
         < / A c c o u n t G r o u p I n f o >  
         < A c c o u n t G r o u p I n f o >  
             < N a m e > I n c o m e   f r o m   p l a c e m e n t s   w i t h   f i n a n c i a l   i n s t i t u t i o n s < / N a m e >  
             < T a r g e t A c c o u n t I D > 3 1 1 3 8 4 9 3 0 9 4 0 0 0 0 0 3 0 6 < / T a r g e t A c c o u n t I D >  
             < T a r g e t A c c o u n t N u m b e r > 8 1 1 0 . 4 A < / T a r g e t A c c o u n t N u m b e r >  
         < / A c c o u n t G r o u p I n f o >  
         < A c c o u n t G r o u p I n f o >  
             < N a m e > I n c o m e   o n   C P < / N a m e >  
             < T a r g e t A c c o u n t I D > 3 1 1 3 8 4 9 3 0 9 4 0 0 0 0 0 3 0 7 < / T a r g e t A c c o u n t I D >  
             < T a r g e t A c c o u n t N u m b e r > 8 1 1 0 . 4 B < / T a r g e t A c c o u n t N u m b e r >  
         < / A c c o u n t G r o u p I n f o >  
         < A c c o u n t G r o u p I n f o >  
             < N a m e > I n c o m e   f r o m   T D R < / N a m e >  
             < T a r g e t A c c o u n t I D > 3 1 1 3 8 4 9 3 0 9 4 0 0 0 0 0 3 0 8 < / T a r g e t A c c o u n t I D >  
             < T a r g e t A c c o u n t N u m b e r > 8 1 1 0 . 5 A < / T a r g e t A c c o u n t N u m b e r >  
         < / A c c o u n t G r o u p I n f o >  
         < A c c o u n t G r o u p I n f o >  
             < N a m e > I n c o m e   o n   N C C P L   m a r g i n < / N a m e >  
             < T a r g e t A c c o u n t I D > 3 1 1 3 8 4 9 3 0 9 4 0 0 0 0 0 3 0 9 < / T a r g e t A c c o u n t I D >  
             < T a r g e t A c c o u n t N u m b e r > 8 1 1 0 . 6 A < / T a r g e t A c c o u n t N u m b e r >  
         < / A c c o u n t G r o u p I n f o >  
         < A c c o u n t G r o u p I n f o >  
             < N a m e > M a r k u p   I n c o m e   o n   M T S < / N a m e >  
             < T a r g e t A c c o u n t I D > 3 1 1 3 8 4 9 3 0 9 4 0 0 0 0 0 3 1 0 < / T a r g e t A c c o u n t I D >  
             < T a r g e t A c c o u n t N u m b e r > 8 1 1 0 . 6 B < / T a r g e t A c c o u n t N u m b e r >  
         < / A c c o u n t G r o u p I n f o >  
         < A c c o u n t G r o u p I n f o >  
             < N a m e > P r o f i t   o n   b a n k   d e p o s i t s < / N a m e >  
             < T a r g e t A c c o u n t I D > 3 1 1 3 8 4 9 3 0 9 4 0 0 0 0 0 3 1 1 < / T a r g e t A c c o u n t I D >  
             < T a r g e t A c c o u n t N u m b e r > 8 1 1 0 . 7 A < / T a r g e t A c c o u n t N u m b e r >  
         < / A c c o u n t G r o u p I n f o >  
         < A c c o u n t G r o u p I n f o >  
             < N a m e > U n r e a l i z e d   a p p r e c i a t i o n   /   ( d i m i n u i t i o n )   i n   v a l u e   o f   i n v e s t m e n t s   a t   f a i r   v a l u e   t h r o u g h   p r o f i t   o r   l o s s < / N a m e >  
             < T a r g e t A c c o u n t I D > 3 1 1 3 8 4 9 3 0 9 4 0 0 0 0 0 3 1 2 < / T a r g e t A c c o u n t I D >  
             < T a r g e t A c c o u n t N u m b e r > 8 1 1 0 . 8 A < / T a r g e t A c c o u n t N u m b e r >  
         < / A c c o u n t G r o u p I n f o >  
         < A c c o u n t G r o u p I n f o >  
             < N a m e > D i v i d e n d   I n c o m e < / N a m e >  
             < T a r g e t A c c o u n t I D > 3 1 1 3 8 4 9 3 0 9 4 0 0 0 0 0 3 1 3 < / T a r g e t A c c o u n t I D >  
             < T a r g e t A c c o u n t N u m b e r > 8 1 1 0 . 9 A < / T a r g e t A c c o u n t N u m b e r >  
         < / A c c o u n t G r o u p I n f o >  
         < A c c o u n t G r o u p I n f o >  
             < N a m e > O t h e r   i n c o m e < / N a m e >  
             < T a r g e t A c c o u n t I D > 3 1 1 3 8 4 9 3 0 9 4 0 0 0 0 0 3 1 4 < / T a r g e t A c c o u n t I D >  
             < T a r g e t A c c o u n t N u m b e r > 8 1 1 1 < / T a r g e t A c c o u n t N u m b e r >  
         < / A c c o u n t G r o u p I n f o >  
         < A c c o u n t G r o u p I n f o >  
             < N a m e > R e m u n e r a t i o n   o f   m a n a g e m e n t   c o m p a n y < / N a m e >  
             < T a r g e t A c c o u n t I D > 3 1 1 3 8 4 9 3 0 9 4 0 0 0 0 0 3 1 5 < / T a r g e t A c c o u n t I D >  
             < T a r g e t A c c o u n t N u m b e r > 8 1 2 0 . 1 < / T a r g e t A c c o u n t N u m b e r >  
         < / A c c o u n t G r o u p I n f o >  
         < A c c o u n t G r o u p I n f o >  
             < N a m e > R e m u n e r a t i o n   o f   C D C   -   T r u s t e e < / N a m e >  
             < T a r g e t A c c o u n t I D > 3 1 1 3 8 4 9 3 0 9 4 0 0 0 0 0 3 1 6 < / T a r g e t A c c o u n t I D >  
             < T a r g e t A c c o u n t N u m b e r > 8 1 2 0 . 1 A < / T a r g e t A c c o u n t N u m b e r >  
         < / A c c o u n t G r o u p I n f o >  
         < A c c o u n t G r o u p I n f o >  
             < N a m e > A n n u a l   f e e   -   S E C P < / N a m e >  
             < T a r g e t A c c o u n t I D > 3 1 1 3 8 4 9 3 0 9 4 0 0 0 0 0 3 1 7 < / T a r g e t A c c o u n t I D >  
             < T a r g e t A c c o u n t N u m b e r > 8 1 2 0 . 2 A < / T a r g e t A c c o u n t N u m b e r >  
         < / A c c o u n t G r o u p I n f o >  
         < A c c o u n t G r o u p I n f o >  
             < N a m e > S e c u r i t i e s   t r a n s a c t i n   c o s t < / N a m e >  
             < T a r g e t A c c o u n t I D > 3 1 1 3 8 4 9 3 0 9 4 0 0 0 0 0 3 1 8 < / T a r g e t A c c o u n t I D >  
             < T a r g e t A c c o u n t N u m b e r > 8 1 3 0 . 1 < / T a r g e t A c c o u n t N u m b e r >  
         < / A c c o u n t G r o u p I n f o >  
         < A c c o u n t G r o u p I n f o >  
             < N a m e > C o n v e r s i o n   c o s t < / N a m e >  
             < T a r g e t A c c o u n t I D > 3 1 1 3 8 4 9 3 0 9 4 0 0 0 0 0 3 1 9 < / T a r g e t A c c o u n t I D >  
             < T a r g e t A c c o u n t N u m b e r > 8 1 3 0 . 2 < / T a r g e t A c c o u n t N u m b e r >  
         < / A c c o u n t G r o u p I n f o >  
         < A c c o u n t G r o u p I n f o >  
             < N a m e > F i n a n c i a l   C h a r g e s < / N a m e >  
             < T a r g e t A c c o u n t I D > 3 1 1 3 8 4 9 3 0 9 4 0 0 0 0 0 3 2 0 < / T a r g e t A c c o u n t I D >  
             < T a r g e t A c c o u n t N u m b e r > 8 1 3 0 . 3 < / T a r g e t A c c o u n t N u m b e r >  
         < / A c c o u n t G r o u p I n f o >  
         < A c c o u n t G r o u p I n f o >  
             < N a m e > B a n k   C h a r g e s < / N a m e >  
             < T a r g e t A c c o u n t I D > 3 1 1 3 8 4 9 3 0 9 4 0 0 0 0 0 3 2 1 < / T a r g e t A c c o u n t I D >  
             < T a r g e t A c c o u n t N u m b e r > 8 1 3 0 . 4 < / T a r g e t A c c o u n t N u m b e r >  
         < / A c c o u n t G r o u p I n f o >  
         < A c c o u n t G r o u p I n f o >  
             < N a m e > L e g a l   a n d   P r o f e s s i o n a l   C h a r g e s < / N a m e >  
             < T a r g e t A c c o u n t I D > 3 1 1 3 8 4 9 3 0 9 4 0 0 0 0 0 3 2 2 < / T a r g e t A c c o u n t I D >  
             < T a r g e t A c c o u n t N u m b e r > 8 1 3 3 < / T a r g e t A c c o u n t N u m b e r >  
         < / A c c o u n t G r o u p I n f o >  
         < A c c o u n t G r o u p I n f o >  
             < N a m e > F e e s   a n d   s u b s c r i p t i o n < / N a m e >  
             < T a r g e t A c c o u n t I D > 3 1 1 3 8 4 9 3 0 9 4 0 0 0 0 0 3 2 3 < / T a r g e t A c c o u n t I D >  
             < T a r g e t A c c o u n t N u m b e r > 8 1 4 0 . 1 < / T a r g e t A c c o u n t N u m b e r >  
         < / A c c o u n t G r o u p I n f o >  
         < A c c o u n t G r o u p I n f o >  
             < N a m e > P o f e s s i o n a l   c h a r g e s   o n   M T S < / N a m e >  
             < T a r g e t A c c o u n t I D > 3 1 1 3 8 4 9 3 0 9 4 0 0 0 0 0 3 2 4 < / T a r g e t A c c o u n t I D >  
             < T a r g e t A c c o u n t N u m b e r > 8 1 4 0 . 2 < / T a r g e t A c c o u n t N u m b e r >  
         < / A c c o u n t G r o u p I n f o >  
         < A c c o u n t G r o u p I n f o >  
             < N a m e > S e t t l e m e n t   C h a r g e s < / N a m e >  
             < T a r g e t A c c o u n t I D > 3 1 1 3 8 4 9 3 0 9 4 0 0 0 0 0 3 2 5 < / T a r g e t A c c o u n t I D >  
             < T a r g e t A c c o u n t N u m b e r > 8 1 5 0 . 1 < / T a r g e t A c c o u n t N u m b e r >  
         < / A c c o u n t G r o u p I n f o >  
         < A c c o u n t G r o u p I n f o >  
             < N a m e > P r i n t i n g   a n d   r e l a t e d   c o s t < / N a m e >  
             < T a r g e t A c c o u n t I D > 3 1 1 3 8 4 9 3 0 9 4 0 0 0 0 0 3 2 6 < / T a r g e t A c c o u n t I D >  
             < T a r g e t A c c o u n t N u m b e r > 8 1 5 0 . 1 A < / T a r g e t A c c o u n t N u m b e r >  
         < / A c c o u n t G r o u p I n f o >  
         < A c c o u n t G r o u p I n f o >  
             < N a m e > A u d i t o r ' s   r e m u n e r a t i o n < / N a m e >  
             < T a r g e t A c c o u n t I D > 3 1 1 3 8 4 9 3 0 9 4 0 0 0 0 0 3 2 7 < / T a r g e t A c c o u n t I D >  
             < T a r g e t A c c o u n t N u m b e r > 8 1 5 0 . 2 A < / T a r g e t A c c o u n t N u m b e r >  
         < / A c c o u n t G r o u p I n f o >  
         < A c c o u n t G r o u p I n f o >  
             < N a m e > A m o r t i z a t i o n   o f   p r e l i m i n a r y   e x p e n s e s   a n d   f l o t a t i o n   c o s t s < / N a m e >  
             < T a r g e t A c c o u n t I D > 3 1 1 3 8 4 9 3 0 9 4 0 0 0 0 0 3 2 8 < / T a r g e t A c c o u n t I D >  
             < T a r g e t A c c o u n t N u m b e r > 8 1 5 0 . 3 A < / T a r g e t A c c o u n t N u m b e r >  
         < / A c c o u n t G r o u p I n f o >  
         < A c c o u n t G r o u p I n f o >  
             < N a m e > P r o v i s i o n   A g a i n s t   I m p a i r m e n t   L o s s - E X P < / N a m e >  
             < T a r g e t A c c o u n t I D > 3 1 1 3 8 4 9 3 0 9 4 0 0 0 0 0 3 2 9 < / T a r g e t A c c o u n t I D >  
             < T a r g e t A c c o u n t N u m b e r > 8 1 6 0 . 1 < / T a r g e t A c c o u n t N u m b e r >  
         < / A c c o u n t G r o u p I n f o >  
         < A c c o u n t G r o u p I n f o >  
             < N a m e > W W F - E X P < / N a m e >  
             < T a r g e t A c c o u n t I D > 3 1 1 3 8 4 9 3 0 9 4 0 0 0 0 0 3 3 0 < / T a r g e t A c c o u n t I D >  
             < T a r g e t A c c o u n t N u m b e r > 8 1 6 0 . 2 < / T a r g e t A c c o u n t N u m b e r >  
         < / A c c o u n t G r o u p I n f o >  
         < A c c o u n t G r o u p I n f o >  
             < N a m e > S a l e s   T a x   o n   T r u s t e e   F e e s < / N a m e >  
             < T a r g e t A c c o u n t I D > 3 1 1 3 8 4 9 3 0 9 4 0 0 0 0 0 3 3 1 < / T a r g e t A c c o u n t I D >  
             < T a r g e t A c c o u n t N u m b e r > 8 1 7 0 . 1 < / T a r g e t A c c o u n t N u m b e r >  
         < / A c c o u n t G r o u p I n f o >  
         < A c c o u n t G r o u p I n f o >  
             < N a m e > B a c k   o f f i c e   e x p e n s e < / N a m e >  
             < T a r g e t A c c o u n t I D > 3 1 1 3 8 4 9 3 0 9 4 0 0 0 0 0 3 3 2 < / T a r g e t A c c o u n t I D >  
             < T a r g e t A c c o u n t N u m b e r > 8 1 8 0 . 1 < / T a r g e t A c c o u n t N u m b e r >  
         < / A c c o u n t G r o u p I n f o >  
         < A c c o u n t G r o u p I n f o >  
             < N a m e > M a r k e t i n g   a n d   s e l l i n g   e x p e n s e < / N a m e >  
             < T a r g e t A c c o u n t I D > 3 4 1 8 0 2 8 0 3 4 4 0 0 0 0 1 0 7 2 < / T a r g e t A c c o u n t I D >  
             < T a r g e t A c c o u n t N u m b e r > 8 1 8 5 , 1 < / T a r g e t A c c o u n t N u m b e r >  
         < / A c c o u n t G r o u p I n f o >  
         < A c c o u n t G r o u p I n f o >  
             < N a m e > R e a l i z e d   E l e m e n t   & a m p ;   C G < / N a m e >  
             < T a r g e t A c c o u n t I D > 3 1 1 3 8 4 9 3 0 9 4 0 0 0 0 0 3 3 3 < / T a r g e t A c c o u n t I D >  
             < T a r g e t A c c o u n t N u m b e r > 9 1 1 0 . 1 < / T a r g e t A c c o u n t N u m b e r >  
         < / A c c o u n t G r o u p I n f o >  
         < A c c o u n t G r o u p I n f o >  
             < N a m e > U n r e a l i z e d   E l e m e n t   & a m p ;   C a p i t a l   G a i n < / N a m e >  
             < T a r g e t A c c o u n t I D > 3 1 1 3 8 4 9 3 0 9 4 0 0 0 0 0 3 3 4 < / T a r g e t A c c o u n t I D >  
             < T a r g e t A c c o u n t N u m b e r > 9 1 1 0 . 2 < / T a r g e t A c c o u n t N u m b e r >  
         < / A c c o u n t G r o u p I n f o >  
         < A c c o u n t G r o u p I n f o >  
             < N a m e > R e l a t e d   p a r t i e s   d i s c l o s u r e < / N a m e >  
             < T a r g e t A c c o u n t I D > 3 1 1 3 8 4 9 3 0 9 4 0 0 0 0 0 3 3 5 < / T a r g e t A c c o u n t I D >  
             < T a r g e t A c c o u n t N u m b e r > 9 1 1 0 . 3 < / T a r g e t A c c o u n t N u m b e r >  
         < / A c c o u n t G r o u p I n f o >  
     < / A c c o u n t G r o u p s >  
     < A c c o u n t s >  
         < A c c o u n t S t o r a g e >  
             < A c c o u n t B a l a n c e s >  
                 < A c c o u n t B a l a n c e >  
                     < F i e l d N a m e > P r i o r P e r i o d 1 B a l a n c e < / F i e l d N a m e >  
                     < B a l a n c e > 8 6 6 7 2 4 < / B a l a n c e >  
                 < / A c c o u n t B a l a n c e >  
                 < A c c o u n t B a l a n c e >  
                     < F i e l d N a m e > P r i o r P e r i o d 2 B a l a n c e < / F i e l d N a m e >  
                     < B a l a n c e > 5 0 4 9 1 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 3 1 1 3 8 4 9 3 0 9 4 0 0 0 0 0 0 2 0 < / I D >  
             < T a r g e t A c c o u n t I D > 3 1 1 3 8 4 9 3 0 9 4 0 0 0 0 0 2 5 8 < / T a r g e t A c c o u n t I D >  
             < C h a r t I D > 3 1 1 3 8 4 9 3 0 9 4 0 0 0 0 0 0 0 6 < / C h a r t I D >  
             < I s L i n k e d > f a l s e < / I s L i n k e d >  
             < N u m b e r > 0 1 0 1 0 0 1 0 0 0 0 1 < / N u m b e r >  
             < N a m e > B A N K   B A L A N C E S   -   A L L I E D   B A N K   L I M I T E D   -   F O R E I G N   E X C H A N G E   B R A N C H < / N a m e >  
             < A J E > 0 < / A J E >  
             < A d j u s t > 9 2 0 4 7 7 < / A d j u s t >  
             < R J E > 0 < / R J E >  
             < P r e l i m i n a r y > 9 2 0 4 7 7 < / P r e l i m i n a r y >  
             < F i n a l > 9 2 0 4 7 7 < / F i n a l >  
         < / A c c o u n t S t o r a g e >  
         < A c c o u n t S t o r a g e >  
             < A c c o u n t B a l a n c e s >  
                 < A c c o u n t B a l a n c e >  
                     < F i e l d N a m e > P r i o r P e r i o d 1 B a l a n c e < / F i e l d N a m e >  
                     < B a l a n c e > 2 4 2 6 < / B a l a n c e >  
                 < / A c c o u n t B a l a n c e >  
                 < A c c o u n t B a l a n c e >  
                     < F i e l d N a m e > P r i o r P e r i o d 2 B a l a n c e < / F i e l d N a m e >  
                     < B a l a n c e > 8 8 3 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 3 1 1 3 8 4 9 3 0 9 4 0 0 0 0 0 0 2 1 < / I D >  
             < T a r g e t A c c o u n t I D > 3 1 1 3 8 4 9 3 0 9 4 0 0 0 0 0 2 5 8 < / T a r g e t A c c o u n t I D >  
             < C h a r t I D > 3 1 1 3 8 4 9 3 0 9 4 0 0 0 0 0 0 0 6 < / C h a r t I D >  
             < I s L i n k e d > f a l s e < / I s L i n k e d >  
             < N u m b e r > 0 1 0 1 0 0 1 0 0 0 0 5 < / N u m b e r >  
             < N a m e > B A N K   B A L A N C E S   -   B A N K   A L   F A L A H   L I M I T E D     -   K S E   B R A N C H < / N a m e >  
             < A J E > 0 < / A J E >  
             < A d j u s t > 1 7 1 < / A d j u s t >  
             < R J E > 0 < / R J E >  
             < P r e l i m i n a r y > 1 7 1 < / P r e l i m i n a r y >  
             < F i n a l > 1 7 1 < / F i n a l >  
         < / A c c o u n t S t o r a g e >  
         < A c c o u n t S t o r a g e >  
             < A c c o u n t B a l a n c e s >  
                 < A c c o u n t B a l a n c e >  
                     < F i e l d N a m e > P r i o r P e r i o d 1 B a l a n c e < / F i e l d N a m e >  
                     < B a l a n c e > 1 2 < / B a l a n c e >  
                 < / A c c o u n t B a l a n c e >  
                 < A c c o u n t B a l a n c e >  
                     < F i e l d N a m e > P r i o r P e r i o d 2 B a l a n c e < / F i e l d N a m e >  
                     < B a l a n c e > 7 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 3 1 1 3 8 4 9 3 0 9 4 0 0 0 0 0 0 2 2 < / I D >  
             < T a r g e t A c c o u n t I D > 3 1 1 3 8 4 9 3 0 9 4 0 0 0 0 0 2 5 8 < / T a r g e t A c c o u n t I D >  
             < C h a r t I D > 3 1 1 3 8 4 9 3 0 9 4 0 0 0 0 0 0 0 6 < / C h a r t I D >  
             < I s L i n k e d > f a l s e < / I s L i n k e d >  
             < N u m b e r > 0 1 0 1 0 0 1 0 0 0 1 1 < / N u m b e r >  
             < N a m e > B A N K   B A L A N C E S   -   F A Y S A L   B A N K   L I M I T E D   -   G U L S H A N   E   I Q B A L   B R A N C H < / N a m e >  
             < A J E > 0 < / A J E >  
             < A d j u s t > 1 3 < / A d j u s t >  
             < R J E > 0 < / R J E >  
             < P r e l i m i n a r y > 1 3 < / P r e l i m i n a r y >  
             < F i n a l > 1 3 < / F i n a l >  
         < / A c c o u n t S t o r a g e >  
         < A c c o u n t S t o r a g e >  
             < A c c o u n t B a l a n c e s >  
                 < A c c o u n t B a l a n c e >  
                     < F i e l d N a m e > P r i o r P e r i o d 1 B a l a n c e < / F i e l d N a m e >  
                     < B a l a n c e > 1 2 4 6 < / B a l a n c e >  
                 < / A c c o u n t B a l a n c e >  
                 < A c c o u n t B a l a n c e >  
                     < F i e l d N a m e > P r i o r P e r i o d 2 B a l a n c e < / F i e l d N a m e >  
                     < B a l a n c e > 3 6 9 3 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 3 1 1 3 8 4 9 3 0 9 4 0 0 0 0 0 0 2 3 < / I D >  
             < T a r g e t A c c o u n t I D > 3 1 1 3 8 4 9 3 0 9 4 0 0 0 0 0 2 5 8 < / T a r g e t A c c o u n t I D >  
             < C h a r t I D > 3 1 1 3 8 4 9 3 0 9 4 0 0 0 0 0 0 0 6 < / C h a r t I D >  
             < I s L i n k e d > f a l s e < / I s L i n k e d >  
             < N u m b e r > 0 1 0 1 0 0 1 0 0 0 1 4 < / N u m b e r >  
             < N a m e > B A N K   B A L A N C E S   -   H A B I B   M E T R O P O L I T A N   B A N K   L I M I T E D   -   K A R A C H I   S T O C K   E X C H A N G E   B R A N C H < / N a m e >  
             < A J E > 0 < / A J E >  
             < A d j u s t > 8 0 0 8 < / A d j u s t >  
             < R J E > 0 < / R J E >  
             < P r e l i m i n a r y > 8 0 0 8 < / P r e l i m i n a r y >  
             < F i n a l > 8 0 0 8 < / F i n a l >  
         < / A c c o u n t S t o r a g e >  
         < A c c o u n t S t o r a g e >  
             < A c c o u n t B a l a n c e s >  
                 < A c c o u n t B a l a n c e >  
                     < F i e l d N a m e > P r i o r P e r i o d 1 B a l a n c e < / F i e l d N a m e >  
                     < B a l a n c e > 3 1 4 5 < / B a l a n c e >  
                 < / A c c o u n t B a l a n c e >  
                 < A c c o u n t B a l a n c e >  
                     < F i e l d N a m e > P r i o r P e r i o d 2 B a l a n c e < / F i e l d N a m e >  
                     < B a l a n c e > 5 0 8 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 3 1 1 3 8 4 9 3 0 9 4 0 0 0 0 0 0 2 4 < / I D >  
             < T a r g e t A c c o u n t I D > 3 1 1 3 8 4 9 3 0 9 4 0 0 0 0 0 2 5 8 < / T a r g e t A c c o u n t I D >  
             < C h a r t I D > 3 1 1 3 8 4 9 3 0 9 4 0 0 0 0 0 0 0 6 < / C h a r t I D >  
             < I s L i n k e d > f a l s e < / I s L i n k e d >  
             < N u m b e r > 0 1 0 1 0 0 1 0 0 0 1 5 < / N u m b e r >  
             < N a m e > B A N K   B A L A N C E S   -   H A B I B   M E T R O   B A N K   -   M A I N   B R A N C H < / N a m e >  
             < A J E > 0 < / A J E >  
             < A d j u s t > 9 2 9 6 < / A d j u s t >  
             < R J E > 0 < / R J E >  
             < P r e l i m i n a r y > 9 2 9 6 < / P r e l i m i n a r y >  
             < F i n a l > 9 2 9 6 < / F i n a l >  
         < / A c c o u n t S t o r a g e >  
         < A c c o u n t S t o r a g e >  
             < A c c o u n t B a l a n c e s >  
                 < A c c o u n t B a l a n c e >  
                     < F i e l d N a m e > P r i o r P e r i o d 1 B a l a n c e < / F i e l d N a m e >  
                     < B a l a n c e > 3 0 1 3 < / B a l a n c e >  
                 < / A c c o u n t B a l a n c e >  
                 < A c c o u n t B a l a n c e >  
                     < F i e l d N a m e > P r i o r P e r i o d 2 B a l a n c e < / F i e l d N a m e >  
                     < B a l a n c e > 5 2 9 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 3 1 1 3 8 4 9 3 0 9 4 0 0 0 0 0 0 2 5 < / I D >  
             < T a r g e t A c c o u n t I D > 3 1 1 3 8 4 9 3 0 9 4 0 0 0 0 0 2 5 8 < / T a r g e t A c c o u n t I D >  
             < C h a r t I D > 3 1 1 3 8 4 9 3 0 9 4 0 0 0 0 0 0 0 6 < / C h a r t I D >  
             < I s L i n k e d > f a l s e < / I s L i n k e d >  
             < N u m b e r > 0 1 0 1 0 0 1 0 0 0 1 7 < / N u m b e r >  
             < N a m e > B A N K   B A L A N C E S   -   M C B   B A N K   L I M I T E D   -   U N I   T O W E R   B R A N C H < / N a m e >  
             < A J E > 0 < / A J E >  
             < A d j u s t > 5 8 3 1 < / A d j u s t >  
             < R J E > 0 < / R J E >  
             < P r e l i m i n a r y > 5 8 3 1 < / P r e l i m i n a r y >  
             < F i n a l > 5 8 3 1 < / F i n a l >  
         < / A c c o u n t S t o r a g e >  
         < A c c o u n t S t o r a g e >  
             < A c c o u n t B a l a n c e s >  
                 < A c c o u n t B a l a n c e >  
                     < F i e l d N a m e > P r i o r P e r i o d 1 B a l a n c e < / F i e l d N a m e >  
                     < B a l a n c e > 9 < / B a l a n c e >  
                 < / A c c o u n t B a l a n c e >  
                 < A c c o u n t B a l a n c e >  
                     < F i e l d N a m e > P r i o r P e r i o d 2 B a l a n c e < / F i e l d N a m e >  
                     < B a l a n c e > 9 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 3 1 1 3 8 4 9 3 0 9 4 0 0 0 0 0 0 2 6 < / I D >  
             < T a r g e t A c c o u n t I D > 3 1 1 3 8 4 9 3 0 9 4 0 0 0 0 0 2 5 8 < / T a r g e t A c c o u n t I D >  
             < C h a r t I D > 3 1 1 3 8 4 9 3 0 9 4 0 0 0 0 0 0 0 6 < / C h a r t I D >  
             < I s L i n k e d > f a l s e < / I s L i n k e d >  
             < N u m b e r > 0 1 0 1 0 0 1 0 0 0 2 1 < / N u m b e r >  
             < N a m e > B A N K   B A L A N C E S   -   M C B   B A N K   L I M I T E D   -   G L O B A L   T R A N S A C T I O N   -   S H A H E E N   C O M P L E X   B R A N C H < / 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 3 1 1 3 8 4 9 3 0 9 4 0 0 0 0 0 0 2 7 < / I D >  
             < T a r g e t A c c o u n t I D > 3 1 1 3 8 4 9 3 0 9 4 0 0 0 0 0 2 5 8 < / T a r g e t A c c o u n t I D >  
             < C h a r t I D > 3 1 1 3 8 4 9 3 0 9 4 0 0 0 0 0 0 0 6 < / C h a r t I D >  
             < I s L i n k e d > f a l s e < / I s L i n k e d >  
             < N u m b e r > 0 1 0 1 0 0 1 0 0 0 2 7 < / N u m b e r >  
             < N a m e > B A N K   B A L A N C E S 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 3 1 1 3 8 4 9 3 0 9 4 0 0 0 0 0 0 2 8 < / I D >  
             < T a r g e t A c c o u n t I D > 3 1 1 3 8 4 9 3 0 9 4 0 0 0 0 0 2 5 8 < / T a r g e t A c c o u n t I D >  
             < C h a r t I D > 3 1 1 3 8 4 9 3 0 9 4 0 0 0 0 0 0 0 6 < / C h a r t I D >  
             < I s L i n k e d > f a l s e < / I s L i n k e d >  
             < N u m b e r > 0 1 0 1 0 0 1 0 0 0 4 0 < / N u m b e r >  
             < N a m e > B A N K   B A L A N C E S   -   U N I T E D   B A N K   L I M I T E D   -   C O R P O R A T E   B R A N C H < / N a m e >  
             < A J E > 0 < / A J E >  
             < A d j u s t > 1 5 < / A d j u s t >  
             < R J E > 0 < / R J E >  
             < P r e l i m i n a r y > 1 5 < / P r e l i m i n a r y >  
             < F i n a l > 1 5 < / F i n a l >  
         < / A c c o u n t S t o r a g e >  
         < A c c o u n t S t o r a g e >  
             < A c c o u n t B a l a n c e s >  
                 < A c c o u n t B a l a n c e >  
                     < F i e l d N a m e > P r i o r P e r i o d 1 B a l a n c e < / F i e l d N a m e >  
                     < B a l a n c e > 1 3 1 5 1 < / B a l a n c e >  
                 < / A c c o u n t B a l a n c e >  
                 < A c c o u n t B a l a n c e >  
                     < F i e l d N a m e > P r i o r P e r i o d 2 B a l a n c e < / F i e l d N a m e >  
                     < B a l a n c e > 2 3 2 4 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 3 1 1 3 8 4 9 3 0 9 4 0 0 0 0 0 0 2 9 < / I D >  
             < T a r g e t A c c o u n t I D > 3 1 1 3 8 4 9 3 0 9 4 0 0 0 0 0 2 5 8 < / T a r g e t A c c o u n t I D >  
             < C h a r t I D > 3 1 1 3 8 4 9 3 0 9 4 0 0 0 0 0 0 0 6 < / C h a r t I D >  
             < I s L i n k e d > f a l s e < / I s L i n k e d >  
             < N u m b e r > 0 1 0 1 0 0 1 0 0 0 5 4 < / N u m b e r >  
             < N a m e > B a n k   B a l a n c e s   -   M c b   B a n k   L i m i t e d   -   S h a h e e n   C o m p l e x   B r a n c h < / N a m e >  
             < A J E > 0 < / A J E >  
             < A d j u s t > 2 3 9 3 3 < / A d j u s t >  
             < R J E > 0 < / R J E >  
             < P r e l i m i n a r y > 2 3 9 3 3 < / P r e l i m i n a r y >  
             < F i n a l > 2 3 9 3 3 < / F i n a l >  
         < / A c c o u n t S t o r a g e >  
         < A c c o u n t S t o r a g e >  
             < A c c o u n t B a l a n c e s >  
                 < A c c o u n t B a l a n c e >  
                     < F i e l d N a m e > P r i o r P e r i o d 1 B a l a n c e < / F i e l d N a m e >  
                     < B a l a n c e > 9 3 5 < / B a l a n c e >  
                 < / A c c o u n t B a l a n c e >  
                 < A c c o u n t B a l a n c e >  
                     < F i e l d N a m e > P r i o r P e r i o d 2 B a l a n c e < / F i e l d N a m e >  
                     < B a l a n c e > 1 0 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 3 1 1 3 8 4 9 3 0 9 4 0 0 0 0 0 0 3 0 < / I D >  
             < T a r g e t A c c o u n t I D > 3 1 1 3 8 4 9 3 0 9 4 0 0 0 0 0 2 5 8 < / T a r g e t A c c o u n t I D >  
             < C h a r t I D > 3 1 1 3 8 4 9 3 0 9 4 0 0 0 0 0 0 0 6 < / C h a r t I D >  
             < I s L i n k e d > f a l s e < / I s L i n k e d >  
             < N u m b e r > 0 1 0 1 0 0 1 0 0 0 6 9 < / N u m b e r >  
             < N a m e > B a n k   B a l a n c e s   -   B a n k   A l   H a b i b   L i m i t e d   -   M a i n   B r a n c h < / N a m e >  
             < A J E > 0 < / A J E >  
             < A d j u s t > 1 3 < / A d j u s t >  
             < R J E > 0 < / R J E >  
             < P r e l i m i n a r y > 1 3 < / P r e l i m i n a r y >  
             < F i n a l > 1 3 < / F i n a l >  
         < / A c c o u n t S t o r a g e >  
         < A c c o u n t S t o r a g e >  
             < A c c o u n t B a l a n c e s >  
                 < A c c o u n t B a l a n c e >  
                     < F i e l d N a m e > P r i o r P e r i o d 1 B a l a n c e < / F i e l d N a m e >  
                     < B a l a n c e > 1 3 < / B a l a n c e >  
                 < / A c c o u n t B a l a n c e >  
                 < A c c o u n t B a l a n c e >  
                     < F i e l d N a m e > P r i o r P e r i o d 2 B a l a n c e < / F i e l d N a m e >  
                     < B a l a n c e > 1 3 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 3 1 1 3 8 4 9 3 0 9 4 0 0 0 0 0 0 3 1 < / I D >  
             < T a r g e t A c c o u n t I D > 3 1 1 3 8 4 9 3 0 9 4 0 0 0 0 0 2 5 8 < / T a r g e t A c c o u n t I D >  
             < C h a r t I D > 3 1 1 3 8 4 9 3 0 9 4 0 0 0 0 0 0 0 6 < / C h a r t I D >  
             < I s L i n k e d > f a l s e < / I s L i n k e d >  
             < N u m b e r > 0 1 0 1 0 0 1 0 0 0 7 2 < / N u m b e r >  
             < N a m e > B a n k   B a l a n c e s   -   Z a r a i   T a r a q i a t i   B a n k   L i m i t e d   -   S h a f i   C o u r t   B r a n c h < / N a m e >  
             < A J E > 0 < / A J E >  
             < A d j u s t > 1 5 < / A d j u s t >  
             < R J E > 0 < / R J E >  
             < P r e l i m i n a r y > 1 5 < / P r e l i m i n a r y >  
             < F i n a l > 1 5 < / F i n a l >  
         < / A c c o u n t S t o r a g e >  
         < A c c o u n t S t o r a g e >  
             < A c c o u n t B a l a n c e s >  
                 < A c c o u n t B a l a n c e >  
                     < F i e l d N a m e > P r i o r P e r i o d 1 B a l a n c e < / F i e l d N a m e >  
                     < B a l a n c e > 2 3 5 2 < / B a l a n c e >  
                 < / A c c o u n t B a l a n c e >  
                 < A c c o u n t B a l a n c e >  
                     < F i e l d N a m e > P r i o r P e r i o d 2 B a l a n c e < / F i e l d N a m e >  
                     < B a l a n c e > 1 2 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 3 1 1 3 8 4 9 3 0 9 4 0 0 0 0 0 0 3 2 < / I D >  
             < T a r g e t A c c o u n t I D > 3 1 1 3 8 4 9 3 0 9 4 0 0 0 0 0 2 5 8 < / T a r g e t A c c o u n t I D >  
             < C h a r t I D > 3 1 1 3 8 4 9 3 0 9 4 0 0 0 0 0 0 0 6 < / C h a r t I D >  
             < I s L i n k e d > f a l s e < / I s L i n k e d >  
             < N u m b e r > 0 1 0 1 0 0 1 0 0 0 7 5 < / N u m b e r >  
             < N a m e > B a n k   B a l a n c e s   -   J s   B a n k   L i m i t e d   -   O c e a n   T o w e r ,   C l i f t o n   B r a n c h < / N a m e >  
             < A J E > 0 < / A J E >  
             < A d j u s t > 2 4 < / A d j u s t >  
             < R J E > 0 < / R J E >  
             < P r e l i m i n a r y > 2 4 < / P r e l i m i n a r y >  
             < F i n a l > 2 4 < / F i n a l >  
         < / A c c o u n t S t o r a g e >  
         < A c c o u n t S t o r a g e >  
             < A c c o u n t B a l a n c e s >  
                 < A c c o u n t B a l a n c e >  
                     < F i e l d N a m e > P r i o r P e r i o d 1 B a l a n c e < / F i e l d N a m e >  
                     < B a l a n c e > 1 5 < / 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 3 1 1 3 8 4 9 3 0 9 4 0 0 0 0 0 0 3 3 < / I D >  
             < T a r g e t A c c o u n t I D > 3 1 1 3 8 4 9 3 0 9 4 0 0 0 0 0 2 5 8 < / T a r g e t A c c o u n t I D >  
             < C h a r t I D > 3 1 1 3 8 4 9 3 0 9 4 0 0 0 0 0 0 0 6 < / C h a r t I D >  
             < I s L i n k e d > f a l s e < / I s L i n k e d >  
             < N u m b e r > 0 1 0 1 0 0 1 0 0 0 7 7 < / N u m b e r >  
             < N a m e > B a n k   B a l a n c e s   -   N R S P   M i c r o f i n a n c e   B a n k   L i m i t e d < / N a m e >  
             < A J E > 0 < / A J E >  
             < A d j u s t > 1 6 < / A d j u s t >  
             < R J E > 0 < / R J E >  
             < P r e l i m i n a r y > 1 6 < / P r e l i m i n a r y >  
             < F i n a l > 1 6 < / F i n a l >  
         < / A c c o u n t S t o r a g e >  
         < A c c o u n t S t o r a g e >  
             < A c c o u n t B a l a n c e s >  
                 < A c c o u n t B a l a n c e >  
                     < F i e l d N a m e > P r i o r P e r i o d 1 B a l a n c e < / F i e l d N a m e >  
                     < B a l a n c e > 7 < / B a l a n c e >  
                 < / A c c o u n t B a l a n c e >  
                 < A c c o u n t B a l a n c e >  
                     < F i e l d N a m e > P r i o r P e r i o d 2 B a l a n c e < / F i e l d N a m e >  
                     < B a l a n c e > 7 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 3 1 1 3 8 4 9 3 0 9 4 0 0 0 0 0 0 3 4 < / I D >  
             < T a r g e t A c c o u n t I D > 3 1 1 3 8 4 9 3 0 9 4 0 0 0 0 0 2 5 8 < / T a r g e t A c c o u n t I D >  
             < C h a r t I D > 3 1 1 3 8 4 9 3 0 9 4 0 0 0 0 0 0 0 6 < / C h a r t I D >  
             < I s L i n k e d > f a l s e < / I s L i n k e d >  
             < N u m b e r > 0 1 0 1 0 0 1 0 0 0 7 8 < / N u m b e r >  
             < N a m e > B a n k   B a l a n c e s   -   M o b i l i n k   M i c r o f i n a n c e   B a n k   L i m i t e d < / N a m e >  
             < A J E > 0 < / A J E >  
             < A d j u s t > 5 < / A d j u s t >  
             < R J E > 0 < / R J E >  
             < P r e l i m i n a r y > 5 < / P r e l i m i n a r y >  
             < F i n a l > 5 < / F i n a l >  
         < / A c c o u n t S t o r a g e >  
         < A c c o u n t S t o r a g e >  
             < A c c o u n t B a l a n c e s >  
                 < A c c o u n t B a l a n c e >  
                     < F i e l d N a m e > P r i o r P e r i o d 1 B a l a n c e < / F i e l d N a m e >  
                     < B a l a n c e > 9 9 < / B a l a n c e >  
                 < / A c c o u n t B a l a n c e >  
                 < A c c o u n t B a l a n c e >  
                     < F i e l d N a m e > P r i o r P e r i o d 2 B a l a n c e < / F i e l d N a m e >  
                     < B a l a n c e > 1 3 2 4 1 7 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 3 1 1 3 8 4 9 3 0 9 4 0 0 0 0 0 0 3 5 < / I D >  
             < T a r g e t A c c o u n t I D > 3 1 1 3 8 4 9 3 0 9 4 0 0 0 0 0 2 5 8 < / T a r g e t A c c o u n t I D >  
             < C h a r t I D > 3 1 1 3 8 4 9 3 0 9 4 0 0 0 0 0 0 0 6 < / C h a r t I D >  
             < I s L i n k e d > f a l s e < / I s L i n k e d >  
             < N u m b e r > 0 1 0 1 0 0 1 0 0 0 7 9 < / N u m b e r >  
             < N a m e > B a n k   B a l a n c e s   -   U   M i c r o f i n a n c e   B a n k   L i m i t e d < / N a m e >  
             < A J E > 0 < / A J E >  
             < A d j u s t > 1 1 6 < / A d j u s t >  
             < R J E > 0 < / R J E >  
             < P r e l i m i n a r y > 1 1 6 < / P r e l i m i n a r y >  
             < F i n a l > 1 1 6 < / F i n a l >  
         < / A c c o u n t S t o r a g e >  
         < A c c o u n t S t o r a g e >  
             < A c c o u n t B a l a n c e s >  
                 < A c c o u n t B a l a n c e >  
                     < F i e l d N a m e > P r i o r P e r i o d 1 B a l a n c e < / F i e l d N a m e >  
                     < B a l a n c e > 8 < / B a l a n c e >  
                 < / A c c o u n t B a l a n c e >  
                 < A c c o u n t B a l a n c e >  
                     < F i e l d N a m e > P r i o r P e r i o d 2 B a l a n c e < / F i e l d N a m e >  
                     < B a l a n c e > 3 5 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 3 1 1 3 8 4 9 3 0 9 4 0 0 0 0 0 0 3 6 < / I D >  
             < T a r g e t A c c o u n t I D > 3 1 1 3 8 4 9 3 0 9 4 0 0 0 0 0 2 5 8 < / T a r g e t A c c o u n t I D >  
             < C h a r t I D > 3 1 1 3 8 4 9 3 0 9 4 0 0 0 0 0 0 0 6 < / C h a r t I D >  
             < I s L i n k e d > f a l s e < / I s L i n k e d >  
             < N u m b e r > 0 1 0 1 0 0 1 0 0 0 8 0 < / N u m b e r >  
             < N a m e > B a n k   B a l a n c e s   -   K h u s h a l i   M i c r o f i n a n c e   B a n k   L i m i t e d < / N a m e >  
             < A J E > 0 < / A J E >  
             < A d j u s t > 8 < / A d j u s t >  
             < R J E > 0 < / R J E >  
             < P r e l i m i n a r y > 8 < / P r e l i m i n a r y >  
             < F i n a l > 8 < / F i n a l >  
         < / A c c o u n t S t o r a g e >  
         < A c c o u n t S t o r a g e >  
             < A c c o u n t B a l a n c e s >  
                 < A c c o u n t B a l a n c e >  
                     < F i e l d N a m e > P r i o r P e r i o d 1 B a l a n c e < / F i e l d N a m e >  
                     < B a l a n c e > 5 8 9 < / 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 3 1 1 3 8 4 9 3 0 9 4 0 0 0 0 0 0 3 7 < / I D >  
             < T a r g e t A c c o u n t I D > 3 1 1 3 8 4 9 3 0 9 4 0 0 0 0 0 2 5 8 < / T a r g e t A c c o u n t I D >  
             < C h a r t I D > 3 1 1 3 8 4 9 3 0 9 4 0 0 0 0 0 0 0 6 < / C h a r t I D >  
             < I s L i n k e d > f a l s e < / I s L i n k e d >  
             < N u m b e r > 0 1 0 1 0 0 1 0 0 0 8 2 < / N u m b e r >  
             < N a m e > B a n k   B a l a n c e s   -   T a m e e r   M i c r o f i n a n c e   B a n k < / N a m e >  
             < A J E > 0 < / A J E >  
             < A d j u s t > 1 7 < / A d j u s t >  
             < R J E > 0 < / R J E >  
             < P r e l i m i n a r y > 1 7 < / P r e l i m i n a r y >  
             < F i n a l > 1 7 < / F i n a l >  
         < / A c c o u n t S t o r a g e >  
         < A c c o u n t S t o r a g e >  
             < A c c o u n t B a l a n c e s >  
                 < A c c o u n t B a l a n c e >  
                     < F i e l d N a m e > P r i o r P e r i o d 1 B a l a n c e < / F i e l d N a m e >  
                     < B a l a n c e > 8 < / B a l a n c e >  
                 < / A c c o u n t B a l a n c e >  
                 < A c c o u n t B a l a n c e >  
                     < F i e l d N a m e > P r i o r P e r i o d 2 B a l a n c e < / F i e l d N a m e >  
                     < B a l a n c e > 1 0 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 3 1 1 3 8 4 9 3 0 9 4 0 0 0 0 0 0 3 8 < / I D >  
             < T a r g e t A c c o u n t I D > 3 1 1 3 8 4 9 3 0 9 4 0 0 0 0 0 2 5 8 < / T a r g e t A c c o u n t I D >  
             < C h a r t I D > 3 1 1 3 8 4 9 3 0 9 4 0 0 0 0 0 0 0 6 < / C h a r t I D >  
             < I s L i n k e d > f a l s e < / I s L i n k e d >  
             < N u m b e r > 0 1 0 1 0 0 1 0 0 0 8 5 < / N u m b e r >  
             < N a m e > B a n k   B a l a n c e s   -   F i n c a   M i c r o   F i n a n c e   B a n k   ( L i a q u a t a b a d   B r a n c h ) < / N a m e >  
             < A J E > 0 < / A J E >  
             < A d j u s t > 4 < / A d j u s t >  
             < R J E > 0 < / R J E >  
             < P r e l i m i n a r y > 4 < / P r e l i m i n a r y >  
             < F i n a l > 4 < / 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 1 0 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 3 1 1 3 8 4 9 3 0 9 4 0 0 0 0 0 0 3 9 < / I D >  
             < T a r g e t A c c o u n t I D > 3 1 1 3 8 4 9 3 0 9 4 0 0 0 0 0 2 5 8 < / T a r g e t A c c o u n t I D >  
             < C h a r t I D > 3 1 1 3 8 4 9 3 0 9 4 0 0 0 0 0 0 0 6 < / C h a r t I D >  
             < I s L i n k e d > f a l s e < / I s L i n k e d >  
             < N u m b e r > 0 1 0 1 0 0 1 0 0 0 8 7 < / N u m b e r >  
             < N a m e > B a n k   B a l a n c e s   -   H a b i b   B a n k   L i m i t e d   -   K s e   B r a n c h < / N a m e >  
             < A J E > 0 < / A J E >  
             < A d j u s t > 1 0 0 9 < / A d j u s t >  
             < R J E > 0 < / R J E >  
             < P r e l i m i n a r y > 1 0 0 9 < / P r e l i m i n a r y >  
             < F i n a l > 1 0 0 9 < / F i n a l >  
         < / A c c o u n t S t o r a g e >  
         < A c c o u n t S t o r a g e >  
             < A c c o u n t B a l a n c e s >  
                 < A c c o u n t B a l a n c e >  
                     < F i e l d N a m e > P r i o r P e r i o d 1 B a l a n c e < / F i e l d N a m e >  
                     < B a l a n c e > 4 3 < / B a l a n c e >  
                 < / A c c o u n t B a l a n c e >  
                 < A c c o u n t B a l a n c e >  
                     < F i e l d N a m e > P r i o r P e r i o d 2 B a l a n c e < / F i e l d N a m e >  
                     < B a l a n c e > 1 5 0 4 8 5 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 3 1 1 3 8 4 9 3 0 9 4 0 0 0 0 0 0 4 0 < / I D >  
             < T a r g e t A c c o u n t I D > 3 1 1 3 8 4 9 3 0 9 4 0 0 0 0 0 2 5 8 < / T a r g e t A c c o u n t I D >  
             < C h a r t I D > 3 1 1 3 8 4 9 3 0 9 4 0 0 0 0 0 0 0 6 < / C h a r t I D >  
             < I s L i n k e d > f a l s e < / I s L i n k e d >  
             < N u m b e r > 0 1 0 1 0 0 1 0 0 0 9 3 < / N u m b e r >  
             < N a m e > B a n k   B a l a n c e s   -   F i r s t   M i c r o   F i n a n c e   B a n k -   C l i f t o n   B r a n c h < / N a m e >  
             < A J E > 0 < / A J E >  
             < A d j u s t > 4 2 < / A d j u s t >  
             < R J E > 0 < / R J E >  
             < P r e l i m i n a r y > 4 2 < / P r e l i m i n a r y >  
             < F i n a l > 4 2 < / F i n a l >  
         < / A c c o u n t S t o r a g e >  
         < A c c o u n t S t o r a g e >  
             < A c c o u n t B a l a n c e s >  
                 < A c c o u n t B a l a n c e >  
                     < F i e l d N a m e > P r i o r P e r i o d 1 B a l a n c e < / F i e l d N a m e >  
                     < B a l a n c e > 4 9 5 < / B a l a n c e >  
                 < / A c c o u n t B a l a n c e >  
                 < A c c o u n t B a l a n c e >  
                     < F i e l d N a m e > P r i o r P e r i o d 2 B a l a n c e < / F i e l d N a m e >  
                     < B a l a n c e > 3 7 5 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 3 1 1 3 8 4 9 3 0 9 4 0 0 0 0 0 0 4 1 < / I D >  
             < T a r g e t A c c o u n t I D > 3 1 1 3 8 4 9 3 0 9 4 0 0 0 0 0 2 5 8 < / T a r g e t A c c o u n t I D >  
             < C h a r t I D > 3 1 1 3 8 4 9 3 0 9 4 0 0 0 0 0 0 0 6 < / C h a r t I D >  
             < I s L i n k e d > f a l s e < / I s L i n k e d >  
             < N u m b e r > 0 1 0 1 0 0 1 0 0 1 0 0 < / N u m b e r >  
             < N a m e > B a n k   B a l a n c e s   -   N a t i o n a l   B a n k   O f   P a k i s t a n   -   M a i n   B r a n c h < / N a m e >  
             < A J E > 0 < / A J E >  
             < A d j u s t > 1 1 4 2 < / A d j u s t >  
             < R J E > 0 < / R J E >  
             < P r e l i m i n a r y > 1 1 4 2 < / P r e l i m i n a r y >  
             < F i n a l > 1 1 4 2 < / F i n a l >  
         < / A c c o u n t S t o r a g e >  
         < A c c o u n t S t o r a g e >  
             < A c c o u n t B a l a n c e s >  
                 < A c c o u n t B a l a n c e >  
                     < F i e l d N a m e > P r i o r P e r i o d 1 B a l a n c e < / F i e l d N a m e >  
                     < B a l a n c e > 4 7 8 0 < / B a l a n c e >  
                 < / A c c o u n t B a l a n c e >  
                 < A c c o u n t B a l a n c e >  
                     < F i e l d N a m e > P r i o r P e r i o d 2 B a l a n c e < / F i e l d N a m e >  
                     < B a l a n c e > 2 7 4 3 2 3 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 3 1 1 3 8 4 9 3 0 9 4 0 0 0 0 0 0 4 2 < / I D >  
             < T a r g e t A c c o u n t I D > 3 1 1 3 8 4 9 3 0 9 4 0 0 0 0 0 2 5 8 < / T a r g e t A c c o u n t I D >  
             < C h a r t I D > 3 1 1 3 8 4 9 3 0 9 4 0 0 0 0 0 0 0 6 < / C h a r t I D >  
             < I s L i n k e d > f a l s e < / I s L i n k e d >  
             < N u m b e r > 0 1 0 1 0 0 1 0 0 1 0 3 < / N u m b e r >  
             < N a m e > B a n k   B a l a n c e s   -   S i l k   B a n k   L i m i t e d   -   M a i n   B r a n c h < / N a m e >  
             < A J E > 0 < / A J E >  
             < A d j u s t > 4 9 < / A d j u s t >  
             < R J E > 0 < / R J E >  
             < P r e l i m i n a r y > 4 9 < / P r e l i m i n a r y >  
             < F i n a l > 4 9 < / F i n a l >  
         < / A c c o u n t S t o r a g e >  
         < A c c o u n t S t o r a g e >  
             < A c c o u n t B a l a n c e s >  
                 < A c c o u n t B a l a n c e >  
                     < F i e l d N a m e > P r i o r P e r i o d 1 B a l a n c e < / F i e l d N a m e >  
                     < B a l a n c e > 1 0 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 3 1 2 2 5 4 7 6 3 1 5 0 0 0 0 0 6 7 2 < / I D >  
             < T a r g e t A c c o u n t I D > 3 1 1 3 8 4 9 3 0 9 4 0 0 0 0 0 2 5 8 < / T a r g e t A c c o u n t I D >  
             < C h a r t I D > 3 1 1 3 8 4 9 3 0 9 4 0 0 0 0 0 0 0 6 < / C h a r t I D >  
             < I s L i n k e d > f a l s e < / I s L i n k e d >  
             < N u m b e r > 0 1 0 1 0 0 1 0 0 1 1 4 < / N u m b e r >  
             < N a m e > B a n k   B a l a n c e s   - A l l i e d   B a n k   L i m i t e d - K s e   B r a n c h < / N a m e >  
             < A J E > 0 < / A J E >  
             < A d j u s t > 1 1 < / A d j u s t >  
             < R J E > 0 < / R J E >  
             < P r e l i m i n a r y > 1 1 < / P r e l i m i n a r y >  
             < F i n a l > 1 1 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 3 4 1 8 0 2 8 0 3 4 4 0 0 0 0 1 0 5 4 < / I D >  
             < T a r g e t A c c o u n t I D > 3 1 1 3 8 4 9 3 0 9 4 0 0 0 0 0 2 5 8 < / T a r g e t A c c o u n t I D >  
             < C h a r t I D > 3 1 1 3 8 4 9 3 0 9 4 0 0 0 0 0 0 0 6 < / C h a r t I D >  
             < I s L i n k e d > f a l s e < / I s L i n k e d >  
             < N u m b e r > 0 1 0 1 0 0 1 0 0 1 1 7 < / N u m b e r >  
             < N a m e > B a n k   B a l a n c e s   -   F a y s a l   B a n k   L i m i t e d -   L a h o r e   B r a n c h < / N a m e >  
             < A J E > 0 < / A J E >  
             < A d j u s t > 1 1 < / A d j u s t >  
             < R J E > 0 < / R J E >  
             < P r e l i m i n a r y > 1 1 < / P r e l i m i n a r y >  
             < F i n a l > 1 1 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 3 4 1 8 0 2 8 0 3 4 4 0 0 0 0 1 0 5 5 < / I D >  
             < T a r g e t A c c o u n t I D > 3 1 1 3 8 4 9 3 0 9 4 0 0 0 0 0 2 5 8 < / T a r g e t A c c o u n t I D >  
             < C h a r t I D > 3 1 1 3 8 4 9 3 0 9 4 0 0 0 0 0 0 0 6 < / C h a r t I D >  
             < I s L i n k e d > f a l s e < / I s L i n k e d >  
             < N u m b e r > 0 1 0 1 0 0 1 0 0 1 2 2 < / N u m b e r >  
             < N a m e > B A N K   B A L A N C E S   -   A L L I E D   B A N K   L I M I T E D   F X   C u r r e n t   A / C < / N a m e >  
             < A J E > 0 < / A J E >  
             < A d j u s t > 1 0 < / A d j u s t >  
             < R J E > 0 < / R J E >  
             < P r e l i m i n a r y > 1 0 < / P r e l i m i n a r y >  
             < F i n a l > 1 0 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 3 1 2 2 5 4 7 6 3 1 5 0 0 0 0 0 6 6 9 < / I D >  
             < T a r g e t A c c o u n t I D > 3 1 1 3 8 4 9 3 0 9 4 0 0 0 0 0 2 5 8 < / T a r g e t A c c o u n t I D >  
             < C h a r t I D > 3 1 1 3 8 4 9 3 0 9 4 0 0 0 0 0 0 0 6 < / C h a r t I D >  
             < I s L i n k e d > f a l s e < / I s L i n k e d >  
             < N u m b e r > 0 5 1 0 0 0 1 0 0 0 3 2 < / N u m b e r >  
             < N a m e > D i f f e r e n c e 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 3 1 1 3 8 4 9 3 0 9 4 0 0 0 0 0 0 6 5 < / I D >  
             < T a r g e t A c c o u n t I D > 3 1 1 3 8 4 9 3 0 9 4 0 0 0 0 0 2 5 9 < / T a r g e t A c c o u n t I D >  
             < C h a r t I D > 3 1 1 3 8 4 9 3 0 9 4 0 0 0 0 0 0 0 6 < / C h a r t I D >  
             < I s L i n k e d > f a l s e < / I s L i n k e d >  
             < N u m b e r > 0 1 0 5 0 0 1 0 0 0 0 1 < / N u m b e r >  
             < N a m e > R E C E I V A B L E   A G A I N S T   S A L E   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 3 1 1 3 8 4 9 3 0 9 4 0 0 0 0 0 0 6 6 < / I D >  
             < T a r g e t A c c o u n t I D > 3 1 1 3 8 4 9 3 0 9 4 0 0 0 0 0 2 5 9 < / T a r g e t A c c o u n t I D >  
             < C h a r t I D > 3 1 1 3 8 4 9 3 0 9 4 0 0 0 0 0 0 0 6 < / C h a r t I D >  
             < I s L i n k e d > f a l s e < / I s L i n k e d >  
             < N u m b e r > 0 1 0 5 0 0 2 0 0 0 0 1 < / N u m b e r >  
             < N a m e > R E C E I V A B L E   A G A I N S T   S A L E   O F   M O N E Y   M A R K E T   I N V E S T M E N T S 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 3 1 1 3 8 4 9 3 0 9 4 0 0 0 0 0 0 6 7 < / I D >  
             < T a r g e t A c c o u n t I D > 3 1 1 3 8 4 9 3 0 9 4 0 0 0 0 0 2 5 9 < / T a r g e t A c c o u n t I D >  
             < C h a r t I D > 3 1 1 3 8 4 9 3 0 9 4 0 0 0 0 0 0 0 6 < / C h a r t I D >  
             < I s L i n k e d > f a l s e < / I s L i n k e d >  
             < N u m b e r > 0 1 0 5 0 0 2 0 0 0 0 2 < / N u m b e r >  
             < N a m e > R E C E I V A B L E   A G A I N S T   S A L E   O F   I N V E S T M E N T S < / N a m e >  
             < A J E > 0 < / A J E >  
             < A d j u s t > 0 < / A d j u s t >  
             < R J E > 0 < / R J E >  
             < P r e l i m i n a r y > 0 < / P r e l i m i n a r y >  
             < F i n a l > 0 < / F i n a l >  
         < / A c c o u n t S t o r a g e >  
         < A c c o u n t S t o r a g e >  
             < A c c o u n t B a l a n c e s >  
                 < A c c o u n t B a l a n c e >  
                     < F i e l d N a m e > P r i o r P e r i o d 1 B a l a n c e < / F i e l d N a m e >  
                     < B a l a n c e > 9 9 7 7 1 < / B a l a n c e >  
                 < / A c c o u n t B a l a n c e >  
                 < A c c o u n t B a l a n c e >  
                     < F i e l d N a m e > P r i o r P e r i o d 2 B a l a n c e < / F i e l d N a m e >  
                     < B a l a n c e > 9 9 7 7 1 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 3 1 1 3 8 4 9 3 0 9 4 0 0 0 0 0 0 6 8 < / I D >  
             < T a r g e t A c c o u n t I D > 3 1 1 3 8 4 9 3 0 9 4 0 0 0 0 0 2 5 9 < / T a r g e t A c c o u n t I D >  
             < C h a r t I D > 3 1 1 3 8 4 9 3 0 9 4 0 0 0 0 0 0 0 6 < / C h a r t I D >  
             < I s L i n k e d > f a l s e < / I s L i n k e d >  
             < N u m b e r > 0 1 0 6 0 0 1 0 0 0 0 1 < / N u m b e r >  
             < N a m e > R E C E I V A B L E   A G A I N S T   R E D E M P T I O N   O F   D E B T   S E C U R I T I E S     P R I N C I P A L . < / N a m e >  
             < A J E > 0 < / A J E >  
             < A d j u s t > 9 9 7 7 1 < / A d j u s t >  
             < R J E > 0 < / R J E >  
             < P r e l i m i n a r y > 9 9 7 7 1 < / P r e l i m i n a r y >  
             < F i n a l > 9 9 7 7 1 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 2 4 2 1 0 7 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 3 1 1 3 8 4 9 3 0 9 4 0 0 0 0 0 0 4 3 < / I D >  
             < T a r g e t A c c o u n t I D > 3 1 1 3 8 4 9 3 0 9 4 0 0 0 0 0 2 6 0 < / T a r g e t A c c o u n t I D >  
             < C h a r t I D > 3 1 1 3 8 4 9 3 0 9 4 0 0 0 0 0 0 0 6 < / C h a r t I D >  
             < I s L i n k e d > f a l s e < / I s L i n k e d >  
             < N u m b e r > 0 1 0 2 0 0 1 0 0 0 0 1 < / N u m b e r >  
             < N a m e > R E C E I V A B L E   A G A I N S T   M A R G I N   T R A D I N G   S Y S T E M   T R A N S A C T I O N S < / N a m e >  
             < A J E > 0 < / A J E >  
             < A d j u s t > 0 < / A d j u s t >  
             < R J E > 0 < / R J E >  
             < P r e l i m i n a r y > 0 < / P r e l i m i n a r y >  
             < F i n a l > 0 < / F i n a l >  
         < / A c c o u n t S t o r a g e >  
         < A c c o u n t S t o r a g e >  
             < A c c o u n t B a l a n c e s >  
                 < A c c o u n t B a l a n c e >  
                     < F i e l d N a m e > P r i o r P e r i o d 1 B a l a n c e < / F i e l d N a m e >  
                     < B a l a n c e > 5 0 7 4 1 9 < / B a l a n c e >  
                 < / A c c o u n t B a l a n c e >  
                 < A c c o u n t B a l a n c e >  
                     < F i e l d N a m e > P r i o r P e r i o d 2 B a l a n c e < / F i e l d N a m e >  
                     < B a l a n c e > 5 4 5 1 9 9 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 3 1 1 3 8 4 9 3 0 9 4 0 0 0 0 0 0 5 3 < / I D >  
             < T a r g e t A c c o u n t I D > 3 1 1 3 8 4 9 3 0 9 4 0 0 0 0 0 2 6 1 < / T a r g e t A c c o u n t I D >  
             < C h a r t I D > 3 1 1 3 8 4 9 3 0 9 4 0 0 0 0 0 0 0 6 < / C h a r t I D >  
             < I s L i n k e d > f a l s e < / I s L i n k e d >  
             < N u m b e r > 0 1 0 3 0 0 9 0 0 0 0 1 < / N u m b e r >  
             < N a m e > I N V E S T M E N T S   I N   T F C   F A C E   V A L U E   H F T < / N a m e >  
             < A J E > 0 < / A J E >  
             < A d j u s t > 7 1 3 1 8 0 < / A d j u s t >  
             < R J E > 0 < / R J E >  
             < P r e l i m i n a r y > 7 1 3 1 8 0 < / P r e l i m i n a r y >  
             < F i n a l > 7 1 3 1 8 0 < / F i n a l >  
         < / A c c o u n t S t o r a g e >  
         < A c c o u n t S t o r a g e >  
             < A c c o u n t B a l a n c e s >  
                 < A c c o u n t B a l a n c e >  
                     < F i e l d N a m e > P r i o r P e r i o d 1 B a l a n c e < / F i e l d N a m e >  
                     < B a l a n c e > - 7 4 7 4 < / B a l a n c e >  
                 < / A c c o u n t B a l a n c e >  
                 < A c c o u n t B a l a n c e >  
                     < F i e l d N a m e > P r i o r P e r i o d 2 B a l a n c e < / F i e l d N a m e >  
                     < B a l a n c e > 9 0 8 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 3 1 1 3 8 4 9 3 0 9 4 0 0 0 0 0 0 5 4 < / I D >  
             < T a r g e t A c c o u n t I D > 3 1 1 3 8 4 9 3 0 9 4 0 0 0 0 0 2 6 1 < / T a r g e t A c c o u n t I D >  
             < C h a r t I D > 3 1 1 3 8 4 9 3 0 9 4 0 0 0 0 0 0 0 6 < / C h a r t I D >  
             < I s L i n k e d > f a l s e < / I s L i n k e d >  
             < N u m b e r > 0 1 0 3 0 0 9 0 0 0 0 2 < / N u m b e r >  
             < N a m e > A P P R E C I A T I O N   /   D I M I N U T I O N   -   T F C   -   H F T < / N a m e >  
             < A J E > 0 < / A J E >  
             < A d j u s t > - 1 4 5 4 7 < / A d j u s t >  
             < R J E > 0 < / R J E >  
             < P r e l i m i n a r y > - 1 4 5 4 7 < / P r e l i m i n a r y >  
             < F i n a l > - 1 4 5 4 7 < / F i n a l >  
         < / A c c o u n t S t o r a g e >  
         < A c c o u n t S t o r a g e >  
             < A c c o u n t B a l a n c e s >  
                 < A c c o u n t B a l a n c e >  
                     < F i e l d N a m e > P r i o r P e r i o d 1 B a l a n c e < / F i e l d N a m e >  
                     < B a l a n c e > - 9 1 6 7 < / B a l a n c e >  
                 < / A c c o u n t B a l a n c e >  
                 < A c c o u n t B a l a n c e >  
                     < F i e l d N a m e > P r i o r P e r i o d 2 B a l a n c e < / F i e l d N a m e >  
                     < B a l a n c e > - 9 0 9 6 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 3 1 1 3 8 4 9 3 0 9 4 0 0 0 0 0 0 5 5 < / I D >  
             < T a r g e t A c c o u n t I D > 3 1 1 3 8 4 9 3 0 9 4 0 0 0 0 0 2 6 1 < / T a r g e t A c c o u n t I D >  
             < C h a r t I D > 3 1 1 3 8 4 9 3 0 9 4 0 0 0 0 0 0 0 6 < / C h a r t I D >  
             < I s L i n k e d > f a l s e < / I s L i n k e d >  
             < N u m b e r > 0 1 0 3 0 0 9 0 0 0 0 3 < / N u m b e r >  
             < N a m e > P R E M I U M   /   D I S C O U N T   O N   T F C   -   H F T < / N a m e >  
             < A J E > 0 < / A J E >  
             < A d j u s t > - 7 2 2 8 < / A d j u s t >  
             < R J E > 0 < / R J E >  
             < P r e l i m i n a r y > - 7 2 2 8 < / P r e l i m i n a r y >  
             < F i n a l > - 7 2 2 8 < / F i n a l >  
         < / A c c o u n t S t o r a g e >  
         < A c c o u n t S t o r a g e >  
             < A c c o u n t B a l a n c e s >  
                 < A c c o u n t B a l a n c e >  
                     < F i e l d N a m e > P r i o r P e r i o d 1 B a l a n c e < / F i e l d N a m e >  
                     < B a l a n c e > 1 5 6 1 < / B a l a n c e >  
                 < / A c c o u n t B a l a n c e >  
                 < A c c o u n t B a l a n c e >  
                     < F i e l d N a m e > P r i o r P e r i o d 2 B a l a n c e < / F i e l d N a m e >  
                     < B a l a n c e > 1 5 6 1 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 3 1 1 3 8 4 9 3 0 9 4 0 0 0 0 0 0 5 6 < / I D >  
             < T a r g e t A c c o u n t I D > 3 1 1 3 8 4 9 3 0 9 4 0 0 0 0 0 2 6 1 < / T a r g e t A c c o u n t I D >  
             < C h a r t I D > 3 1 1 3 8 4 9 3 0 9 4 0 0 0 0 0 0 0 6 < / C h a r t I D >  
             < I s L i n k e d > f a l s e < / I s L i n k e d >  
             < N u m b e r > 0 1 0 3 0 0 9 0 0 0 0 9 < / N u m b e r >  
             < N a m e > P r o v i s i o n   A g a i n s t   N o n   P e r f o r m i n g   S e c u r i t y     P a c e   P a k i s t a n   L i m i t e d   T f c     H f t < / N a m e >  
             < A J E > 0 < / A J E >  
             < A d j u s t > 1 5 6 1 < / A d j u s t >  
             < R J E > 0 < / R J E >  
             < P r e l i m i n a r y > 1 5 6 1 < / P r e l i m i n a r y >  
             < F i n a l > 1 5 6 1 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 3 1 1 3 8 4 9 3 0 9 4 0 0 0 0 0 0 1 2 < / I D >  
             < T a r g e t A c c o u n t I D > 3 1 1 3 8 4 9 3 0 9 4 0 0 0 0 0 2 6 3 < / T a r g e t A c c o u n t I D >  
             < C h a r t I D > 3 1 1 3 8 4 9 3 0 9 4 0 0 0 0 0 0 0 6 < / C h a r t I D >  
             < I s L i n k e d > f a l s e < / I s L i n k e d >  
             < N u m b e r > 0 1 0 3 0 3 3 0 0 0 1 < / N u m b e r >  
             < N a m e > P l a c e m e n t   O f   C e r t i f i c a t e   O f   M u s h a r i k a < / N a m e >  
             < A J E > 0 < / A J E >  
             < A d j u s t > 0 < / A d j u s t >  
             < R J E > 0 < / R J E >  
             < P r e l i m i n a r y > 0 < / P r e l i m i n a r y >  
             < F i n a l > 0 < / F i n a l >  
         < / A c c o u n t S t o r a g e >  
         < A c c o u n t S t o r a g e >  
             < A c c o u n t B a l a n c e s >  
                 < A c c o u n t B a l a n c e >  
                     < F i e l d N a m e > P r i o r P e r i o d 1 B a l a n c e < / F i e l d N a m e >  
                     < B a l a n c e > 3 9 < / B a l a n c e >  
                 < / A c c o u n t B a l a n c e >  
                 < A c c o u n t B a l a n c e >  
                     < F i e l d N a m e > P r i o r P e r i o d 2 B a l a n c e < / F i e l d N a m e >  
                     < B a l a n c e > 3 5 0 3 9 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 3 1 1 3 8 4 9 3 0 9 4 0 0 0 0 0 0 4 6 < / I D >  
             < T a r g e t A c c o u n t I D > 3 1 1 3 8 4 9 3 0 9 4 0 0 0 0 0 2 6 4 < / T a r g e t A c c o u n t I D >  
             < C h a r t I D > 3 1 1 3 8 4 9 3 0 9 4 0 0 0 0 0 0 0 6 < / C h a r t I D >  
             < I s L i n k e d > f a l s e < / I s L i n k e d >  
             < N u m b e r > 0 1 0 3 0 0 3 0 0 0 0 1 < / N u m b e r >  
             < N a m e > I N V E S T M E N T   I N   T R E A S U R Y   B I L L S     F A C E   V A L U E     H F T < / N a m e >  
             < A J E > 0 < / A J E >  
             < A d j u s t > 3 0 0 0 3 9 < / A d j u s t >  
             < R J E > 0 < / R J E >  
             < P r e l i m i n a r y > 3 0 0 0 3 9 < / P r e l i m i n a r y >  
             < F i n a l > 3 0 0 0 3 9 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 3 1 1 3 8 4 9 3 0 9 4 0 0 0 0 0 0 4 7 < / I D >  
             < T a r g e t A c c o u n t I D > 3 1 1 3 8 4 9 3 0 9 4 0 0 0 0 0 2 6 4 < / T a r g e t A c c o u n t I D >  
             < C h a r t I D > 3 1 1 3 8 4 9 3 0 9 4 0 0 0 0 0 0 0 6 < / C h a r t I D >  
             < I s L i n k e d > f a l s e < / I s L i n k e d >  
             < N u m b e r > 0 1 0 3 0 0 3 0 0 0 0 2 < / N u m b e r >  
             < N a m e > T R E A S U R Y   B I L L S     A P P R E C I A T I O N   /   D I M I N U T I O N     H F T < / N a m e >  
             < A J E > 0 < / A J E >  
             < A d j u s t > 5 0 5 < / A d j u s t >  
             < R J E > 0 < / R J E >  
             < P r e l i m i n a r y > 5 0 5 < / P r e l i m i n a r y >  
             < F i n a l > 5 0 5 < / F i n a l >  
         < / A c c o u n t S t o r a g e >  
         < A c c o u n t S t o r a g e >  
             < A c c o u n t B a l a n c e s >  
                 < A c c o u n t B a l a n c e >  
                     < F i e l d N a m e > P r i o r P e r i o d 1 B a l a n c e < / F i e l d N a m e >  
                     < B a l a n c e > - 3 9 < / B a l a n c e >  
                 < / A c c o u n t B a l a n c e >  
                 < A c c o u n t B a l a n c e >  
                     < F i e l d N a m e > P r i o r P e r i o d 2 B a l a n c e < / F i e l d N a m e >  
                     < B a l a n c e > - 4 2 2 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 3 1 1 3 8 4 9 3 0 9 4 0 0 0 0 0 0 4 8 < / I D >  
             < T a r g e t A c c o u n t I D > 3 1 1 3 8 4 9 3 0 9 4 0 0 0 0 0 2 6 4 < / T a r g e t A c c o u n t I D >  
             < C h a r t I D > 3 1 1 3 8 4 9 3 0 9 4 0 0 0 0 0 0 0 6 < / C h a r t I D >  
             < I s L i n k e d > f a l s e < / I s L i n k e d >  
             < N u m b e r > 0 1 0 3 0 0 3 0 0 0 0 3 < / N u m b e r >  
             < N a m e > T R E A S U R Y   B I L L S     D I S C O U N T   /   A M O R T I S A T I O N     H F T < / N a m e >  
             < A J E > 0 < / A J E >  
             < A d j u s t > - 6 1 7 4 < / A d j u s t >  
             < R J E > 0 < / R J E >  
             < P r e l i m i n a r y > - 6 1 7 4 < / P r e l i m i n a r y >  
             < F i n a l > - 6 1 7 4 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 3 1 1 3 8 4 9 3 0 9 4 0 0 0 0 0 0 4 9 < / I D >  
             < T a r g e t A c c o u n t I D > 3 1 1 3 8 4 9 3 0 9 4 0 0 0 0 0 2 6 4 < / T a r g e t A c c o u n t I D >  
             < C h a r t I D > 3 1 1 3 8 4 9 3 0 9 4 0 0 0 0 0 0 0 6 < / C h a r t I D >  
             < I s L i n k e d > f a l s e < / I s L i n k e d >  
             < N u m b e r > 0 1 0 3 0 0 4 0 0 0 0 1 < / N u m b e r >  
             < N a m e > I N V E S T M E N T   I N   P I B     F A C E   V A L U E 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 3 1 1 3 8 4 9 3 0 9 4 0 0 0 0 0 0 5 0 < / I D >  
             < T a r g e t A c c o u n t I D > 3 1 1 3 8 4 9 3 0 9 4 0 0 0 0 0 2 6 4 < / T a r g e t A c c o u n t I D >  
             < C h a r t I D > 3 1 1 3 8 4 9 3 0 9 4 0 0 0 0 0 0 0 6 < / C h a r t I D >  
             < I s L i n k e d > f a l s e < / I s L i n k e d >  
             < N u m b e r > 0 1 0 3 0 0 4 0 0 0 0 2 < / N u m b e r >  
             < N a m e > P A K I S T A N   I N V E S T M E N T   B O N D S     A P P R E C I A T I O N   /   D I M I N U T I O N 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 3 1 1 3 8 4 9 3 0 9 4 0 0 0 0 0 0 5 1 < / I D >  
             < T a r g e t A c c o u n t I D > 3 1 1 3 8 4 9 3 0 9 4 0 0 0 0 0 2 6 4 < / T a r g e t A c c o u n t I D >  
             < C h a r t I D > 3 1 1 3 8 4 9 3 0 9 4 0 0 0 0 0 0 0 6 < / C h a r t I D >  
             < I s L i n k e d > f a l s e < / I s L i n k e d >  
             < N u m b e r > 0 1 0 3 0 0 4 0 0 0 0 3 < / N u m b e r >  
             < N a m e > P A K I S T A N   I N V E S T M E N T   B O N D S     D I S C O U N T   /   A M O R T I S A T I O N 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 3 1 1 3 8 4 9 3 0 9 4 0 0 0 0 0 0 6 2 < / I D >  
             < T a r g e t A c c o u n t I D > 3 1 1 3 8 4 9 3 0 9 4 0 0 0 0 0 2 6 4 < / T a r g e t A c c o u n t I D >  
             < C h a r t I D > 3 1 1 3 8 4 9 3 0 9 4 0 0 0 0 0 0 0 6 < / C h a r t I D >  
             < I s L i n k e d > f a l s e < / I s L i n k e d >  
             < N u m b e r > 0 1 0 3 0 3 6 0 0 0 0 0 < / N u m b e r >  
             < N a m e > A P P R E C I A I O N / D I M U N I T I O N   O N   P I B   F R B 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 3 1 1 3 8 4 9 3 0 9 4 0 0 0 0 0 0 6 3 < / I D >  
             < T a r g e t A c c o u n t I D > 3 1 1 3 8 4 9 3 0 9 4 0 0 0 0 0 2 6 4 < / T a r g e t A c c o u n t I D >  
             < C h a r t I D > 3 1 1 3 8 4 9 3 0 9 4 0 0 0 0 0 0 0 6 < / C h a r t I D >  
             < I s L i n k e d > f a l s e < / I s L i n k e d >  
             < N u m b e r > 0 1 0 3 0 3 6 0 0 0 0 1 < / N u m b e r >  
             < N a m e > I N V E S T M E N T   I N   P I B   H F T   -   F R B 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 3 1 1 3 8 4 9 3 0 9 4 0 0 0 0 0 0 6 4 < / I D >  
             < T a r g e t A c c o u n t I D > 3 1 1 3 8 4 9 3 0 9 4 0 0 0 0 0 2 6 4 < / T a r g e t A c c o u n t I D >  
             < C h a r t I D > 3 1 1 3 8 4 9 3 0 9 4 0 0 0 0 0 0 0 6 < / C h a r t I D >  
             < I s L i n k e d > f a l s e < / I s L i n k e d >  
             < N u m b e r > 0 1 0 3 0 3 6 0 0 0 0 3 < / N u m b e r >  
             < N a m e > D I S C O U N T / A M O R T I Z A T I O N   O N   P I B   F R B - 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 7 4 0 0 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 3 1 1 3 8 4 9 3 0 9 4 0 0 0 0 0 0 5 7 < / I D >  
             < T a r g e t A c c o u n t I D > 3 1 1 3 8 4 9 3 0 9 4 0 0 0 0 0 2 6 5 < / T a r g e t A c c o u n t I D >  
             < C h a r t I D > 3 1 1 3 8 4 9 3 0 9 4 0 0 0 0 0 0 0 6 < / C h a r t I D >  
             < I s L i n k e d > f a l s e < / I s L i n k e d >  
             < N u m b e r > 0 1 0 3 0 1 3 0 0 0 0 1 < / N u m b e r >  
             < N a m e > I N V E S T M E N T   I N   P A K I S T A N   I N V E S T M E N T   B O N D S     F A C E   V A L U E 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 - 3 9 6 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 3 1 1 3 8 4 9 3 0 9 4 0 0 0 0 0 0 5 8 < / I D >  
             < T a r g e t A c c o u n t I D > 3 1 1 3 8 4 9 3 0 9 4 0 0 0 0 0 2 6 5 < / T a r g e t A c c o u n t I D >  
             < C h a r t I D > 3 1 1 3 8 4 9 3 0 9 4 0 0 0 0 0 0 0 6 < / C h a r t I D >  
             < I s L i n k e d > f a l s e < / I s L i n k e d >  
             < N u m b e r > 0 1 0 3 0 1 3 0 0 0 0 2 < / N u m b e r >  
             < N a m e > P A K I S T A N   I N V E S T M E N T   B O N D S     A P P R E C I A T I O N   /   D I M I N U T I O N 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 4 5 8 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 3 1 1 3 8 4 9 3 0 9 4 0 0 0 0 0 0 5 9 < / I D >  
             < T a r g e t A c c o u n t I D > 3 1 1 3 8 4 9 3 0 9 4 0 0 0 0 0 2 6 5 < / T a r g e t A c c o u n t I D >  
             < C h a r t I D > 3 1 1 3 8 4 9 3 0 9 4 0 0 0 0 0 0 0 6 < / C h a r t I D >  
             < I s L i n k e d > f a l s e < / I s L i n k e d >  
             < N u m b e r > 0 1 0 3 0 1 3 0 0 0 0 3 < / N u m b e r >  
             < N a m e > P A K I S T A N   I N V E S T M E N T   B O N D S     D I S C O U N T   /   A M O R T I S A T I O N     A F S 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 3 1 1 3 8 4 9 3 0 9 4 0 0 0 0 0 0 4 4 < / I D >  
             < T a r g e t A c c o u n t I D > 3 1 1 3 8 4 9 3 0 9 4 0 0 0 0 0 2 6 6 < / T a r g e t A c c o u n t I D >  
             < C h a r t I D > 3 1 1 3 8 4 9 3 0 9 4 0 0 0 0 0 0 0 6 < / C h a r t I D >  
             < I s L i n k e d > f a l s e < / I s L i n k e d >  
             < N u m b e r > 0 1 0 3 0 0 1 0 0 0 0 1 < / N u m b e r >  
             < N a m e > I N V E S T M E N T   I N   E Q U I T Y   T R A N S A C T I O N 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 3 1 1 3 8 4 9 3 0 9 4 0 0 0 0 0 0 4 5 < / I D >  
             < T a r g e t A c c o u n t I D > 3 1 1 3 8 4 9 3 0 9 4 0 0 0 0 0 2 6 6 < / T a r g e t A c c o u n t I D >  
             < C h a r t I D > 3 1 1 3 8 4 9 3 0 9 4 0 0 0 0 0 0 0 6 < / C h a r t I D >  
             < I s L i n k e d > f a l s e < / I s L i n k e d >  
             < N u m b e r > 0 1 0 3 0 0 1 0 0 0 0 2 < / N u m b e r >  
             < N a m e > E Q U I T Y   T R A N S A C T I O N     A P P R E C I A T I O N   /   D I M I N U T I O N   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 3 1 1 3 8 4 9 3 0 9 4 0 0 0 0 0 0 5 2 < / I D >  
             < T a r g e t A c c o u n t I D > 3 1 1 3 8 4 9 3 0 9 4 0 0 0 0 0 2 6 7 < / T a r g e t A c c o u n t I D >  
             < C h a r t I D > 3 1 1 3 8 4 9 3 0 9 4 0 0 0 0 0 0 0 6 < / C h a r t I D >  
             < I s L i n k e d > f a l s e < / I s L i n k e d >  
             < N u m b e r > 0 1 0 3 0 0 7 0 0 0 0 1 < / N u m b e r >  
             < N a m e > I N V E S T M E N T   I N   C O M M E R C I A L   P A P E R     F A C E   V A L U E     H F T < / N a m e >  
             < A J E > 0 < / A J E >  
             < A d j u s t > 7 5 0 0 0 < / A d j u s t >  
             < R J E > 0 < / R J E >  
             < P r e l i m i n a r y > 7 5 0 0 0 < / P r e l i m i n a r y >  
             < F i n a l > 7 5 0 0 0 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 3 4 1 8 0 2 8 0 3 4 4 0 0 0 0 1 0 5 6 < / I D >  
             < T a r g e t A c c o u n t I D > 3 1 1 3 8 4 9 3 0 9 4 0 0 0 0 0 2 6 7 < / T a r g e t A c c o u n t I D >  
             < C h a r t I D > 3 1 1 3 8 4 9 3 0 9 4 0 0 0 0 0 0 0 6 < / C h a r t I D >  
             < I s L i n k e d > f a l s e < / I s L i n k e d >  
             < N u m b e r > 0 1 0 3 0 0 7 0 0 0 0 3 < / N u m b e r >  
             < N a m e > C O M M E R C I A L   P A P E R     D I S C O U N T   /   A M O R T I S A T I O N     H F T < / N a m e >  
             < A J E > 0 < / A J E >  
             < A d j u s t > - 1 8 6 2 < / A d j u s t >  
             < R J E > 0 < / R J E >  
             < P r e l i m i n a r y > - 1 8 6 2 < / P r e l i m i n a r y >  
             < F i n a l > - 1 8 6 2 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 3 1 1 3 8 4 9 3 0 9 4 0 0 0 0 0 0 6 0 < / I D >  
             < T a r g e t A c c o u n t I D > 3 1 1 3 8 4 9 3 0 9 4 0 0 0 0 0 2 6 8 < / T a r g e t A c c o u n t I D >  
             < C h a r t I D > 3 1 1 3 8 4 9 3 0 9 4 0 0 0 0 0 0 0 6 < / C h a r t I D >  
             < I s L i n k e d > f a l s e < / I s L i n k e d >  
             < N u m b e r > 0 1 0 3 0 2 4 0 0 0 0 1 < / N u m b e r >  
             < N a m e > I N V E S T M E N T   I N   T E R M   D E P O S I T   R E C E I P T S 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 3 1 1 3 8 4 9 3 0 9 4 0 0 0 0 0 0 6 1 < / I D >  
             < T a r g e t A c c o u n t I D > 3 1 1 3 8 4 9 3 0 9 4 0 0 0 0 0 2 6 9 < / T a r g e t A c c o u n t I D >  
             < C h a r t I D > 3 1 1 3 8 4 9 3 0 9 4 0 0 0 0 0 0 0 6 < / C h a r t I D >  
             < I s L i n k e d > f a l s e < / I s L i n k e d >  
             < N u m b e r > 0 1 0 3 0 2 9 0 0 0 0 1 < / N u m b e r >  
             < N a m e > F A I R   V A L U E   O F   D E R I V A T I V E   O F   F U T U R E   T R A N S A C T I O N < / 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 3 1 1 3 8 4 9 3 0 9 4 0 0 0 0 0 0 9 8 < / I D >  
             < T a r g e t A c c o u n t I D > 3 1 1 3 8 4 9 3 0 9 4 0 0 0 0 0 2 7 0 < / T a r g e t A c c o u n t I D >  
             < C h a r t I D > 3 1 1 3 8 4 9 3 0 9 4 0 0 0 0 0 0 0 6 < / C h a r t I D >  
             < I s L i n k e d > f a l s e < / I s L i n k e d >  
             < N u m b e r > 0 1 0 6 0 2 1 0 0 0 0 1 < / N u m b e r >  
             < N a m e > D I V I D E N D   R E C E I V A B L E S     E Q U I T Y   I N V E S T M E N T S < / N a m e >  
             < A J E > 0 < / A J E >  
             < A d j u s t > 0 < / A d j u s t >  
             < R J E > 0 < / R J E >  
             < P r e l i m i n a r y > 0 < / P r e l i m i n a r y >  
             < F i n a l > 0 < / F i n a l >  
         < / A c c o u n t S t o r a g e >  
         < A c c o u n t S t o r a g e >  
             < A c c o u n t B a l a n c e s >  
                 < A c c o u n t B a l a n c e >  
                     < F i e l d N a m e > P r i o r P e r i o d 1 B a l a n c e < / F i e l d N a m e >  
                     < B a l a n c e > 2 7 1 1 < / B a l a n c e >  
                 < / A c c o u n t B a l a n c e >  
                 < A c c o u n t B a l a n c e >  
                     < F i e l d N a m e > P r i o r P e r i o d 2 B a l a n c e < / F i e l d N a m e >  
                     < B a l a n c e > 6 3 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 3 1 1 3 8 4 9 3 0 9 4 0 0 0 0 0 0 7 7 < / I D >  
             < T a r g e t A c c o u n t I D > 3 1 1 3 8 4 9 3 0 9 4 0 0 0 0 0 2 7 1 < / T a r g e t A c c o u n t I D >  
             < C h a r t I D > 3 1 1 3 8 4 9 3 0 9 4 0 0 0 0 0 0 0 6 < / C h a r t I D >  
             < I s L i n k e d > f a l s e < / I s L i n k e d >  
             < N u m b e r > 0 1 0 6 0 1 1 0 0 0 0 1 < / N u m b e r >  
             < N a m e > P R O F I T   R E C E I V A B L E   -   A L L I E D   B A N K   L I M I T E D   -   F O R E I G N   E X C H A N G E   B R A N C H < / N a m e >  
             < A J E > 0 < / A J E >  
             < A d j u s t > 1 7 6 5 < / A d j u s t >  
             < R J E > 0 < / R J E >  
             < P r e l i m i n a r y > 1 7 6 5 < / P r e l i m i n a r y >  
             < F i n a l > 1 7 6 5 < / F i n a l >  
         < / A c c o u n t S t o r a g e >  
         < A c c o u n t S t o r a g e >  
             < A c c o u n t B a l a n c e s >  
                 < A c c o u n t B a l a n c e >  
                     < F i e l d N a m e > P r i o r P e r i o d 1 B a l a n c e < / F i e l d N a m e >  
                     < B a l a n c e > 6 6 < / B a l a n c e >  
                 < / A c c o u n t B a l a n c e >  
                 < A c c o u n t B a l a n c e >  
                     < F i e l d N a m e > P r i o r P e r i o d 2 B a l a n c e < / F i e l d N a m e >  
                     < B a l a n c e > 3 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 3 1 1 3 8 4 9 3 0 9 4 0 0 0 0 0 0 7 8 < / I D >  
             < T a r g e t A c c o u n t I D > 3 1 1 3 8 4 9 3 0 9 4 0 0 0 0 0 2 7 1 < / T a r g e t A c c o u n t I D >  
             < C h a r t I D > 3 1 1 3 8 4 9 3 0 9 4 0 0 0 0 0 0 0 6 < / C h a r t I D >  
             < I s L i n k e d > f a l s e < / I s L i n k e d >  
             < N u m b e r > 0 1 0 6 0 1 1 0 0 0 0 5 < / N u m b e r >  
             < N a m e > P R O F I T   R E C E I V A B L E   -   B A N K   A L   F A L A H   L I M I T E D     -   K S E   B R A N C H < / N a m e >  
             < A J E > 0 < / A J E >  
             < A d j u s t > 6 < / A d j u s t >  
             < R J E > 0 < / R J E >  
             < P r e l i m i n a r y > 6 < / P r e l i m i n a r y >  
             < F i n a l > 6 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 3 1 1 3 8 4 9 3 0 9 4 0 0 0 0 0 0 7 9 < / I D >  
             < T a r g e t A c c o u n t I D > 3 1 1 3 8 4 9 3 0 9 4 0 0 0 0 0 2 7 1 < / T a r g e t A c c o u n t I D >  
             < C h a r t I D > 3 1 1 3 8 4 9 3 0 9 4 0 0 0 0 0 0 0 6 < / C h a r t I D >  
             < I s L i n k e d > f a l s e < / I s L i n k e d >  
             < N u m b e r > 0 1 0 6 0 1 1 0 0 0 1 1 < / N u m b e r >  
             < N a m e > P R O F I T   R E C E I V A B L E   -   F A Y S A L   B A N K   L I M I T E D   -   G U L S H A N   E   I Q B A L   B R A N C H < / N a m e >  
             < A J E > 0 < / A J E >  
             < A d j u s t > 0 < / A d j u s t >  
             < R J E > 0 < / R J E >  
             < P r e l i m i n a r y > 0 < / P r e l i m i n a r y >  
             < F i n a l > 0 < / F i n a l >  
         < / A c c o u n t S t o r a g e >  
         < A c c o u n t S t o r a g e >  
             < A c c o u n t B a l a n c e s >  
                 < A c c o u n t B a l a n c e >  
                     < F i e l d N a m e > P r i o r P e r i o d 1 B a l a n c e < / F i e l d N a m e >  
                     < B a l a n c e > 1 8 < / B a l a n c e >  
                 < / A c c o u n t B a l a n c e >  
                 < A c c o u n t B a l a n c e >  
                     < F i e l d N a m e > P r i o r P e r i o d 2 B a l a n c e < / F i e l d N a m e >  
                     < B a l a n c e > 9 5 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 3 1 1 3 8 4 9 3 0 9 4 0 0 0 0 0 0 8 0 < / I D >  
             < T a r g e t A c c o u n t I D > 3 1 1 3 8 4 9 3 0 9 4 0 0 0 0 0 2 7 1 < / T a r g e t A c c o u n t I D >  
             < C h a r t I D > 3 1 1 3 8 4 9 3 0 9 4 0 0 0 0 0 0 0 6 < / C h a r t I D >  
             < I s L i n k e d > f a l s e < / I s L i n k e d >  
             < N u m b e r > 0 1 0 6 0 1 1 0 0 0 1 4 < / N u m b e r >  
             < N a m e > P R O F I T   R E C E I V A B L E   -   H A B I B   M E T R O P O L I T A N   B A N K   L I M I T E D   -   K A R A C H I   S T O C K   E X C H A N G E   B R A N C H < / N a m e >  
             < A J E > 0 < / A J E >  
             < A d j u s t > 5 1 < / A d j u s t >  
             < R J E > 0 < / R J E >  
             < P r e l i m i n a r y > 5 1 < / P r e l i m i n a r y >  
             < F i n a l > 5 1 < / F i n a l >  
         < / A c c o u n t S t o r a g e >  
         < A c c o u n t S t o r a g e >  
             < A c c o u n t B a l a n c e s >  
                 < A c c o u n t B a l a n c e >  
                     < F i e l d N a m e > P r i o r P e r i o d 1 B a l a n c e < / F i e l d N a m e >  
                     < B a l a n c e > 2 5 < / B a l a n c e >  
                 < / A c c o u n t B a l a n c e >  
                 < A c c o u n t B a l a n c e >  
                     < F i e l d N a m e > P r i o r P e r i o d 2 B a l a n c e < / F i e l d N a m e >  
                     < B a l a n c e > 5 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 3 1 1 3 8 4 9 3 0 9 4 0 0 0 0 0 0 8 1 < / I D >  
             < T a r g e t A c c o u n t I D > 3 1 1 3 8 4 9 3 0 9 4 0 0 0 0 0 2 7 1 < / T a r g e t A c c o u n t I D >  
             < C h a r t I D > 3 1 1 3 8 4 9 3 0 9 4 0 0 0 0 0 0 0 6 < / C h a r t I D >  
             < I s L i n k e d > f a l s e < / I s L i n k e d >  
             < N u m b e r > 0 1 0 6 0 1 1 0 0 0 1 5 < / N u m b e r >  
             < N a m e > P R O F I T   R E C E I V A B L E   -   H A B I B   M E T R O P O L I T A N   B A N K   L I M I T E D   -   M A I N   B R A N C H < / N a m e >  
             < A J E > 0 < / A J E >  
             < A d j u s t > 3 1 5 < / A d j u s t >  
             < R J E > 0 < / R J E >  
             < P r e l i m i n a r y > 3 1 5 < / P r e l i m i n a r y >  
             < F i n a l > 3 1 5 < / F i n a l >  
         < / A c c o u n t S t o r a g e >  
         < A c c o u n t S t o r a g e >  
             < A c c o u n t B a l a n c e s >  
                 < A c c o u n t B a l a n c e >  
                     < F i e l d N a m e > P r i o r P e r i o d 1 B a l a n c e < / F i e l d N a m e >  
                     < B a l a n c e > 1 6 7 < / B a l a n c e >  
                 < / A c c o u n t B a l a n c e >  
                 < A c c o u n t B a l a n c e >  
                     < F i e l d N a m e > P r i o r P e r i o d 2 B a l a n c e < / F i e l d N a m e >  
                     < B a l a n c e > 5 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 3 1 1 3 8 4 9 3 0 9 4 0 0 0 0 0 0 8 2 < / I D >  
             < T a r g e t A c c o u n t I D > 3 1 1 3 8 4 9 3 0 9 4 0 0 0 0 0 2 7 1 < / T a r g e t A c c o u n t I D >  
             < C h a r t I D > 3 1 1 3 8 4 9 3 0 9 4 0 0 0 0 0 0 0 6 < / C h a r t I D >  
             < I s L i n k e d > f a l s e < / I s L i n k e d >  
             < N u m b e r > 0 1 0 6 0 1 1 0 0 0 1 7 < / N u m b e r >  
             < N a m e > P R O F I T   R E C E I V A B L E   -   M C B   B A N K   L I M I T E D   -   U N I   T O W E R   B R A N C H < / N a m e >  
             < A J E > 0 < / A J E >  
             < A d j u s t > 1 1 < / A d j u s t >  
             < R J E > 0 < / R J E >  
             < P r e l i m i n a r y > 1 1 < / P r e l i m i n a r y >  
             < F i n a l > 1 1 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 3 1 1 3 8 4 9 3 0 9 4 0 0 0 0 0 0 8 3 < / I D >  
             < T a r g e t A c c o u n t I D > 3 1 1 3 8 4 9 3 0 9 4 0 0 0 0 0 2 7 1 < / T a r g e t A c c o u n t I D >  
             < C h a r t I D > 3 1 1 3 8 4 9 3 0 9 4 0 0 0 0 0 0 0 6 < / C h a r t I D >  
             < I s L i n k e d > f a l s e < / I s L i n k e d >  
             < N u m b e r > 0 1 0 6 0 1 1 0 0 0 2 7 < / N u m b e r >  
             < N a m e > P R O F I T   R E C E I V A B L E 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 3 1 1 3 8 4 9 3 0 9 4 0 0 0 0 0 0 8 4 < / I D >  
             < T a r g e t A c c o u n t I D > 3 1 1 3 8 4 9 3 0 9 4 0 0 0 0 0 2 7 1 < / T a r g e t A c c o u n t I D >  
             < C h a r t I D > 3 1 1 3 8 4 9 3 0 9 4 0 0 0 0 0 0 0 6 < / C h a r t I D >  
             < I s L i n k e d > f a l s e < / I s L i n k e d >  
             < N u m b e r > 0 1 0 6 0 1 1 0 0 0 3 4 < / N u m b e r >  
             < N a m e > P R O F I T   R E C E I V A B L E   -   U N I T E D   B A N K   L I M I T E D   -   C O R P O R A T E 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 3 1 1 3 8 4 9 3 0 9 4 0 0 0 0 0 0 8 5 < / I D >  
             < T a r g e t A c c o u n t I D > 3 1 1 3 8 4 9 3 0 9 4 0 0 0 0 0 2 7 1 < / T a r g e t A c c o u n t I D >  
             < C h a r t I D > 3 1 1 3 8 4 9 3 0 9 4 0 0 0 0 0 0 0 6 < / C h a r t I D >  
             < I s L i n k e d > f a l s e < / I s L i n k e d >  
             < N u m b e r > 0 1 0 6 0 1 1 0 0 0 7 2 < / N u m b e r >  
             < N a m e > P r o f i t   R e c e i v a b l e   -   Z a r a i   T a r a q i a t i   B a n k   L i m i t e d   -   S h a f i   C o u r t   B r a n c h < / N a m e >  
             < A J E > 0 < / A J E >  
             < A d j u s t > 0 < / A d j u s t >  
             < R J E > 0 < / R J E >  
             < P r e l i m i n a r y > 0 < / P r e l i m i n a r y >  
             < F i n a l > 0 < / F i n a l >  
         < / A c c o u n t S t o r a g e >  
         < A c c o u n t S t o r a g e >  
             < A c c o u n t B a l a n c e s >  
                 < A c c o u n t B a l a n c e >  
                     < F i e l d N a m e > P r i o r P e r i o d 1 B a l a n c e < / F i e l d N a m e >  
                     < B a l a n c e > 6 4 2 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 3 1 1 3 8 4 9 3 0 9 4 0 0 0 0 0 0 8 6 < / I D >  
             < T a r g e t A c c o u n t I D > 3 1 1 3 8 4 9 3 0 9 4 0 0 0 0 0 2 7 1 < / T a r g e t A c c o u n t I D >  
             < C h a r t I D > 3 1 1 3 8 4 9 3 0 9 4 0 0 0 0 0 0 0 6 < / C h a r t I D >  
             < I s L i n k e d > f a l s e < / I s L i n k e d >  
             < N u m b e r > 0 1 0 6 0 1 1 0 0 0 7 5 < / N u m b e r >  
             < N a m e > P r o f i t   R e c e i v a b l e   -   J s   B a n k   L i m i t e d   -   O c e a n   T o w e r ,   C l i f t o n 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 3 1 1 3 8 4 9 3 0 9 4 0 0 0 0 0 0 8 7 < / I D >  
             < T a r g e t A c c o u n t I D > 3 1 1 3 8 4 9 3 0 9 4 0 0 0 0 0 2 7 1 < / T a r g e t A c c o u n t I D >  
             < C h a r t I D > 3 1 1 3 8 4 9 3 0 9 4 0 0 0 0 0 0 0 6 < / C h a r t I D >  
             < I s L i n k e d > f a l s e < / I s L i n k e d >  
             < N u m b e r > 0 1 0 6 0 1 1 0 0 0 7 7 < / N u m b e r >  
             < N a m e > P r o f i t   R e c e i v a b l e 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 1 2 1 < / B a l a n c e >  
                 < / A c c o u n t B a l a n c e >  
                 < A c c o u n t B a l a n c e >  
                     < F i e l d N a m e > P r i o r P e r i o d 2 B a l a n c e < / F i e l d N a m e >  
                     < B a l a n c e > 8 8 2 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 3 1 1 3 8 4 9 3 0 9 4 0 0 0 0 0 0 8 8 < / I D >  
             < T a r g e t A c c o u n t I D > 3 1 1 3 8 4 9 3 0 9 4 0 0 0 0 0 2 7 1 < / T a r g e t A c c o u n t I D >  
             < C h a r t I D > 3 1 1 3 8 4 9 3 0 9 4 0 0 0 0 0 0 0 6 < / C h a r t I D >  
             < I s L i n k e d > f a l s e < / I s L i n k e d >  
             < N u m b e r > 0 1 0 6 0 1 1 0 0 0 7 9 < / N u m b e r >  
             < N a m e > P r o f i t   R e c e i v a b l e 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 3 1 1 3 8 4 9 3 0 9 4 0 0 0 0 0 0 8 9 < / I D >  
             < T a r g e t A c c o u n t I D > 3 1 1 3 8 4 9 3 0 9 4 0 0 0 0 0 2 7 1 < / T a r g e t A c c o u n t I D >  
             < C h a r t I D > 3 1 1 3 8 4 9 3 0 9 4 0 0 0 0 0 0 0 6 < / C h a r t I D >  
             < I s L i n k e d > f a l s e < / I s L i n k e d >  
             < N u m b e r > 0 1 0 6 0 1 1 0 0 0 8 0 < / N u m b e r >  
             < N a m e > P r o f i t   R e c e i v a b l e 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 3 1 1 3 8 4 9 3 0 9 4 0 0 0 0 0 0 9 0 < / I D >  
             < T a r g e t A c c o u n t I D > 3 1 1 3 8 4 9 3 0 9 4 0 0 0 0 0 2 7 1 < / T a r g e t A c c o u n t I D >  
             < C h a r t I D > 3 1 1 3 8 4 9 3 0 9 4 0 0 0 0 0 0 0 6 < / C h a r t I D >  
             < I s L i n k e d > f a l s e < / I s L i n k e d >  
             < N u m b e r > 0 1 0 6 0 1 1 0 0 0 8 2 < / N u m b e r >  
             < N a m e > P r o f i t   R e c e i v a b l e 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 3 4 1 8 0 2 8 0 3 4 4 0 0 0 0 1 0 5 8 < / I D >  
             < T a r g e t A c c o u n t I D > 3 1 1 3 8 4 9 3 0 9 4 0 0 0 0 0 2 7 1 < / T a r g e t A c c o u n t I D >  
             < C h a r t I D > 3 1 1 3 8 4 9 3 0 9 4 0 0 0 0 0 0 0 6 < / C h a r t I D >  
             < I s L i n k e d > f a l s e < / I s L i n k e d >  
             < N u m b e r > 0 1 0 6 0 1 1 0 0 0 8 9 < / N u m b e r >  
             < N a m e > P r o f i t   R e c e i v a b l e   -   H a b i b   B a n k   L i m i t e d   K s e   B r a n c h < / N a m e >  
             < A J E > 0 < / A J E >  
             < A d j u s t > 4 3 8 < / A d j u s t >  
             < R J E > 0 < / R J E >  
             < P r e l i m i n a r y > 4 3 8 < / P r e l i m i n a r y >  
             < F i n a l > 4 3 8 < / 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 9 2 8 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 3 1 1 3 8 4 9 3 0 9 4 0 0 0 0 0 0 9 1 < / I D >  
             < T a r g e t A c c o u n t I D > 3 1 1 3 8 4 9 3 0 9 4 0 0 0 0 0 2 7 1 < / T a r g e t A c c o u n t I D >  
             < C h a r t I D > 3 1 1 3 8 4 9 3 0 9 4 0 0 0 0 0 0 0 6 < / C h a r t I D >  
             < I s L i n k e d > f a l s e < / I s L i n k e d >  
             < N u m b e r > 0 1 0 6 0 1 1 0 0 0 9 2 < / N u m b e r >  
             < N a m e > P r o f i t   R e c e i v a b l e   -   F i r s t   M i c r o   F i n a n c e   B a n k   -   C l i f t o n   B r a n c h < / N a m e >  
             < A J E > 0 < / A J E >  
             < A d j u s t > 0 < / A d j u s t >  
             < R J E > 0 < / R J E >  
             < P r e l i m i n a r y > 0 < / P r e l i m i n a r y >  
             < F i n a l > 0 < / F i n a l >  
         < / A c c o u n t S t o r a g e >  
         < A c c o u n t S t o r a g e >  
             < A c c o u n t B a l a n c e s >  
                 < A c c o u n t B a l a n c e >  
                     < F i e l d N a m e > P r i o r P e r i o d 1 B a l a n c e < / F i e l d N a m e >  
                     < B a l a n c e > 3 3 < / B a l a n c e >  
                 < / A c c o u n t B a l a n c e >  
                 < A c c o u n t B a l a n c e >  
                     < F i e l d N a m e > P r i o r P e r i o d 2 B a l a n c e < / F i e l d N a m e >  
                     < B a l a n c e > 1 8 1 2 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 3 1 1 3 8 4 9 3 0 9 4 0 0 0 0 0 0 9 2 < / I D >  
             < T a r g e t A c c o u n t I D > 3 1 1 3 8 4 9 3 0 9 4 0 0 0 0 0 2 7 1 < / T a r g e t A c c o u n t I D >  
             < C h a r t I D > 3 1 1 3 8 4 9 3 0 9 4 0 0 0 0 0 0 0 6 < / C h a r t I D >  
             < I s L i n k e d > f a l s e < / I s L i n k e d >  
             < N u m b e r > 0 1 0 6 0 1 1 0 0 0 9 8 < / N u m b e r >  
             < N a m e > P r o f i t   R e c e i v a b l e   -   S i l k 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 3 1 1 3 8 4 9 3 0 9 4 0 0 0 0 0 0 1 3 < / I D >  
             < T a r g e t A c c o u n t I D > 3 1 1 3 8 4 9 3 0 9 4 0 0 0 0 0 2 7 1 < / T a r g e t A c c o u n t I D >  
             < C h a r t I D > 3 1 1 3 8 4 9 3 0 9 4 0 0 0 0 0 0 0 6 < / C h a r t I D >  
             < I s L i n k e d > f a l s e < / I s L i n k e d >  
             < N u m b e r > 0 1 0 6 0 1 1 0 0 7 5 < / N u m b e r >  
             < N a m e > P r o f i t   R e c e i v a b l e   -   J s   B a n k   L i m i t e d   -   O c e a n   T o w e r ,   C l i f t o n   B r a n c h < / N a m e >  
             < A J E > 0 < / A J E >  
             < A d j u s t > 0 < / A d j u s t >  
             < R J E > 0 < / R J E >  
             < P r e l i m i n a r y > 0 < / P r e l i m i n a r y >  
             < F i n a l > 0 < / F i n a l >  
         < / A c c o u n t S t o r a g e >  
         < A c c o u n t S t o r a g e >  
             < A c c o u n t B a l a n c e s >  
                 < A c c o u n t B a l a n c e >  
                     < F i e l d N a m e > P r i o r P e r i o d 1 B a l a n c e < / F i e l d N a m e >  
                     < B a l a n c e > 2 6 9 3 1 < / B a l a n c e >  
                 < / A c c o u n t B a l a n c e >  
                 < A c c o u n t B a l a n c e >  
                     < F i e l d N a m e > P r i o r P e r i o d 2 B a l a n c e < / F i e l d N a m e >  
                     < B a l a n c e > 2 7 4 1 3 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 3 1 1 3 8 4 9 3 0 9 4 0 0 0 0 0 0 6 9 < / I D >  
             < T a r g e t A c c o u n t I D > 3 1 1 3 8 4 9 3 0 9 4 0 0 0 0 0 2 7 2 < / T a r g e t A c c o u n t I D >  
             < C h a r t I D > 3 1 1 3 8 4 9 3 0 9 4 0 0 0 0 0 0 0 6 < / C h a r t I D >  
             < I s L i n k e d > f a l s e < / I s L i n k e d >  
             < N u m b e r > 0 1 0 6 0 0 2 0 0 0 0 1 < / N u m b e r >  
             < N a m e > R E C E I V A B L E   A G A I N S T   R E D E M P T I O N   O F   D E B T   S E C U R I T I E S     M A R K U P < / N a m e >  
             < A J E > 0 < / A J E >  
             < A d j u s t > 2 6 9 3 1 < / A d j u s t >  
             < R J E > 0 < / R J E >  
             < P r e l i m i n a r y > 2 6 9 3 1 < / P r e l i m i n a r y >  
             < F i n a l > 2 6 9 3 1 < / F i n a l >  
         < / A c c o u n t S t o r a g e >  
         < A c c o u n t S t o r a g e >  
             < A c c o u n t B a l a n c e s >  
                 < A c c o u n t B a l a n c e >  
                     < F i e l d N a m e > P r i o r P e r i o d 1 B a l a n c e < / F i e l d N a m e >  
                     < B a l a n c e > - 2 6 9 3 1 < / B a l a n c e >  
                 < / A c c o u n t B a l a n c e >  
                 < A c c o u n t B a l a n c e >  
                     < F i e l d N a m e > P r i o r P e r i o d 2 B a l a n c e < / F i e l d N a m e >  
                     < B a l a n c e > - 2 7 4 1 3 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 3 1 1 3 8 4 9 3 0 9 4 0 0 0 0 0 0 7 5 < / I D >  
             < T a r g e t A c c o u n t I D > 3 1 1 3 8 4 9 3 0 9 4 0 0 0 0 0 2 7 2 < / T a r g e t A c c o u n t I D >  
             < C h a r t I D > 3 1 1 3 8 4 9 3 0 9 4 0 0 0 0 0 0 0 6 < / C h a r t I D >  
             < I s L i n k e d > f a l s e < / I s L i n k e d >  
             < N u m b e r > 0 1 0 6 0 0 4 0 0 0 0 1 < / N u m b e r >  
             < N a m e > P R O V I S I O N   A G A I N S T   R E D E M P T I O N   O F   D E B T   S E C U R I T I E S     M A R K U P < / N a m e >  
             < A J E > 0 < / A J E >  
             < A d j u s t > - 2 6 9 3 1 < / A d j u s t >  
             < R J E > 0 < / R J E >  
             < P r e l i m i n a r y > - 2 6 9 3 1 < / P r e l i m i n a r y >  
             < F i n a l > - 2 6 9 3 1 < / F i n a l >  
         < / A c c o u n t S t o r a g e >  
         < A c c o u n t S t o r a g e >  
             < A c c o u n t B a l a n c e s >  
                 < A c c o u n t B a l a n c e >  
                     < F i e l d N a m e > P r i o r P e r i o d 1 B a l a n c e < / F i e l d N a m e >  
                     < B a l a n c e > 1 6 1 9 4 < / B a l a n c e >  
                 < / A c c o u n t B a l a n c e >  
                 < A c c o u n t B a l a n c e >  
                     < F i e l d N a m e > P r i o r P e r i o d 2 B a l a n c e < / F i e l d N a m e >  
                     < B a l a n c e > 1 1 3 9 4 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 3 1 1 3 8 4 9 3 0 9 4 0 0 0 0 0 0 9 3 < / I D >  
             < T a r g e t A c c o u n t I D > 3 1 1 3 8 4 9 3 0 9 4 0 0 0 0 0 2 7 2 < / T a r g e t A c c o u n t I D >  
             < C h a r t I D > 3 1 1 3 8 4 9 3 0 9 4 0 0 0 0 0 0 0 6 < / C h a r t I D >  
             < I s L i n k e d > f a l s e < / I s L i n k e d >  
             < N u m b e r > 0 1 0 6 0 1 2 0 0 0 0 1 < / N u m b e r >  
             < N a m e > A C C R U E D   P R O F I T   O N   T F C < / N a m e >  
             < A J E > 0 < / A J E >  
             < A d j u s t > 2 3 2 8 8 < / A d j u s t >  
             < R J E > 0 < / R J E >  
             < P r e l i m i n a r y > 2 3 2 8 8 < / P r e l i m i n a r y >  
             < F i n a l > 2 3 2 8 8 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 3 1 1 3 8 4 9 3 0 9 4 0 0 0 0 0 0 9 4 < / I D >  
             < T a r g e t A c c o u n t I D > 3 1 1 3 8 4 9 3 0 9 4 0 0 0 0 0 2 7 2 < / T a r g e t A c c o u n t I D >  
             < C h a r t I D > 3 1 1 3 8 4 9 3 0 9 4 0 0 0 0 0 0 0 6 < / C h a r t I D >  
             < I s L i n k e d > f a l s e < / I s L i n k e d >  
             < N u m b e r > 0 1 0 6 0 1 2 0 0 0 0 2 < / N u m b e r >  
             < N a m e > A C C R U E D   P R O F I T   O N   T F C < / 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 3 1 1 3 8 4 9 3 0 9 4 0 0 0 0 0 0 9 5 < / I D >  
             < T a r g e t A c c o u n t I D > 3 1 1 3 8 4 9 3 0 9 4 0 0 0 0 0 2 7 2 < / T a r g e t A c c o u n t I D >  
             < C h a r t I D > 3 1 1 3 8 4 9 3 0 9 4 0 0 0 0 0 0 0 6 < / C h a r t I D >  
             < I s L i n k e d > f a l s e < / I s L i n k e d >  
             < N u m b e r > 0 1 0 6 0 1 3 0 0 0 0 1 < / N u m b e r >  
             < N a m e > A C C R U E D   P R O F I T   O N   T E R M   F I N A N C E   C E R T I F I C A T E S     P R E   I P O < / N a m e >  
             < A J E > 0 < / A J E >  
             < A d j u s t > 2 3 9 < / A d j u s t >  
             < R J E > 0 < / R J E >  
             < P r e l i m i n a r y > 2 3 9 < / P r e l i m i n a r y >  
             < F i n a l > 2 3 9 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 9 5 1 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 3 1 1 3 8 4 9 3 0 9 4 0 0 0 0 0 0 9 6 < / I D >  
             < T a r g e t A c c o u n t I D > 3 1 1 3 8 4 9 3 0 9 4 0 0 0 0 0 2 7 2 < / T a r g e t A c c o u n t I D >  
             < C h a r t I D > 3 1 1 3 8 4 9 3 0 9 4 0 0 0 0 0 0 0 6 < / C h a r t I D >  
             < I s L i n k e d > f a l s e < / I s L i n k e d >  
             < N u m b e r > 0 1 0 6 0 1 5 0 0 0 0 1 < / N u m b e r >  
             < N a m e > A C C R U E D   P R O F I T   O N   S U K K U K     P R E   I P O < / 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 2 9 8 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 3 1 1 3 8 4 9 3 0 9 4 0 0 0 0 0 0 9 7 < / I D >  
             < T a r g e t A c c o u n t I D > 3 1 1 3 8 4 9 3 0 9 4 0 0 0 0 0 2 7 3 < / T a r g e t A c c o u n t I D >  
             < C h a r t I D > 3 1 1 3 8 4 9 3 0 9 4 0 0 0 0 0 0 0 6 < / C h a r t I D >  
             < I s L i n k e d > f a l s e < / I s L i n k e d >  
             < N u m b e r > 0 1 0 6 0 1 6 0 0 0 0 1 < / N u m b e r >  
             < N a m e > A C C R U E D   P R O F I T   O N   G O V T   S E C T Y     P I B 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 3 1 1 3 8 4 9 3 0 9 4 0 0 0 0 0 1 0 2 < / I D >  
             < T a r g e t A c c o u n t I D > 3 1 1 3 8 4 9 3 0 9 4 0 0 0 0 0 2 7 3 < / T a r g e t A c c o u n t I D >  
             < C h a r t I D > 3 1 1 3 8 4 9 3 0 9 4 0 0 0 0 0 0 0 6 < / C h a r t I D >  
             < I s L i n k e d > f a l s e < / I s L i n k e d >  
             < N u m b e r > 0 1 0 6 0 2 8 0 0 0 0 1 < / N u m b e r >  
             < N a m e > A C C R U E D   P R O F I T   O N   P I B   -   F R B 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 3 1 1 3 8 4 9 3 0 9 4 0 0 0 0 0 0 7 6 < / I D >  
             < T a r g e t A c c o u n t I D > 3 1 1 3 8 4 9 3 0 9 4 0 0 0 0 0 2 7 4 < / T a r g e t A c c o u n t I D >  
             < C h a r t I D > 3 1 1 3 8 4 9 3 0 9 4 0 0 0 0 0 0 0 6 < / C h a r t I D >  
             < I s L i n k e d > f a l s e < / I s L i n k e d >  
             < N u m b e r > 0 1 0 6 0 0 5 0 0 0 0 1 < / N u m b e r >  
             < N a m e > P R O F I T   O N   T E R M   D E P O S I T S   R E C E I P T 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 9 6 8 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 3 1 1 3 8 4 9 3 0 9 4 0 0 0 0 0 0 1 5 < / I D >  
             < T a r g e t A c c o u n t I D > 3 1 1 3 8 4 9 3 0 9 4 0 0 0 0 0 2 7 5 < / T a r g e t A c c o u n t I D >  
             < C h a r t I D > 3 1 1 3 8 4 9 3 0 9 4 0 0 0 0 0 0 0 6 < / C h a r t I D >  
             < I s L i n k e d > f a l s e < / I s L i n k e d >  
             < N u m b e r > 0 1 1 1 0 0 9 0 0 0 9 < / N u m b e r >  
             < N a m e > R e c i e v a b l e   O f   I n c o m e   A g a i n s t   M t s < / N a m e >  
             < A J E > 0 < / A J E >  
             < A d j u s t > 0 < / A d j u s t >  
             < R J E > 0 < / R J E >  
             < P r e l i m i n a r y > 0 < / P r e l i m i n a r y >  
             < F i n a l > 0 < / 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 3 1 1 3 8 4 9 3 0 9 4 0 0 0 0 0 1 0 1 < / I D >  
             < T a r g e t A c c o u n t I D > 3 1 1 3 8 4 9 3 0 9 4 0 0 0 0 0 2 7 6 < / T a r g e t A c c o u n t I D >  
             < C h a r t I D > 3 1 1 3 8 4 9 3 0 9 4 0 0 0 0 0 0 0 6 < / C h a r t I D >  
             < I s L i n k e d > f a l s e < / I s L i n k e d >  
             < N u m b e r > 0 1 0 6 0 2 3 0 0 0 0 1 < / N u m b e r >  
             < N a m e > R E C E I V A B L E   F R O M   M A N A G E M E N T   C O M P A N Y < / N a m e >  
             < A J E > 0 < / A J E >  
             < A d j u s t > 5 < / A d j u s t >  
             < R J E > 0 < / R J E >  
             < P r e l i m i n a r y > 5 < / P r e l i m i n a r y >  
             < F i n a l > 5 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 6 5 0 0 0 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 3 1 1 3 8 4 9 3 0 9 4 0 0 0 0 0 1 0 3 < / I D >  
             < T a r g e t A c c o u n t I D > 3 1 1 3 8 4 9 3 0 9 4 0 0 0 0 0 2 7 6 < / T a r g e t A c c o u n t I D >  
             < C h a r t I D > 3 1 1 3 8 4 9 3 0 9 4 0 0 0 0 0 0 0 6 < / C h a r t I D >  
             < I s L i n k e d > f a l s e < / I s L i n k e d >  
             < N u m b e r > 0 1 0 7 0 0 2 0 0 0 0 1 < / N u m b e r >  
             < N a m e > A D V A N C E S   A G A I N S T   I P O   S U B S C R I P T I O N   D E B T   S E C U R I T Y < / N a m e >  
             < A J E > 0 < / A J E >  
             < A d j u s t > 3 0 0 0 0 < / A d j u s t >  
             < R J E > 0 < / R J E >  
             < P r e l i m i n a r y > 3 0 0 0 0 < / P r e l i m i n a r y >  
             < F i n a l > 3 0 0 0 0 < / F i n a l >  
         < / A c c o u n t S t o r a g e >  
         < A c c o u n t S t o r a g e >  
             < A c c o u n t B a l a n c e s >  
                 < A c c o u n t B a l a n c e >  
                     < F i e l d N a m e > P r i o r P e r i o d 1 B a l a n c e < / F i e l d N a m e >  
                     < B a l a n c e > 1 8 3 < / B a l a n c e >  
                 < / A c c o u n t B a l a n c e >  
                 < A c c o u n t B a l a n c e >  
                     < F i e l d N a m e > P r i o r P e r i o d 2 B a l a n c e < / F i e l d N a m e >  
                     < B a l a n c e > - 1 4 9 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 3 1 1 3 8 4 9 3 0 9 4 0 0 0 0 0 1 1 1 < / I D >  
             < T a r g e t A c c o u n t I D > 3 1 1 3 8 4 9 3 0 9 4 0 0 0 0 0 2 7 6 < / T a r g e t A c c o u n t I D >  
             < C h a r t I D > 3 1 1 3 8 4 9 3 0 9 4 0 0 0 0 0 0 0 6 < / C h a r t I D >  
             < I s L i n k e d > f a l s e < / I s L i n k e d >  
             < N u m b e r > 0 1 0 7 0 0 7 0 0 0 0 5 < / N u m b e r >  
             < N a m e > P R E P A Y M E N T   O F   P A C R A   A G A I N S T   A N N U A L   P A C R A   R A T I N G   F E E < / N a m e >  
             < A J E > 0 < / A J E >  
             < A d j u s t > 2 0 1 < / A d j u s t >  
             < R J E > 0 < / R J E >  
             < P r e l i m i n a r y > 2 0 1 < / P r e l i m i n a r y >  
             < F i n a l > 2 0 1 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 3 1 1 3 8 4 9 3 0 9 4 0 0 0 0 0 1 1 2 < / I D >  
             < T a r g e t A c c o u n t I D > 3 1 1 3 8 4 9 3 0 9 4 0 0 0 0 0 2 7 6 < / T a r g e t A c c o u n t I D >  
             < C h a r t I D > 3 1 1 3 8 4 9 3 0 9 4 0 0 0 0 0 0 0 6 < / C h a r t I D >  
             < I s L i n k e d > f a l s e < / I s L i n k e d >  
             < N u m b e r > 0 1 0 7 0 0 7 0 0 0 0 6 < / N u m b e r >  
             < N a m e > P r e p a y m e n t   O f   K S E 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 3 1 1 3 8 4 9 3 0 9 4 0 0 0 0 0 1 1 3 < / I D >  
             < T a r g e t A c c o u n t I D > 3 1 1 3 8 4 9 3 0 9 4 0 0 0 0 0 2 7 6 < / T a r g e t A c c o u n t I D >  
             < C h a r t I D > 3 1 1 3 8 4 9 3 0 9 4 0 0 0 0 0 0 0 6 < / C h a r t I D >  
             < I s L i n k e d > f a l s e < / I s L i n k e d >  
             < N u m b e r > 0 1 0 7 0 0 7 0 0 0 0 7 < / N u m b e r >  
             < N a m e > P r e p a y m e n t   O f   I s e 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 9 1 < / B a l a n c e >  
                 < / A c c o u n t B a l a n c e >  
                 < A c c o u n t B a l a n c e >  
                     < F i e l d N a m e > P r i o r P e r i o d 2 B a l a n c e < / F i e l d N a m e >  
                     < B a l a n c e > 9 1 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 3 1 1 3 8 4 9 3 0 9 4 0 0 0 0 0 1 1 4 < / I D >  
             < T a r g e t A c c o u n t I D > 3 1 1 3 8 4 9 3 0 9 4 0 0 0 0 0 2 7 6 < / T a r g e t A c c o u n t I D >  
             < C h a r t I D > 3 1 1 3 8 4 9 3 0 9 4 0 0 0 0 0 0 0 6 < / C h a r t I D >  
             < I s L i n k e d > f a l s e < / I s L i n k e d >  
             < N u m b e r > 0 1 0 7 0 0 7 0 0 0 0 8 < / N u m b e r >  
             < N a m e > P r e p a y m e n t   O f   L e g a l   C h a r g e s < / N a m e >  
             < A J E > 0 < / A J E >  
             < A d j u s t > 9 2 < / A d j u s t >  
             < R J E > 0 < / R J E >  
             < P r e l i m i n a r y > 9 2 < / P r e l i m i n a r y >  
             < F i n a l > 9 2 < / F i n a l >  
         < / A c c o u n t S t o r a g e >  
         < A c c o u n t S t o r a g e >  
             < A c c o u n t B a l a n c e s >  
                 < A c c o u n t B a l a n c e >  
                     < F i e l d N a m e > P r i o r P e r i o d 1 B a l a n c e < / F i e l d N a m e >  
                     < B a l a n c e > 1 5 < / 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 3 1 1 3 8 4 9 3 0 9 4 0 0 0 0 0 1 1 7 < / I D >  
             < T a r g e t A c c o u n t I D > 3 1 1 3 8 4 9 3 0 9 4 0 0 0 0 0 2 7 6 < / T a r g e t A c c o u n t I D >  
             < C h a r t I D > 3 1 1 3 8 4 9 3 0 9 4 0 0 0 0 0 0 0 6 < / C h a r t I D >  
             < I s L i n k e d > f a l s e < / I s L i n k e d >  
             < N u m b e r > 0 1 1 5 0 0 1 0 0 0 0 1 < / N u m b e r >  
             < N a m e > O t h e r   R e c e i v a b l e   A g a i n s t   C o l l e c t i o n   A c c o u n t   - M c b < / N a m e >  
             < A J E > 0 < / A J E >  
             < A d j u s t > 5 4 8 < / A d j u s t >  
             < R J E > 0 < / R J E >  
             < P r e l i m i n a r y > 5 4 8 < / P r e l i m i n a r y >  
             < F i n a l > 5 4 8 < / 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 3 1 1 3 8 4 9 3 0 9 4 0 0 0 0 0 1 1 8 < / I D >  
             < T a r g e t A c c o u n t I D > 3 1 1 3 8 4 9 3 0 9 4 0 0 0 0 0 2 7 6 < / T a r g e t A c c o u n t I D >  
             < C h a r t I D > 3 1 1 3 8 4 9 3 0 9 4 0 0 0 0 0 0 0 6 < / C h a r t I D >  
             < I s L i n k e d > f a l s e < / I s L i n k e d >  
             < N u m b e r > 0 1 1 5 0 0 1 0 0 0 0 2 < / N u m b e r >  
             < N a m e > O t h e r   R e c e i v a b l e   A g a i n s t   C o l l e c t i o n   A c c o u n t -   F a y s a l   B a n k < / N a m e >  
             < A J E > 0 < / A J E >  
             < A d j u s t > 1 0 < / A d j u s t >  
             < R J E > 0 < / R J E >  
             < P r e l i m i n a r y > 1 0 < / P r e l i m i n a r y >  
             < F i n a l > 1 0 < / F i n a l >  
         < / A c c o u n t S t o r a g e >  
         < A c c o u n t S t o r a g e >  
             < A c c o u n t B a l a n c e s >  
                 < A c c o u n t B a l a n c e >  
                     < F i e l d N a m e > P r i o r P e r i o d 1 B a l a n c e < / F i e l d N a m e >  
                     < B a l a n c e > 2 2 1 < / B a l a n c e >  
                 < / A c c o u n t B a l a n c e >  
                 < A c c o u n t B a l a n c e >  
                     < F i e l d N a m e > P r i o r P e r i o d 2 B a l a n c e < / F i e l d N a m e >  
                     < B a l a n c e > 2 0 7 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 3 1 1 3 8 4 9 3 0 9 4 0 0 0 0 0 1 0 4 < / I D >  
             < T a r g e t A c c o u n t I D > 3 1 1 3 8 4 9 3 0 9 4 0 0 0 0 0 2 7 7 < / T a r g e t A c c o u n t I D >  
             < C h a r t I D > 3 1 1 3 8 4 9 3 0 9 4 0 0 0 0 0 0 0 6 < / C h a r t I D >  
             < I s L i n k e d > f a l s e < / I s L i n k e d >  
             < N u m b e r > 0 1 0 7 0 0 3 0 0 0 0 1 < / N u m b e r >  
             < N a m e > A D V A N C E S   A G A I N S T   T A X   D E D U C T E D   A G A I N S T   B A N K   P R O F I T < / N a m e >  
             < A J E > 0 < / A J E >  
             < A d j u s t > 2 2 5 < / A d j u s t >  
             < R J E > 0 < / R J E >  
             < P r e l i m i n a r y > 2 2 5 < / P r e l i m i n a r y >  
             < F i n a l > 2 2 5 < / F i n a l >  
         < / A c c o u n t S t o r a g e >  
         < A c c o u n t S t o r a g e >  
             < A c c o u n t B a l a n c e s >  
                 < A c c o u n t B a l a n c e >  
                     < F i e l d N a m e > P r i o r P e r i o d 1 B a l a n c e < / F i e l d N a m e >  
                     < B a l a n c e > 2 1 < / B a l a n c e >  
                 < / A c c o u n t B a l a n c e >  
                 < A c c o u n t B a l a n c e >  
                     < F i e l d N a m e > P r i o r P e r i o d 2 B a l a n c e < / F i e l d N a m e >  
                     < B a l a n c e > 2 1 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 3 1 1 3 8 4 9 3 0 9 4 0 0 0 0 0 1 0 5 < / I D >  
             < T a r g e t A c c o u n t I D > 3 1 1 3 8 4 9 3 0 9 4 0 0 0 0 0 2 7 7 < / T a r g e t A c c o u n t I D >  
             < C h a r t I D > 3 1 1 3 8 4 9 3 0 9 4 0 0 0 0 0 0 0 6 < / C h a r t I D >  
             < I s L i n k e d > f a l s e < / I s L i n k e d >  
             < N u m b e r > 0 1 0 7 0 0 4 0 0 0 0 2 < / N u m b e r >  
             < N a m e > A d v a n c e s   A g a i n s t   T a x   D e d u c t e d   A g a i n s t   D e b t   S e c u r i t y < / N a m e >  
             < A J E > 0 < / A J E >  
             < A d j u s t > 2 1 < / A d j u s t >  
             < R J E > 0 < / R J E >  
             < P r e l i m i n a r y > 2 1 < / P r e l i m i n a r y >  
             < F i n a l > 2 1 < / F i n a l >  
         < / A c c o u n t S t o r a g e >  
         < A c c o u n t S t o r a g e >  
             < A c c o u n t B a l a n c e s >  
                 < A c c o u n t B a l a n c e >  
                     < F i e l d N a m e > P r i o r P e r i o d 1 B a l a n c e < / F i e l d N a m e >  
                     < B a l a n c e > 3 9 2 7 < / B a l a n c e >  
                 < / A c c o u n t B a l a n c e >  
                 < A c c o u n t B a l a n c e >  
                     < F i e l d N a m e > P r i o r P e r i o d 2 B a l a n c e < / F i e l d N a m e >  
                     < B a l a n c e > 3 9 2 7 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 3 1 1 3 8 4 9 3 0 9 4 0 0 0 0 0 1 1 6 < / I D >  
             < T a r g e t A c c o u n t I D > 3 1 1 3 8 4 9 3 0 9 4 0 0 0 0 0 2 7 7 < / T a r g e t A c c o u n t I D >  
             < C h a r t I D > 3 1 1 3 8 4 9 3 0 9 4 0 0 0 0 0 0 0 6 < / C h a r t I D >  
             < I s L i n k e d > f a l s e < / I s L i n k e d >  
             < N u m b e r > 0 1 0 7 0 0 8 0 0 0 0 1 < / N u m b e r >  
             < N a m e > A d v a n c e s   A g a i n s t   T a x   D e d u c t e d   A g a i n s t   C o t < / N a m e >  
             < A J E > 0 < / A J E >  
             < A d j u s t > 3 9 2 7 < / A d j u s t >  
             < R J E > 0 < / R J E >  
             < P r e l i m i n a r y > 3 9 2 7 < / P r e l i m i n a r y >  
             < F i n a l > 3 9 2 7 < / F i n a l >  
         < / A c c o u n t S t o r a g e >  
         < A c c o u n t S t o r a g e >  
             < A c c o u n t B a l a n c e s >  
                 < A c c o u n t B a l a n c e >  
                     < F i e l d N a m e > P r i o r P e r i o d 1 B a l a n c e < / F i e l d N a m e >  
                     < B a l a n c e > 1 4 < / B a l a n c e >  
                 < / A c c o u n t B a l a n c e >  
                 < A c c o u n t B a l a n c e >  
                     < F i e l d N a m e > P r i o r P e r i o d 2 B a l a n c e < / F i e l d N a m e >  
                     < B a l a n c e > 1 4 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 3 1 1 3 8 4 9 3 0 9 4 0 0 0 0 0 0 1 4 < / I D >  
             < T a r g e t A c c o u n t I D > 3 1 1 3 8 4 9 3 0 9 4 0 0 0 0 0 2 7 7 < / T a r g e t A c c o u n t I D >  
             < C h a r t I D > 3 1 1 3 8 4 9 3 0 9 4 0 0 0 0 0 0 0 6 < / C h a r t I D >  
             < I s L i n k e d > f a l s e < / I s L i n k e d >  
             < N u m b e r > 0 1 0 7 0 1 1 0 0 0 9 < / N u m b e r >  
             < N a m e > A d v a n c e   T a x   D e d u c t e d   O n   M t s   I n c o m e < / N a m e >  
             < A J E > 0 < / A J E >  
             < A d j u s t > 1 4 < / A d j u s t >  
             < R J E > 0 < / R J E >  
             < P r e l i m i n a r y > 1 4 < / P r e l i m i n a r y >  
             < F i n a l > 1 4 < / F i n a l >  
         < / A c c o u n t S t o r a g e >  
         < A c c o u n t S t o r a g e >  
             < A c c o u n t B a l a n c e s >  
                 < A c c o u n t B a l a n c e >  
                     < F i e l d N a m e > P r i o r P e r i o d 1 B a l a n c e < / F i e l d N a m e >  
                     < B a l a n c e > 2 5 0 0 < / B a l a n c e >  
                 < / A c c o u n t B a l a n c e >  
                 < A c c o u n t B a l a n c e >  
                     < F i e l d N a m e > P r i o r P e r i o d 2 B a l a n c e < / F i e l d N a m e >  
                     < B a l a n c e > 2 5 0 0 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 3 1 1 3 8 4 9 3 0 9 4 0 0 0 0 0 1 0 6 < / I D >  
             < T a r g e t A c c o u n t I D > 3 1 1 3 8 4 9 3 0 9 4 0 0 0 0 0 2 7 8 < / T a r g e t A c c o u n t I D >  
             < C h a r t I D > 3 1 1 3 8 4 9 3 0 9 4 0 0 0 0 0 0 0 6 < / C h a r t I D >  
             < I s L i n k e d > f a l s e < / I s L i n k e d >  
             < N u m b e r > 0 1 0 7 0 0 5 0 0 0 0 1 < / N u m b e r >  
             < N a m e > S E C U R I T Y   D E P O S I T S   N C C P L   A G A I N S T   K A T S < / N a m e >  
             < A J E > 0 < / A J E >  
             < A d j u s t > 2 5 0 0 < / A d j u s t >  
             < R J E > 0 < / R J E >  
             < P r e l i m i n a r y > 2 5 0 0 < / P r e l i m i n a r y >  
             < F i n a l > 2 5 0 0 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 1 6 0 3 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 3 1 1 3 8 4 9 3 0 9 4 0 0 0 0 0 1 0 7 < / I D >  
             < T a r g e t A c c o u n t I D > 3 1 1 3 8 4 9 3 0 9 4 0 0 0 0 0 2 7 8 < / T a r g e t A c c o u n t I D >  
             < C h a r t I D > 3 1 1 3 8 4 9 3 0 9 4 0 0 0 0 0 0 0 6 < / C h a r t I D >  
             < I s L i n k e d > f a l s e < / I s L i n k e d >  
             < N u m b e r > 0 1 0 7 0 0 5 0 0 0 0 3 < / N u m b e r >  
             < N a m e > S E C U R I T Y   D E P O S I T S   N C C P L   A G A I N S T   M T S < / N a m e >  
             < A J E > 0 < / A J E >  
             < A d j u s t > 0 < / A d j u s t >  
             < R J E > 0 < / R J E >  
             < P r e l i m i n a r y > 0 < / P r e l i m i n a r y >  
             < F i n a l > 0 < / F i n a l >  
         < / A c c o u n t S t o r a g e >  
         < A c c o u n t S t o r a g e >  
             < A c c o u n t B a l a n c e s >  
                 < A c c o u n t B a l a n c e >  
                     < F i e l d N a m e > P r i o r P e r i o d 1 B a l a n c e < / F i e l d N a m e >  
                     < B a l a n c e > 2 0 0 < / B a l a n c e >  
                 < / A c c o u n t B a l a n c e >  
                 < A c c o u n t B a l a n c e >  
                     < F i e l d N a m e > P r i o r P e r i o d 2 B a l a n c e < / F i e l d N a m e >  
                     < B a l a n c e > 2 0 0 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 3 1 1 3 8 4 9 3 0 9 4 0 0 0 0 0 1 0 8 < / I D >  
             < T a r g e t A c c o u n t I D > 3 1 1 3 8 4 9 3 0 9 4 0 0 0 0 0 2 7 9 < / T a r g e t A c c o u n t I D >  
             < C h a r t I D > 3 1 1 3 8 4 9 3 0 9 4 0 0 0 0 0 0 0 6 < / C h a r t I D >  
             < I s L i n k e d > f a l s e < / I s L i n k e d >  
             < N u m b e r > 0 1 0 7 0 0 6 0 0 0 0 1 < / N u m b e r >  
             < N a m e > S E C U R I T Y   D E P O S I T S     C D C < / N a m e >  
             < A J E > 0 < / A J E >  
             < A d j u s t > 2 0 0 < / A d j u s t >  
             < R J E > 0 < / R J E >  
             < P r e l i m i n a r y > 2 0 0 < / P r e l i m i n a r y >  
             < F i n a l > 2 0 0 < / F i n a l >  
         < / A c c o u n t S t o r a g e >  
         < A c c o u n t S t o r a g e >  
             < A c c o u n t B a l a n c e s >  
                 < A c c o u n t B a l a n c e >  
                     < F i e l d N a m e > P r i o r P e r i o d 1 B a l a n c e < / F i e l d N a m e >  
                     < B a l a n c e > 1 1 0 < / B a l a n c e >  
                 < / A c c o u n t B a l a n c e >  
                 < A c c o u n t B a l a n c e >  
                     < F i e l d N a m e > P r i o r P e r i o d 2 B a l a n c e < / F i e l d N a m e >  
                     < B a l a n c e > 9 7 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 3 1 1 3 8 4 9 3 0 9 4 0 0 0 0 0 1 0 9 < / I D >  
             < T a r g e t A c c o u n t I D > 3 1 1 3 8 4 9 3 0 9 4 0 0 0 0 0 2 8 1 < / T a r g e t A c c o u n t I D >  
             < C h a r t I D > 3 1 1 3 8 4 9 3 0 9 4 0 0 0 0 0 0 0 6 < / C h a r t I D >  
             < I s L i n k e d > f a l s e < / I s L i n k e d >  
             < N u m b e r > 0 1 0 7 0 0 7 0 0 0 0 1 < / N u m b e r >  
             < N a m e > P R E P A Y M E N T   O F   N C C P L   A G A I N S T   M A R G I N   T R A D I N G   S Y S T E M < / N a m e >  
             < A J E > 0 < / A J E >  
             < A d j u s t > 1 0 8 < / A d j u s t >  
             < R J E > 0 < / R J E >  
             < P r e l i m i n a r y > 1 0 8 < / P r e l i m i n a r y >  
             < F i n a l > 1 0 8 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 3 1 1 3 8 4 9 3 0 9 4 0 0 0 0 0 1 1 5 < / I D >  
             < T a r g e t A c c o u n t I D > 3 1 1 3 8 4 9 3 0 9 4 0 0 0 0 0 2 8 2 < / T a r g e t A c c o u n t I D >  
             < C h a r t I D > 3 1 1 3 8 4 9 3 0 9 4 0 0 0 0 0 0 0 6 < / C h a r t I D >  
             < I s L i n k e d > f a l s e < / I s L i n k e d >  
             < N u m b e r > 0 1 0 7 0 0 7 0 0 0 0 9 < / N u m b e r >  
             < N a m e > P r e p a y m e n t   O f   P s x 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 8 6 6 4 < / B a l a n c e >  
                 < / A c c o u n t B a l a n c e >  
                 < A c c o u n t B a l a n c e >  
                     < F i e l d N a m e > P r i o r P e r i o d 2 B a l a n c e < / F i e l d N a m e >  
                     < B a l a n c e > 7 0 6 0 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 3 1 1 3 8 4 9 3 0 9 4 0 0 0 0 0 0 9 9 < / I D >  
             < T a r g e t A c c o u n t I D > 3 1 1 3 8 4 9 3 0 9 4 0 0 0 0 0 2 8 3 < / T a r g e t A c c o u n t I D >  
             < C h a r t I D > 3 1 1 3 8 4 9 3 0 9 4 0 0 0 0 0 0 0 6 < / C h a r t I D >  
             < I s L i n k e d > f a l s e < / I s L i n k e d >  
             < N u m b e r > 0 1 0 6 0 2 2 0 0 0 0 1 < / N u m b e r >  
             < N a m e > R E C E I V A B L E   F R O M   N C C P L   A M O U N T   D E P O S I T E D   A G A I N S T   E X P O S U R E   M A R G I N < / N a m e >  
             < A J E > 0 < / A J E >  
             < A d j u s t > 8 6 6 4 < / A d j u s t >  
             < R J E > 0 < / R J E >  
             < P r e l i m i n a r y > 8 6 6 4 < / P r e l i m i n a r y >  
             < F i n a l > 8 6 6 4 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 3 1 1 3 8 4 9 3 0 9 4 0 0 0 0 0 1 0 0 < / I D >  
             < T a r g e t A c c o u n t I D > 3 1 1 3 8 4 9 3 0 9 4 0 0 0 0 0 2 8 3 < / T a r g e t A c c o u n t I D >  
             < C h a r t I D > 3 1 1 3 8 4 9 3 0 9 4 0 0 0 0 0 0 0 6 < / C h a r t I D >  
             < I s L i n k e d > f a l s e < / I s L i n k e d >  
             < N u m b e r > 0 1 0 6 0 2 2 0 0 0 0 2 < / N u m b e r >  
             < N a m e > R e c e i v a b l e   F r o m   N c c p l   A m o u n t   D e p o s i t e d   A g a i n s t   E x p o s u r e   M a r g i n   O N   M t s < / N a m e >  
             < A J E > 0 < / A J E >  
             < A d j u s t > 0 < / A d j u s t >  
             < R J E > 0 < / R J E >  
             < P r e l i m i n a r y > 0 < / P r e l i m i n a r y >  
             < F i n a l > 0 < / F i n a l >  
         < / A c c o u n t S t o r a g e >  
         < A c c o u n t S t o r a g e >  
             < A c c o u n t B a l a n c e s >  
                 < A c c o u n t B a l a n c e >  
                     < F i e l d N a m e > P r i o r P e r i o d 1 B a l a n c e < / F i e l d N a m e >  
                     < B a l a n c e > - 1 4 1 0 < / B a l a n c e >  
                 < / A c c o u n t B a l a n c e >  
                 < A c c o u n t B a l a n c e >  
                     < F i e l d N a m e > P r i o r P e r i o d 2 B a l a n c e < / F i e l d N a m e >  
                     < B a l a n c e > - 9 6 3 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 3 1 1 3 8 4 9 3 0 9 4 0 0 0 0 0 1 2 9 < / I D >  
             < T a r g e t A c c o u n t I D > 3 1 1 3 8 4 9 3 0 9 4 0 0 0 0 0 2 8 5 < / T a r g e t A c c o u n t I D >  
             < C h a r t I D > 3 1 1 3 8 4 9 3 0 9 4 0 0 0 0 0 0 0 6 < / C h a r t I D >  
             < I s L i n k e d > f a l s e < / I s L i n k e d >  
             < N u m b e r > 0 3 0 1 0 0 1 0 0 0 0 1 < / N u m b e r >  
             < N a m e > M A N A G E M E N T   F E E   P A Y A B L E < / N a m e >  
             < A J E > 0 < / A J E >  
             < A d j u s t > - 1 5 1 1 < / A d j u s t >  
             < R J E > 0 < / R J E >  
             < P r e l i m i n a r y > - 1 5 1 1 < / P r e l i m i n a r y >  
             < F i n a l > - 1 5 1 1 < / F i n a l >  
         < / A c c o u n t S t o r a g e >  
         < A c c o u n t S t o r a g e >  
             < A c c o u n t B a l a n c e s >  
                 < A c c o u n t B a l a n c e >  
                     < F i e l d N a m e > P r i o r P e r i o d 1 B a l a n c e < / F i e l d N a m e >  
                     < B a l a n c e > - 1 1 2 6 < / B a l a n c e >  
                 < / A c c o u n t B a l a n c e >  
                 < A c c o u n t B a l a n c e >  
                     < F i e l d N a m e > P r i o r P e r i o d 2 B a l a n c e < / F i e l d N a m e >  
                     < B a l a n c e > - 2 0 2 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 3 1 1 3 8 4 9 3 0 9 4 0 0 0 0 0 1 3 0 < / I D >  
             < T a r g e t A c c o u n t I D > 3 1 1 3 8 4 9 3 0 9 4 0 0 0 0 0 2 8 5 < / T a r g e t A c c o u n t I D >  
             < C h a r t I D > 3 1 1 3 8 4 9 3 0 9 4 0 0 0 0 0 0 0 6 < / C h a r t I D >  
             < I s L i n k e d > f a l s e < / I s L i n k e d >  
             < N u m b e r > 0 3 0 1 0 0 2 0 0 0 0 1 < / N u m b e r >  
             < N a m e > S A L E   L O A D   P A Y A B L E < / N a m e >  
             < A J E > 0 < / A J E >  
             < A d j u s t > - 1 1 6 2 < / A d j u s t >  
             < R J E > 0 < / R J E >  
             < P r e l i m i n a r y > - 1 1 6 2 < / P r e l i m i n a r y >  
             < F i n a l > - 1 1 6 2 < / F i n a l >  
         < / A c c o u n t S t o r a g e >  
         < A c c o u n t S t o r a g e >  
             < A c c o u n t B a l a n c e s >  
                 < A c c o u n t B a l a n c e >  
                     < F i e l d N a m e > P r i o r P e r i o d 1 B a l a n c e < / F i e l d N a m e >  
                     < B a l a n c e > - 1 8 4 < / B a l a n c e >  
                 < / A c c o u n t B a l a n c e >  
                 < A c c o u n t B a l a n c e >  
                     < F i e l d N a m e > P r i o r P e r i o d 2 B a l a n c e < / F i e l d N a m e >  
                     < B a l a n c e > - 1 2 6 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 3 1 1 3 8 4 9 3 0 9 4 0 0 0 0 0 1 3 1 < / I D >  
             < T a r g e t A c c o u n t I D > 3 1 1 3 8 4 9 3 0 9 4 0 0 0 0 0 2 8 5 < / T a r g e t A c c o u n t I D >  
             < C h a r t I D > 3 1 1 3 8 4 9 3 0 9 4 0 0 0 0 0 0 0 6 < / C h a r t I D >  
             < I s L i n k e d > f a l s e < / I s L i n k e d >  
             < N u m b e r > 0 3 0 1 0 0 6 0 0 0 0 1 < / N u m b e r >  
             < N a m e > S A L E S   T A X   P A Y A B L E   A G A I N S T   M A N A G E M E N T   F E E < / N a m e >  
             < A J E > 0 < / A J E >  
             < A d j u s t > - 1 9 6 < / A d j u s t >  
             < R J E > 0 < / R J E >  
             < P r e l i m i n a r y > - 1 9 6 < / P r e l i m i n a r y >  
             < F i n a l > - 1 9 6 < / F i n a l >  
         < / A c c o u n t S t o r a g e >  
         < A c c o u n t S t o r a g e >  
             < A c c o u n t B a l a n c e s >  
                 < A c c o u n t B a l a n c e >  
                     < F i e l d N a m e > P r i o r P e r i o d 1 B a l a n c e < / F i e l d N a m e >  
                     < B a l a n c e > - 1 1 5 < / B a l a n c e >  
                 < / A c c o u n t B a l a n c e >  
                 < A c c o u n t B a l a n c e >  
                     < F i e l d N a m e > P r i o r P e r i o d 2 B a l a n c e < / F i e l d N a m e >  
                     < B a l a n c e > - 5 7 7 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 3 1 1 3 8 4 9 3 0 9 4 0 0 0 0 0 1 5 2 < / I D >  
             < T a r g e t A c c o u n t I D > 3 1 1 3 8 4 9 3 0 9 4 0 0 0 0 0 2 8 5 < / T a r g e t A c c o u n t I D >  
             < C h a r t I D > 3 1 1 3 8 4 9 3 0 9 4 0 0 0 0 0 0 0 6 < / C h a r t I D >  
             < I s L i n k e d > f a l s e < / I s L i n k e d >  
             < N u m b e r > 0 3 1 2 0 0 1 0 0 0 0 1 < / N u m b e r >  
             < N a m e > B a c k   O f f i c e   O p e r a t i o n   P a y a b l e < / N a m e >  
             < A J E > 0 < / A J E >  
             < A d j u s t > - 1 7 6 < / A d j u s t >  
             < R J E > 0 < / R J E >  
             < P r e l i m i n a r y > - 1 7 6 < / P r e l i m i n a r y >  
             < F i n a l > - 1 7 6 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 3 4 1 8 0 2 8 0 3 4 4 0 0 0 0 1 0 5 9 < / I D >  
             < T a r g e t A c c o u n t I D > 3 1 1 3 8 4 9 3 0 9 4 0 0 0 0 0 2 8 5 < / T a r g e t A c c o u n t I D >  
             < C h a r t I D > 3 1 1 3 8 4 9 3 0 9 4 0 0 0 0 0 0 0 6 < / C h a r t I D >  
             < I s L i n k e d > f a l s e < / I s L i n k e d >  
             < N u m b e r > 0 3 1 4 0 0 1 0 0 1 < / N u m b e r >  
             < N a m e > M a r k e t i n g   A n d   S e l l i n g   P a y a b l e < / N a m e >  
             < A J E > 0 < / A J E >  
             < A d j u s t > - 6 1 4 < / A d j u s t >  
             < R J E > 0 < / R J E >  
             < P r e l i m i n a r y > - 6 1 4 < / P r e l i m i n a r y >  
             < F i n a l > - 6 1 4 < / F i n a l >  
         < / A c c o u n t S t o r a g e >  
         < A c c o u n t S t o r a g e >  
             < A c c o u n t B a l a n c e s >  
                 < A c c o u n t B a l a n c e >  
                     < F i e l d N a m e > P r i o r P e r i o d 1 B a l a n c e < / F i e l d N a m e >  
                     < B a l a n c e > - 2 2 < / B a l a n c e >  
                 < / A c c o u n t B a l a n c e >  
                 < A c c o u n t B a l a n c e >  
                     < F i e l d N a m e > P r i o r P e r i o d 2 B a l a n c e < / F i e l d N a m e >  
                     < B a l a n c e > - 2 3 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 3 1 1 3 8 4 9 3 0 9 4 0 0 0 0 0 1 3 3 < / I D >  
             < T a r g e t A c c o u n t I D > 3 1 1 3 8 4 9 3 0 9 4 0 0 0 0 0 2 8 6 < / T a r g e t A c c o u n t I D >  
             < C h a r t I D > 3 1 1 3 8 4 9 3 0 9 4 0 0 0 0 0 0 0 6 < / C h a r t I D >  
             < I s L i n k e d > f a l s e < / I s L i n k e d >  
             < N u m b e r > 0 3 0 1 0 0 8 0 0 0 0 1 < / N u m b e r >  
             < N a m e > S a l e s   T a x   P a y a b l e   O n   T r u s t e e   F e e < / N a m e >  
             < A J E > 0 < / A J E >  
             < A d j u s t > - 1 7 < / A d j u s t >  
             < R J E > 0 < / R J E >  
             < P r e l i m i n a r y > - 1 7 < / P r e l i m i n a r y >  
             < F i n a l > - 1 7 < / F i n a l >  
         < / A c c o u n t S t o r a g e >  
         < A c c o u n t S t o r a g e >  
             < A c c o u n t B a l a n c e s >  
                 < A c c o u n t B a l a n c e >  
                     < F i e l d N a m e > P r i o r P e r i o d 1 B a l a n c e < / F i e l d N a m e >  
                     < B a l a n c e > - 1 6 9 < / B a l a n c e >  
                 < / A c c o u n t B a l a n c e >  
                 < A c c o u n t B a l a n c e >  
                     < F i e l d N a m e > P r i o r P e r i o d 2 B a l a n c e < / F i e l d N a m e >  
                     < B a l a n c e > - 1 7 5 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 3 1 1 3 8 4 9 3 0 9 4 0 0 0 0 0 1 3 5 < / I D >  
             < T a r g e t A c c o u n t I D > 3 1 1 3 8 4 9 3 0 9 4 0 0 0 0 0 2 8 6 < / T a r g e t A c c o u n t I D >  
             < C h a r t I D > 3 1 1 3 8 4 9 3 0 9 4 0 0 0 0 0 0 0 6 < / C h a r t I D >  
             < I s L i n k e d > f a l s e < / I s L i n k e d >  
             < N u m b e r > 0 3 0 2 0 0 1 0 0 0 0 1 < / N u m b e r >  
             < N a m e > T R U S T E E   R E M U N E R A T I O N   P A Y A B L E < / N a m e >  
             < A J E > 0 < / A J E >  
             < A d j u s t > - 1 3 2 < / A d j u s t >  
             < R J E > 0 < / R J E >  
             < P r e l i m i n a r y > - 1 3 2 < / P r e l i m i n a r y >  
             < F i n a l > - 1 3 2 < / F i n a l >  
         < / A c c o u n t S t o r a g e >  
         < A c c o u n t S t o r a g e >  
             < A c c o u n t B a l a n c e s >  
                 < A c c o u n t B a l a n c e >  
                     < F i e l d N a m e > P r i o r P e r i o d 1 B a l a n c e < / F i e l d N a m e >  
                     < B a l a n c e > - 1 1 2 1 < / B a l a n c e >  
                 < / A c c o u n t B a l a n c e >  
                 < A c c o u n t B a l a n c e >  
                     < F i e l d N a m e > P r i o r P e r i o d 2 B a l a n c e < / F i e l d N a m e >  
                     < B a l a n c e > - 1 1 2 4 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 3 1 1 3 8 4 9 3 0 9 4 0 0 0 0 0 1 3 6 < / I D >  
             < T a r g e t A c c o u n t I D > 3 1 1 3 8 4 9 3 0 9 4 0 0 0 0 0 2 8 7 < / T a r g e t A c c o u n t I D >  
             < C h a r t I D > 3 1 1 3 8 4 9 3 0 9 4 0 0 0 0 0 0 0 6 < / C h a r t I D >  
             < I s L i n k e d > f a l s e < / I s L i n k e d >  
             < N u m b e r > 0 3 0 4 0 0 1 0 0 0 0 1 < / N u m b e r >  
             < N a m e > P A Y A B L E   T O   S E C P     A N N U A L   F E E < / N a m e >  
             < A J E > 0 < / A J E >  
             < A d j u s t > - 3 2 7 < / A d j u s t >  
             < R J E > 0 < / R J E >  
             < P r e l i m i n a r y > - 3 2 7 < / P r e l i m i n a r y >  
             < F i n a l > - 3 2 7 < / F i n a l >  
         < / A c c o u n t S t o r a g e >  
         < A c c o u n t S t o r a g e >  
             < A c c o u n t B a l a n c e s >  
                 < A c c o u n t B a l a n c e >  
                     < F i e l d N a m e > P r i o r P e r i o d 1 B a l a n c e < / F i e l d N a m e >  
                     < B a l a n c e > - 4 7 < / B a l a n c e >  
                 < / A c c o u n t B a l a n c e >  
                 < A c c o u n t B a l a n c e >  
                     < F i e l d N a m e > P r i o r P e r i o d 2 B a l a n c e < / F i e l d N a m e >  
                     < B a l a n c e > - 4 7 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 3 1 1 3 8 4 9 3 0 9 4 0 0 0 0 0 1 3 8 < / I D >  
             < T a r g e t A c c o u n t I D > 3 1 1 3 8 4 9 3 0 9 4 0 0 0 0 0 2 8 8 < / T a r g e t A c c o u n t I D >  
             < C h a r t I D > 3 1 1 3 8 4 9 3 0 9 4 0 0 0 0 0 0 0 6 < / C h a r t I D >  
             < I s L i n k e d > f a l s e < / I s L i n k e d >  
             < N u m b e r > 0 3 0 7 0 0 1 0 0 0 0 1 < / N u m b e r >  
             < N a m e > P A Y A B L E   A G A I N S T   R E D E M P T I O N   O F   U N I T S < / N a m e >  
             < A J E > 0 < / A J E >  
             < A d j u s t > - 4 7 < / A d j u s t >  
             < R J E > 0 < / R J E >  
             < P r e l i m i n a r y > - 4 7 < / P r e l i m i n a r y >  
             < F i n a l > - 4 7 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 3 1 1 3 8 4 9 3 0 9 4 0 0 0 0 0 1 3 7 < / I D >  
             < T a r g e t A c c o u n t I D > 3 1 1 3 8 4 9 3 0 9 4 0 0 0 0 0 2 8 9 < / T a r g e t A c c o u n t I D >  
             < C h a r t I D > 3 1 1 3 8 4 9 3 0 9 4 0 0 0 0 0 0 0 6 < / C h a r t I D >  
             < I s L i n k e d > f a l s e < / I s L i n k e d >  
             < N u m b e r > 0 3 0 5 0 0 1 0 0 0 0 1 < / N u m b e r >  
             < N a m e > P A Y A B L E   A G A I N S T   P U R C H A S E 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 3 1 1 3 8 4 9 3 0 9 4 0 0 0 0 0 1 1 0 < / I D >  
             < T a r g e t A c c o u n t I D > 3 1 1 3 8 4 9 3 0 9 4 0 0 0 0 0 2 9 1 < / T a r g e t A c c o u n t I D >  
             < C h a r t I D > 3 1 1 3 8 4 9 3 0 9 4 0 0 0 0 0 0 0 6 < / C h a r t I D >  
             < I s L i n k e d > f a l s e < / I s L i n k e d >  
             < N u m b e r > 0 1 0 7 0 0 7 0 0 0 0 3 < / N u m b e r >  
             < N a m e > P R E P A Y M E N T   O F   L S E   A G A I N S T   A N N U A L   L I S T I N G   F E E < / N a m e >  
             < A J E > 0 < / A J E >  
             < A d j u s t > 0 < / A d j u s t >  
             < R J E > 0 < / R J E >  
             < P r e l i m i n a r y > 0 < / P r e l i m i n a r y >  
             < F i n a l > 0 < / F i n a l >  
         < / A c c o u n t S t o r a g e >  
         < A c c o u n t S t o r a g e >  
             < A c c o u n t B a l a n c e s >  
                 < A c c o u n t B a l a n c e >  
                     < F i e l d N a m e > P r i o r P e r i o d 1 B a l a n c e < / F i e l d N a m e >  
                     < B a l a n c e > - 9 2 1 0 < / B a l a n c e >  
                 < / A c c o u n t B a l a n c e >  
                 < A c c o u n t B a l a n c e >  
                     < F i e l d N a m e > P r i o r P e r i o d 2 B a l a n c e < / F i e l d N a m e >  
                     < B a l a n c e > - 9 2 1 0 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 3 1 1 3 8 4 9 3 0 9 4 0 0 0 0 0 1 3 2 < / I D >  
             < T a r g e t A c c o u n t I D > 3 1 1 3 8 4 9 3 0 9 4 0 0 0 0 0 2 9 1 < / T a r g e t A c c o u n t I D >  
             < C h a r t I D > 3 1 1 3 8 4 9 3 0 9 4 0 0 0 0 0 0 0 6 < / C h a r t I D >  
             < I s L i n k e d > f a l s e < / I s L i n k e d >  
             < N u m b e r > 0 3 0 1 0 0 7 0 0 0 0 1 < / N u m b e r >  
             < N a m e > F E D   T A X   P A Y A B L E   A G A I N S T   M A N A G E M E N T   F E E < / N a m e >  
             < A J E > 0 < / A J E >  
             < A d j u s t > - 9 2 1 0 < / A d j u s t >  
             < R J E > 0 < / R J E >  
             < P r e l i m i n a r y > - 9 2 1 0 < / P r e l i m i n a r y >  
             < F i n a l > - 9 2 1 0 < / F i n a l >  
         < / A c c o u n t S t o r a g e >  
         < A c c o u n t S t o r a g e >  
             < A c c o u n t B a l a n c e s >  
                 < A c c o u n t B a l a n c e >  
                     < F i e l d N a m e > P r i o r P e r i o d 1 B a l a n c e < / F i e l d N a m e >  
                     < B a l a n c e > - 2 3 9 < / B a l a n c e >  
                 < / A c c o u n t B a l a n c e >  
                 < A c c o u n t B a l a n c e >  
                     < F i e l d N a m e > P r i o r P e r i o d 2 B a l a n c e < / F i e l d N a m e >  
                     < B a l a n c e > - 2 3 9 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 3 1 1 3 8 4 9 3 0 9 4 0 0 0 0 0 1 3 4 < / I D >  
             < T a r g e t A c c o u n t I D > 3 1 1 3 8 4 9 3 0 9 4 0 0 0 0 0 2 9 1 < / T a r g e t A c c o u n t I D >  
             < C h a r t I D > 3 1 1 3 8 4 9 3 0 9 4 0 0 0 0 0 0 0 6 < / C h a r t I D >  
             < I s L i n k e d > f a l s e < / I s L i n k e d >  
             < N u m b e r > 0 3 0 1 0 0 9 0 0 0 0 1 < / N u m b e r >  
             < N a m e > F e d   T a x   P a y a b l e   A g a i n s t   S a l e s   L o a d < / N a m e >  
             < A J E > 0 < / A J E >  
             < A d j u s t > - 2 3 9 < / A d j u s t >  
             < R J E > 0 < / R J E >  
             < P r e l i m i n a r y > - 2 3 9 < / P r e l i m i n a r y >  
             < F i n a l > - 2 3 9 < / 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 3 1 1 3 8 4 9 3 0 9 4 0 0 0 0 0 1 4 0 < / I D >  
             < T a r g e t A c c o u n t I D > 3 1 1 3 8 4 9 3 0 9 4 0 0 0 0 0 2 9 1 < / T a r g e t A c c o u n t I D >  
             < C h a r t I D > 3 1 1 3 8 4 9 3 0 9 4 0 0 0 0 0 0 0 6 < / C h a r t I D >  
             < I s L i n k e d > f a l s e < / I s L i n k e d >  
             < N u m b e r > 0 3 1 0 0 0 4 0 0 0 0 2 < / N u m b e r >  
             < N a m e > B R O K E R A G E   P A Y A B L E     E Q U I T Y   I N V E S T M E N T < / N a m e >  
             < A J E > 0 < / A J E >  
             < A d j u s t > 0 < / A d j u s t >  
             < R J E > 0 < / R J E >  
             < P r e l i m i n a r y > 0 < / P r e l i m i n a r y >  
             < F i n a l > 0 < / F i n a l >  
         < / A c c o u n t S t o r a g e >  
         < A c c o u n t S t o r a g e >  
             < A c c o u n t B a l a n c e s >  
                 < A c c o u n t B a l a n c e >  
                     < F i e l d N a m e > P r i o r P e r i o d 1 B a l a n c e < / F i e l d N a m e >  
                     < B a l a n c e > - 7 2 < / B a l a n c e >  
                 < / A c c o u n t B a l a n c e >  
                 < A c c o u n t B a l a n c e >  
                     < F i e l d N a m e > P r i o r P e r i o d 2 B a l a n c e < / F i e l d N a m e >  
                     < B a l a n c e > - 3 9 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 3 1 1 3 8 4 9 3 0 9 4 0 0 0 0 0 1 4 1 < / I D >  
             < T a r g e t A c c o u n t I D > 3 1 1 3 8 4 9 3 0 9 4 0 0 0 0 0 2 9 1 < / T a r g e t A c c o u n t I D >  
             < C h a r t I D > 3 1 1 3 8 4 9 3 0 9 4 0 0 0 0 0 0 0 6 < / C h a r t I D >  
             < I s L i n k e d > f a l s e < / I s L i n k e d >  
             < N u m b e r > 0 3 1 0 0 0 5 0 0 0 0 1 < / N u m b e r >  
             < N a m e > B R O K E R A G E   P A Y A B L E   M O N E Y   M A R K E T < / N a m e >  
             < A J E > 0 < / A J E >  
             < A d j u s t > - 7 7 < / A d j u s t >  
             < R J E > 0 < / R J E >  
             < P r e l i m i n a r y > - 7 7 < / P r e l i m i n a r y >  
             < F i n a l > - 7 7 < / 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 3 1 1 3 8 4 9 3 0 9 4 0 0 0 0 0 1 4 2 < / I D >  
             < T a r g e t A c c o u n t I D > 3 1 1 3 8 4 9 3 0 9 4 0 0 0 0 0 2 9 1 < / T a r g e t A c c o u n t I D >  
             < C h a r t I D > 3 1 1 3 8 4 9 3 0 9 4 0 0 0 0 0 0 0 6 < / C h a r t I D >  
             < I s L i n k e d > f a l s e < / I s L i n k e d >  
             < N u m b e r > 0 3 1 0 0 0 5 0 0 0 0 3 < / N u m b e r >  
             < N a m e > B R O K E R A G E   P A Y A B L E     M O N E Y   M A R K E T < / N a m e >  
             < A J E > 0 < / A J E >  
             < A d j u s t > 2 < / A d j u s t >  
             < R J E > 0 < / R J E >  
             < P r e l i m i n a r y > 2 < / P r e l i m i n a r y >  
             < F i n a l > 2 < / F i n a l >  
         < / A c c o u n t S t o r a g e >  
         < A c c o u n t S t o r a g e >  
             < A c c o u n t B a l a n c e s >  
                 < A c c o u n t B a l a n c e >  
                     < F i e l d N a m e > P r i o r P e r i o d 1 B a l a n c e < / F i e l d N a m e >  
                     < B a l a n c e > - 6 6 3 4 < / B a l a n c e >  
                 < / A c c o u n t B a l a n c e >  
                 < A c c o u n t B a l a n c e >  
                     < F i e l d N a m e > P r i o r P e r i o d 2 B a l a n c e < / F i e l d N a m e >  
                     < B a l a n c e > - 4 2 5 9 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 3 1 1 3 8 4 9 3 0 9 4 0 0 0 0 0 1 4 3 < / I D >  
             < T a r g e t A c c o u n t I D > 3 1 1 3 8 4 9 3 0 9 4 0 0 0 0 0 2 9 1 < / T a r g e t A c c o u n t I D >  
             < C h a r t I D > 3 1 1 3 8 4 9 3 0 9 4 0 0 0 0 0 0 0 6 < / C h a r t I D >  
             < I s L i n k e d > f a l s e < / I s L i n k e d >  
             < N u m b e r > 0 3 1 0 0 0 6 0 0 0 0 1 < / N u m b e r >  
             < N a m e > W O R K E R ' S   W E L F A R E   F U N D   P A Y A B L E < / N a m e >  
             < A J E > 0 < / A J E >  
             < A d j u s t > - 1 0 9 6 1 < / A d j u s t >  
             < R J E > 0 < / R J E >  
             < P r e l i m i n a r y > - 1 0 9 6 1 < / P r e l i m i n a r y >  
             < F i n a l > - 1 0 9 6 1 < / F i n a l >  
         < / A c c o u n t S t o r a g e >  
         < A c c o u n t S t o r a g e >  
             < A c c o u n t B a l a n c e s >  
                 < A c c o u n t B a l a n c e >  
                     < F i e l d N a m e > P r i o r P e r i o d 1 B a l a n c e < / F i e l d N a m e >  
                     < B a l a n c e > - 3 7 2 < / B a l a n c e >  
                 < / A c c o u n t B a l a n c e >  
                 < A c c o u n t B a l a n c e >  
                     < F i e l d N a m e > P r i o r P e r i o d 2 B a l a n c e < / F i e l d N a m e >  
                     < B a l a n c e > - 4 2 6 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 3 1 1 3 8 4 9 3 0 9 4 0 0 0 0 0 1 4 4 < / I D >  
             < T a r g e t A c c o u n t I D > 3 1 1 3 8 4 9 3 0 9 4 0 0 0 0 0 2 9 1 < / T a r g e t A c c o u n t I D >  
             < C h a r t I D > 3 1 1 3 8 4 9 3 0 9 4 0 0 0 0 0 0 0 6 < / C h a r t I D >  
             < I s L i n k e d > f a l s e < / I s L i n k e d >  
             < N u m b e r > 0 3 1 0 0 0 7 0 0 0 0 1 < / N u m b e r >  
             < N a m e > A U D I T   F E E   P A Y A B L E < / N a m e >  
             < A J E > 0 < / A J E >  
             < A d j u s t > - 4 1 0 < / A d j u s t >  
             < R J E > 0 < / R J E >  
             < P r e l i m i n a r y > - 4 1 0 < / P r e l i m i n a r y >  
             < F i n a l > - 4 1 0 < / F i n a l >  
         < / A c c o u n t S t o r a g e >  
         < A c c o u n t S t o r a g e >  
             < A c c o u n t B a l a n c e s >  
                 < A c c o u n t B a l a n c e >  
                     < F i e l d N a m e > P r i o r P e r i o d 1 B a l a n c e < / F i e l d N a m e >  
                     < B a l a n c e > - 1 4 6 < / B a l a n c e >  
                 < / A c c o u n t B a l a n c e >  
                 < A c c o u n t B a l a n c e >  
                     < F i e l d N a m e > P r i o r P e r i o d 2 B a l a n c e < / F i e l d N a m e >  
                     < B a l a n c e > - 6 5 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 3 1 1 3 8 4 9 3 0 9 4 0 0 0 0 0 1 4 5 < / I D >  
             < T a r g e t A c c o u n t I D > 3 1 1 3 8 4 9 3 0 9 4 0 0 0 0 0 2 9 1 < / T a r g e t A c c o u n t I D >  
             < C h a r t I D > 3 1 1 3 8 4 9 3 0 9 4 0 0 0 0 0 0 0 6 < / C h a r t I D >  
             < I s L i n k e d > f a l s e < / I s L i n k e d >  
             < N u m b e r > 0 3 1 0 0 0 8 0 0 0 0 1 < / N u m b e r >  
             < N a m e > W I T H H O L D I N G   T A X   P A Y A B L E     C G T   U / S   3 7 A < / N a m e >  
             < A J E > 0 < / A J E >  
             < A d j u s t > - 1 3 9 1 < / A d j u s t >  
             < R J E > 0 < / R J E >  
             < P r e l i m i n a r y > - 1 3 9 1 < / P r e l i m i n a r y >  
             < F i n a l > - 1 3 9 1 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 3 1 1 3 8 4 9 3 0 9 4 0 0 0 0 0 1 4 6 < / I D >  
             < T a r g e t A c c o u n t I D > 3 1 1 3 8 4 9 3 0 9 4 0 0 0 0 0 2 9 1 < / T a r g e t A c c o u n t I D >  
             < C h a r t I D > 3 1 1 3 8 4 9 3 0 9 4 0 0 0 0 0 0 0 6 < / C h a r t I D >  
             < I s L i n k e d > f a l s e < / I s L i n k e d >  
             < N u m b e r > 0 3 1 0 0 0 9 0 0 0 0 2 < / N u m b e r >  
             < N a m e > W . H .   T A X   P A Y A B L E     D I V I D E N D   U / S   1 5 0 < / N a m e >  
             < A J E > 0 < / A J E >  
             < A d j u s t > 0 < / A d j u s t >  
             < R J E > 0 < / R J E >  
             < P r e l i m i n a r y > 0 < / P r e l i m i n a r y >  
             < F i n a l > 0 < / F i n a l >  
         < / A c c o u n t S t o r a g e >  
         < A c c o u n t S t o r a g e >  
             < A c c o u n t B a l a n c e s >  
                 < A c c o u n t B a l a n c e >  
                     < F i e l d N a m e > P r i o r P e r i o d 1 B a l a n c e < / F i e l d N a m e >  
                     < B a l a n c e > - 7 5 < / B a l a n c e >  
                 < / A c c o u n t B a l a n c e >  
                 < A c c o u n t B a l a n c e >  
                     < F i e l d N a m e > P r i o r P e r i o d 2 B a l a n c e < / F i e l d N a m e >  
                     < B a l a n c e > - 6 8 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 3 1 1 3 8 4 9 3 0 9 4 0 0 0 0 0 1 4 7 < / I D >  
             < T a r g e t A c c o u n t I D > 3 1 1 3 8 4 9 3 0 9 4 0 0 0 0 0 2 9 1 < / T a r g e t A c c o u n t I D >  
             < C h a r t I D > 3 1 1 3 8 4 9 3 0 9 4 0 0 0 0 0 0 0 6 < / C h a r t I D >  
             < I s L i n k e d > f a l s e < / I s L i n k e d >  
             < N u m b e r > 0 3 1 0 0 1 2 0 0 0 0 1 < / N u m b e r >  
             < N a m e > P A Y A B L E   T O   L E G A L   A D V I S O R < / N a m e >  
             < A J E > 0 < / A J E >  
             < A d j u s t > - 2 1 < / A d j u s t >  
             < R J E > 0 < / R J E >  
             < P r e l i m i n a r y > - 2 1 < / P r e l i m i n a r y >  
             < F i n a l > - 2 1 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 3 1 1 3 8 4 9 3 0 9 4 0 0 0 0 0 1 4 8 < / I D >  
             < T a r g e t A c c o u n t I D > 3 1 1 3 8 4 9 3 0 9 4 0 0 0 0 0 2 9 1 < / T a r g e t A c c o u n t I D >  
             < C h a r t I D > 3 1 1 3 8 4 9 3 0 9 4 0 0 0 0 0 0 0 6 < / C h a r t I D >  
             < I s L i n k e d > f a l s e < / I s L i n k e d >  
             < N u m b e r > 0 3 1 0 0 1 5 0 0 0 0 1 < / N u m b e r >  
             < N a m e > Z A K A T   P A Y A B L E 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 3 1 1 3 8 4 9 3 0 9 4 0 0 0 0 0 1 4 9 < / I D >  
             < T a r g e t A c c o u n t I D > 3 1 1 3 8 4 9 3 0 9 4 0 0 0 0 0 2 9 1 < / T a r g e t A c c o u n t I D >  
             < C h a r t I D > 3 1 1 3 8 4 9 3 0 9 4 0 0 0 0 0 0 0 6 < / C h a r t I D >  
             < I s L i n k e d > f a l s e < / I s L i n k e d >  
             < N u m b e r > 0 3 1 0 0 1 6 0 0 0 0 1 < / N u m b e r >  
             < N a m e > S E T T L E M E N T   C H A R G E S   P A Y A B L E   T O   N C C P L < / N a m e >  
             < A J E > 0 < / A J E >  
             < A d j u s t > 0 < / A d j u s t >  
             < R J E > 0 < / R J E >  
             < P r e l i m i n a r y > 0 < / P r e l i m i n a r y >  
             < F i n a l > 0 < / F i n a l >  
         < / A c c o u n t S t o r a g e >  
         < A c c o u n t S t o r a g e >  
             < A c c o u n t B a l a n c e s >  
                 < A c c o u n t B a l a n c e >  
                     < F i e l d N a m e > P r i o r P e r i o d 1 B a l a n c e < / F i e l d N a m e >  
                     < B a l a n c e > - 4 0 < / B a l a n c e >  
                 < / A c c o u n t B a l a n c e >  
                 < A c c o u n t B a l a n c e >  
                     < F i e l d N a m e > P r i o r P e r i o d 2 B a l a n c e < / F i e l d N a m e >  
                     < B a l a n c e > - 4 1 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 3 1 1 3 8 4 9 3 0 9 4 0 0 0 0 0 1 5 0 < / I D >  
             < T a r g e t A c c o u n t I D > 3 1 1 3 8 4 9 3 0 9 4 0 0 0 0 0 2 9 1 < / T a r g e t A c c o u n t I D >  
             < C h a r t I D > 3 1 1 3 8 4 9 3 0 9 4 0 0 0 0 0 0 0 6 < / C h a r t I D >  
             < I s L i n k e d > f a l s e < / I s L i n k e d >  
             < N u m b e r > 0 3 1 0 0 1 7 0 0 0 0 1 < / N u m b e r >  
             < N a m e > P R I N T I N G   C H A R G E S   P A Y A B L E < / N a m e >  
             < A J E > 0 < / A J E >  
             < A d j u s t > - 4 0 < / A d j u s t >  
             < R J E > 0 < / R J E >  
             < P r e l i m i n a r y > - 4 0 < / P r e l i m i n a r y >  
             < F i n a l > - 4 0 < / F i n a l >  
         < / A c c o u n t S t o r a g e >  
         < A c c o u n t S t o r a g e >  
             < A c c o u n t B a l a n c e s >  
                 < A c c o u n t B a l a n c e >  
                     < F i e l d N a m e > P r i o r P e r i o d 1 B a l a n c e < / F i e l d N a m e >  
                     < B a l a n c e > - 4 7 4 < / B a l a n c e >  
                 < / A c c o u n t B a l a n c e >  
                 < A c c o u n t B a l a n c e >  
                     < F i e l d N a m e > P r i o r P e r i o d 2 B a l a n c e < / F i e l d N a m e >  
                     < B a l a n c e > - 4 7 4 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 3 1 1 3 8 4 9 3 0 9 4 0 0 0 0 0 1 5 1 < / I D >  
             < T a r g e t A c c o u n t I D > 3 1 1 3 8 4 9 3 0 9 4 0 0 0 0 0 2 9 1 < / T a r g e t A c c o u n t I D >  
             < C h a r t I D > 3 1 1 3 8 4 9 3 0 9 4 0 0 0 0 0 0 0 6 < / C h a r t I D >  
             < I s L i n k e d > f a l s e < / I s L i n k e d >  
             < N u m b e r > 0 3 1 0 0 1 9 0 0 0 0 1 < / N u m b e r >  
             < N a m e > O T H E R   P A Y A B L E < / N a m e >  
             < A J E > 0 < / A J E >  
             < A d j u s t > - 6 2 4 < / A d j u s t >  
             < R J E > 0 < / R J E >  
             < P r e l i m i n a r y > - 6 2 4 < / P r e l i m i n a r y >  
             < F i n a l > - 6 2 4 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 3 1 2 2 5 4 7 6 3 1 5 0 0 0 0 0 6 7 0 < / I D >  
             < T a r g e t A c c o u n t I D > 3 1 1 3 8 4 9 3 0 9 4 0 0 0 0 0 2 9 1 < / T a r g e t A c c o u n t I D >  
             < C h a r t I D > 3 1 1 3 8 4 9 3 0 9 4 0 0 0 0 0 0 0 6 < / C h a r t I D >  
             < I s L i n k e d > f a l s e < / I s L i n k e d >  
             < N u m b e r > 0 D T 1 < / N u m b e r >  
             < N a m e > S S T   p a y a b l e   o n   b a c k   o f f i c e   o p e r a t i o n 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 3 1 1 3 8 4 9 3 0 9 4 0 0 0 0 0 0 1 6 < / I D >  
             < T a r g e t A c c o u n t I D > 3 1 1 3 8 4 9 3 0 9 4 0 0 0 0 0 2 9 2 < / T a r g e t A c c o u n t I D >  
             < C h a r t I D > 3 1 1 3 8 4 9 3 0 9 4 0 0 0 0 0 0 0 6 < / C h a r t I D >  
             < I s L i n k e d > f a l s e < / I s L i n k e d >  
             < N u m b e r > 0 3 1 3 0 0 9 0 0 0 9 < / N u m b e r >  
             < N a m e > P a y a b l e   A g a i n s t   E x p o s u r e   I n   M a g i n   T r a d i n g   S y s t e m < / N a m e >  
             < A J E > 0 < / A J E >  
             < A d j u s t > 0 < / A d j u s t >  
             < R J E > 0 < / R J E >  
             < P r e l i m i n a r y > 0 < / P r e l i m i n a r y >  
             < F i n a l > 0 < / F i n a l >  
         < / A c c o u n t S t o r a g e >  
         < A c c o u n t S t o r a g e >  
             < A c c o u n t B a l a n c e s >  
                 < A c c o u n t B a l a n c e >  
                     < F i e l d N a m e > P r i o r P e r i o d 1 B a l a n c e < / F i e l d N a m e >  
                     < B a l a n c e > - 1 4 3 6 7 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 3 1 1 3 8 4 9 3 0 9 4 0 0 0 0 0 1 3 9 < / I D >  
             < T a r g e t A c c o u n t I D > 3 1 1 3 8 4 9 3 0 9 4 0 0 0 0 0 2 9 3 < / T a r g e t A c c o u n t I D >  
             < C h a r t I D > 3 1 1 3 8 4 9 3 0 9 4 0 0 0 0 0 0 0 6 < / C h a r t I D >  
             < I s L i n k e d > f a l s e < / I s L i n k e d >  
             < N u m b e r > 0 3 0 9 0 0 1 0 0 0 0 1 < / N u m b e r >  
             < N a m e > D I V I D E N D   P A Y A B L E 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 - 2 1 7 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 3 1 1 3 8 4 9 3 0 9 4 0 0 0 0 0 1 2 7 < / I D >  
             < T a r g e t A c c o u n t I D > 3 1 1 3 8 4 9 3 0 9 4 0 0 0 0 0 2 9 6 < / T a r g e t A c c o u n t I D >  
             < C h a r t I D > 3 1 1 3 8 4 9 3 0 9 4 0 0 0 0 0 0 0 6 < / C h a r t I D >  
             < I s L i n k e d > f a l s e < / I s L i n k e d >  
             < N u m b e r > 0 2 0 4 0 0 4 0 0 0 0 1 < / N u m b e r >  
             < N a m e > U n r e a l i z e d   G a i n   /   ( L o s s )   P i b -   A f s < / N a m e >  
             < A J E > 0 < / A J E >  
             < A d j u s t > 0 < / A d j u s t >  
             < R J E > 0 < / R J E >  
             < P r e l i m i n a r y > 0 < / P r e l i m i n a r y >  
             < F i n a l > 0 < / F i n a l >  
         < / A c c o u n t S t o r a g e >  
         < A c c o u n t S t o r a g e >  
             < A c c o u n t B a l a n c e s >  
                 < A c c o u n t B a l a n c e >  
                     < F i e l d N a m e > P r i o r P e r i o d 1 B a l a n c e < / F i e l d N a m e >  
                     < B a l a n c e > 1 7 3 1 2 4 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 3 1 1 3 8 4 9 3 0 9 4 0 0 0 0 0 1 2 6 < / I D >  
             < T a r g e t A c c o u n t I D > 3 1 1 3 8 4 9 3 0 9 4 0 0 0 0 0 2 9 7 < / T a r g e t A c c o u n t I D >  
             < C h a r t I D > 3 1 1 3 8 4 9 3 0 9 4 0 0 0 0 0 0 0 6 < / C h a r t I D >  
             < I s L i n k e d > f a l s e < / I s L i n k e d >  
             < N u m b e r > 0 2 0 3 0 0 1 0 0 0 0 1 < / N u m b e r >  
             < N a m e > U N A P P R O P R I A T E D   I N C O M E < / N a m e >  
             < A J E > 0 < / A J E >  
             < A d j u s t > 2 4 6 0 9 3 < / A d j u s t >  
             < R J E > 0 < / R J E >  
             < P r e l i m i n a r y > 2 4 6 0 9 3 < / P r e l i m i n a r y >  
             < F i n a l > 2 4 6 0 9 3 < / F i n a l >  
         < / A c c o u n t S t o r a g e >  
         < A c c o u n t S t o r a g e >  
             < A c c o u n t B a l a n c e s >  
                 < A c c o u n t B a l a n c e >  
                     < F i e l d N a m e > P r i o r P e r i o d 1 B a l a n c e < / F i e l d N a m e >  
                     < B a l a n c e > - 1 5 1 2 1 8 5 < / B a l a n c e >  
                 < / A c c o u n t B a l a n c e >  
                 < A c c o u n t B a l a n c e >  
                     < F i e l d N a m e > P r i o r P e r i o d 2 B a l a n c e < / F i e l d N a m e >  
                     < B a l a n c e > - 4 8 6 8 8 4 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 3 1 1 3 8 4 9 3 0 9 4 0 0 0 0 0 1 1 9 < / I D >  
             < T a r g e t A c c o u n t I D > 3 1 1 3 8 4 9 3 0 9 4 0 0 0 0 0 2 9 8 < / T a r g e t A c c o u n t I D >  
             < C h a r t I D > 3 1 1 3 8 4 9 3 0 9 4 0 0 0 0 0 0 0 6 < / C h a r t I D >  
             < I s L i n k e d > f a l s e < / I s L i n k e d >  
             < N u m b e r > 0 2 0 1 0 0 1 0 0 0 0 1 < / N u m b e r >  
             < N a m e > I S S U E D   O F   U N I T S   A G A I N S T   S A L E   O F   U N I T S < / N a m e >  
             < A J E > 0 < / A J E >  
             < A d j u s t > - 1 2 1 8 9 1 3 < / A d j u s t >  
             < R J E > 0 < / R J E >  
             < P r e l i m i n a r y > - 1 2 1 8 9 1 3 < / P r e l i m i n a r y >  
             < F i n a l > - 1 2 1 8 9 1 3 < / F i n a l >  
         < / A c c o u n t S t o r a g e >  
         < A c c o u n t S t o r a g e >  
             < A c c o u n t B a l a n c e s >  
                 < A c c o u n t B a l a n c e >  
                     < F i e l d N a m e > P r i o r P e r i o d 1 B a l a n c e < / F i e l d N a m e >  
                     < B a l a n c e > - 5 2 8 5 7 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 3 1 1 3 8 4 9 3 0 9 4 0 0 0 0 0 1 2 0 < / I D >  
             < T a r g e t A c c o u n t I D > 3 1 1 3 8 4 9 3 0 9 4 0 0 0 0 0 2 9 8 < / T a r g e t A c c o u n t I D >  
             < C h a r t I D > 3 1 1 3 8 4 9 3 0 9 4 0 0 0 0 0 0 0 6 < / C h a r t I D >  
             < I s L i n k e d > f a l s e < / I s L i n k e d >  
             < N u m b e r > 0 2 0 1 0 0 1 0 0 0 0 2 < / N u m b e r >  
             < N a m e > I S S U E D   O F   A D D I T I O N A L   U N I T S < / N a m e >  
             < A J E > 0 < / A J E >  
             < A d j u s t > - 8 9 9 5 7 < / A d j u s t >  
             < R J E > 0 < / R J E >  
             < P r e l i m i n a r y > - 8 9 9 5 7 < / P r e l i m i n a r y >  
             < F i n a l > - 8 9 9 5 7 < / F i n a l >  
         < / A c c o u n t S t o r a g e >  
         < A c c o u n t S t o r a g e >  
             < A c c o u n t B a l a n c e s >  
                 < A c c o u n t B a l a n c e >  
                     < F i e l d N a m e > P r i o r P e r i o d 1 B a l a n c e < / F i e l d N a m e >  
                     < B a l a n c e > 1 1 5 1 9 2 6 < / B a l a n c e >  
                 < / A c c o u n t B a l a n c e >  
                 < A c c o u n t B a l a n c e >  
                     < F i e l d N a m e > P r i o r P e r i o d 2 B a l a n c e < / F i e l d N a m e >  
                     < B a l a n c e > 7 5 2 4 0 1 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 3 1 1 3 8 4 9 3 0 9 4 0 0 0 0 0 1 2 1 < / I D >  
             < T a r g e t A c c o u n t I D > 3 1 1 3 8 4 9 3 0 9 4 0 0 0 0 0 2 9 8 < / T a r g e t A c c o u n t I D >  
             < C h a r t I D > 3 1 1 3 8 4 9 3 0 9 4 0 0 0 0 0 0 0 6 < / C h a r t I D >  
             < I s L i n k e d > f a l s e < / I s L i n k e d >  
             < N u m b e r > 0 2 0 1 0 0 2 0 0 0 0 1 < / N u m b e r >  
             < N a m e > R E D E M P T I O N   O F   U N I T S     N O R M A L < / N a m e >  
             < A J E > 0 < / A J E >  
             < A d j u s t > 6 4 3 2 0 3 < / A d j u s t >  
             < R J E > 0 < / R J E >  
             < P r e l i m i n a r y > 6 4 3 2 0 3 < / P r e l i m i n a r y >  
             < F i n a l > 6 4 3 2 0 3 < / F i n a l >  
         < / A c c o u n t S t o r a g e >  
         < A c c o u n t S t o r a g e >  
             < A c c o u n t B a l a n c e s >  
                 < A c c o u n t B a l a n c e >  
                     < F i e l d N a m e > P r i o r P e r i o d 1 B a l a n c e < / F i e l d N a m e >  
                     < B a l a n c e > - 1 3 1 7 4 1 7 < / B a l a n c e >  
                 < / A c c o u n t B a l a n c e >  
                 < A c c o u n t B a l a n c e >  
                     < F i e l d N a m e > P r i o r P e r i o d 2 B a l a n c e < / F i e l d N a m e >  
                     < B a l a n c e > - 6 5 7 8 8 8 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 3 1 1 3 8 4 9 3 0 9 4 0 0 0 0 0 1 2 2 < / I D >  
             < T a r g e t A c c o u n t I D > 3 1 1 3 8 4 9 3 0 9 4 0 0 0 0 0 2 9 8 < / T a r g e t A c c o u n t I D >  
             < C h a r t I D > 3 1 1 3 8 4 9 3 0 9 4 0 0 0 0 0 0 0 6 < / C h a r t I D >  
             < I s L i n k e d > f a l s e < / I s L i n k e d >  
             < N u m b e r > 0 2 0 1 0 0 3 0 0 0 0 1 < / N u m b e r >  
             < N a m e > C O N V E R S I O N   I N   U N I T S < / N a m e >  
             < A J E > 0 < / A J E >  
             < A d j u s t > - 1 3 5 8 2 9 5 < / A d j u s t >  
             < R J E > 0 < / R J E >  
             < P r e l i m i n a r y > - 1 3 5 8 2 9 5 < / P r e l i m i n a r y >  
             < F i n a l > - 1 3 5 8 2 9 5 < / F i n a l >  
         < / A c c o u n t S t o r a g e >  
         < A c c o u n t S t o r a g e >  
             < A c c o u n t B a l a n c e s >  
                 < A c c o u n t B a l a n c e >  
                     < F i e l d N a m e > P r i o r P e r i o d 1 B a l a n c e < / F i e l d N a m e >  
                     < B a l a n c e > 1 8 0 1 1 3 2 < / B a l a n c e >  
                 < / A c c o u n t B a l a n c e >  
                 < A c c o u n t B a l a n c e >  
                     < F i e l d N a m e > P r i o r P e r i o d 2 B a l a n c e < / F i e l d N a m e >  
                     < B a l a n c e > 6 6 5 3 6 9 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 3 1 1 3 8 4 9 3 0 9 4 0 0 0 0 0 1 2 3 < / I D >  
             < T a r g e t A c c o u n t I D > 3 1 1 3 8 4 9 3 0 9 4 0 0 0 0 0 2 9 8 < / T a r g e t A c c o u n t I D >  
             < C h a r t I D > 3 1 1 3 8 4 9 3 0 9 4 0 0 0 0 0 0 0 6 < / C h a r t I D >  
             < I s L i n k e d > f a l s e < / I s L i n k e d >  
             < N u m b e r > 0 2 0 1 0 0 4 0 0 0 0 1 < / N u m b e r >  
             < N a m e > C O N V E R S I O N   O U T   U N I T S < / N a m e >  
             < A J E > 0 < / A J E >  
             < A d j u s t > 1 3 0 5 2 2 3 < / A d j u s t >  
             < R J E > 0 < / R J E >  
             < P r e l i m i n a r y > 1 3 0 5 2 2 3 < / P r e l i m i n a r y >  
             < F i n a l > 1 3 0 5 2 2 3 < / F i n a l >  
         < / A c c o u n t S t o r a g e >  
         < A c c o u n t S t o r a g e >  
             < A c c o u n t B a l a n c e s >  
                 < A c c o u n t B a l a n c e >  
                     < F i e l d N a m e > P r i o r P e r i o d 1 B a l a n c e < / F i e l d N a m e >  
                     < B a l a n c e > - 1 4 9 3 9 < / B a l a n c e >  
                 < / A c c o u n t B a l a n c e >  
                 < A c c o u n t B a l a n c e >  
                     < F i e l d N a m e > P r i o r P e r i o d 2 B a l a n c e < / F i e l d N a m e >  
                     < B a l a n c e > - 1 9 3 7 7 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 3 1 1 3 8 4 9 3 0 9 4 0 0 0 0 0 1 2 5 < / I D >  
             < T a r g e t A c c o u n t I D > 3 1 1 3 8 4 9 3 0 9 4 0 0 0 0 0 2 9 8 < / T a r g e t A c c o u n t I D >  
             < C h a r t I D > 3 1 1 3 8 4 9 3 0 9 4 0 0 0 0 0 0 0 6 < / C h a r t I D >  
             < I s L i n k e d > f a l s e < / I s L i n k e d >  
             < N u m b e r > 0 2 0 2 0 0 2 0 0 0 0 1 < / N u m b e r >  
             < N a m e > E L E M E N T   O F   I N C O M E     U N R E A L I Z E D < / N a m e >  
             < A J E > 0 < / A J E >  
             < A d j u s t > 3 3 0 4 0 < / A d j u s t >  
             < R J E > 0 < / R J E >  
             < P r e l i m i n a r y > 3 3 0 4 0 < / P r e l i m i n a r y >  
             < F i n a l > 3 3 0 4 0 < / F i n a l >  
         < / A c c o u n t S t o r a g e >  
         < A c c o u n t S t o r a g e >  
             < A c c o u n t B a l a n c e s >  
                 < A c c o u n t B a l a n c e >  
                     < F i e l d N a m e > P r i o r P e r i o d 1 B a l a n c e < / F i e l d N a m e >  
                     < B a l a n c e > - 1 5 1 8 8 7 8 < / B a l a n c e >  
                 < / A c c o u n t B a l a n c e >  
                 < A c c o u n t B a l a n c e >  
                     < F i e l d N a m e > P r i o r P e r i o d 2 B a l a n c e < / F i e l d N a m e >  
                     < B a l a n c e > - 1 7 2 1 9 6 1 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 3 1 1 3 8 4 9 3 0 9 4 0 0 0 0 0 1 2 8 < / I D >  
             < T a r g e t A c c o u n t I D > 3 1 1 3 8 4 9 3 0 9 4 0 0 0 0 0 2 9 8 < / T a r g e t A c c o u n t I D >  
             < C h a r t I D > 3 1 1 3 8 4 9 3 0 9 4 0 0 0 0 0 0 0 6 < / C h a r t I D >  
             < I s L i n k e d > f a l s e < / I s L i n k e d >  
             < N u m b e r > 0 2 0 5 0 0 1 0 0 0 0 1 < / N u m b e r >  
             < N a m e > B A L A N C E   A C C O U N T < / N a m e >  
             < A J E > 0 < / A J E >  
             < A d j u s t > - 1 3 9 1 5 3 1 < / A d j u s t >  
             < R J E > 0 < / R J E >  
             < P r e l i m i n a r y > - 1 3 9 1 5 3 1 < / P r e l i m i n a r y >  
             < F i n a l > - 1 3 9 1 5 3 1 < / F i n a l >  
         < / A c c o u n t S t o r a g e >  
         < A c c o u n t S t o r a g e >  
             < A c c o u n t B a l a n c e s >  
                 < A c c o u n t B a l a n c e >  
                     < F i e l d N a m e > P r i o r P e r i o d 1 B a l a n c e < / F i e l d N a m e >  
                     < B a l a n c e > - 1 0 7 8 4 < / B a l a n c e >  
                 < / A c c o u n t B a l a n c e >  
                 < A c c o u n t B a l a n c e >  
                     < F i e l d N a m e > P r i o r P e r i o d 2 B a l a n c e < / F i e l d N a m e >  
                     < B a l a n c e > - 3 7 5 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 3 1 1 3 8 4 9 3 0 9 4 0 0 0 0 0 1 2 4 < / I D >  
             < T a r g e t A c c o u n t I D > 3 1 1 3 8 4 9 3 0 9 4 0 0 0 0 0 2 9 9 < / T a r g e t A c c o u n t I D >  
             < C h a r t I D > 3 1 1 3 8 4 9 3 0 9 4 0 0 0 0 0 0 0 6 < / C h a r t I D >  
             < I s L i n k e d > f a l s e < / I s L i n k e d >  
             < N u m b e r > 0 2 0 2 0 0 1 0 0 0 0 1 < / N u m b e r >  
             < N a m e > E L E M E N T   O F   I N C O M E     R E A L I Z E D < / N a m e >  
             < A J E > 0 < / A J E >  
             < A d j u s t > 4 6 8 5 4 < / A d j u s t >  
             < R J E > 0 < / R J E >  
             < P r e l i m i n a r y > 4 6 8 5 4 < / P r e l i m i n a r y >  
             < F i n a l > 4 6 8 5 4 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 - 2 6 2 1 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 3 1 1 3 8 4 9 3 0 9 4 0 0 0 0 0 1 5 3 < / I D >  
             < T a r g e t A c c o u n t I D > 3 1 1 3 8 4 9 3 0 9 4 0 0 0 0 0 3 0 1 < / T a r g e t A c c o u n t I D >  
             < C h a r t I D > 3 1 1 3 8 4 9 3 0 9 4 0 0 0 0 0 0 0 6 < / C h a r t I D >  
             < I s L i n k e d > f a l s e < / I s L i n k e d >  
             < N u m b e r > 0 4 0 1 0 0 1 0 0 0 0 1 < / N u m b e r >  
             < N a m e > C A P I T A L   G A I N   /   ( L O S S )   O N   S A L E   O F   E Q U I T Y   S E C U R I T I E S < / N a m e >  
             < A J E > 0 < / A J E >  
             < A d j u s t > 0 < / A d j u s t >  
             < R J E > 0 < / R J E >  
             < P r e l i m i n a r y > 0 < / P r e l i m i n a r y >  
             < F i n a l > 0 < / F i n a l >  
         < / A c c o u n t S t o r a g e >  
         < A c c o u n t S t o r a g e >  
             < A c c o u n t B a l a n c e s >  
                 < A c c o u n t B a l a n c e >  
                     < F i e l d N a m e > P r i o r P e r i o d 1 B a l a n c e < / F i e l d N a m e >  
                     < B a l a n c e > 7 5 7 < / B a l a n c e >  
                 < / A c c o u n t B a l a n c e >  
                 < A c c o u n t B a l a n c e >  
                     < F i e l d N a m e > P r i o r P e r i o d 2 B a l a n c e < / F i e l d N a m e >  
                     < B a l a n c e > 1 0 6 7 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 3 1 1 3 8 4 9 3 0 9 4 0 0 0 0 0 1 5 4 < / I D >  
             < T a r g e t A c c o u n t I D > 3 1 1 3 8 4 9 3 0 9 4 0 0 0 0 0 3 0 1 < / T a r g e t A c c o u n t I D >  
             < C h a r t I D > 3 1 1 3 8 4 9 3 0 9 4 0 0 0 0 0 0 0 6 < / C h a r t I D >  
             < I s L i n k e d > f a l s e < / I s L i n k e d >  
             < N u m b e r > 0 4 0 1 0 0 2 0 0 0 0 1 < / N u m b e r >  
             < N a m e > C A P I T A L   G A I N   /   ( L O S S )   O N   S A L E   O F   D E B T   S E C U R I T I E S < / N a m e >  
             < A J E > 0 < / A J E >  
             < A d j u s t > - 1 7 8 9 < / A d j u s t >  
             < R J E > 0 < / R J E >  
             < P r e l i m i n a r y > - 1 7 8 9 < / P r e l i m i n a r y >  
             < F i n a l > - 1 7 8 9 < / F i n a l >  
         < / A c c o u n t S t o r a g e >  
         < A c c o u n t S t o r a g e >  
             < A c c o u n t B a l a n c e s >  
                 < A c c o u n t B a l a n c e >  
                     < F i e l d N a m e > P r i o r P e r i o d 1 B a l a n c e < / F i e l d N a m e >  
                     < B a l a n c e > - 3 9 6 < / B a l a n c e >  
                 < / A c c o u n t B a l a n c e >  
                 < A c c o u n t B a l a n c e >  
                     < F i e l d N a m e > P r i o r P e r i o d 2 B a l a n c e < / F i e l d N a m e >  
                     < B a l a n c e > - 1 1 5 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 3 1 1 3 8 4 9 3 0 9 4 0 0 0 0 0 1 5 5 < / I D >  
             < T a r g e t A c c o u n t I D > 3 1 1 3 8 4 9 3 0 9 4 0 0 0 0 0 3 0 1 < / T a r g e t A c c o u n t I D >  
             < C h a r t I D > 3 1 1 3 8 4 9 3 0 9 4 0 0 0 0 0 0 0 6 < / C h a r t I D >  
             < I s L i n k e d > f a l s e < / I s L i n k e d >  
             < N u m b e r > 0 4 0 1 0 0 3 0 0 0 0 1 < / N u m b e r >  
             < N a m e > C A P I T A L   G A I N   /   ( L O S S )   O N   S A L E   O F   P I B S < / N a m e >  
             < A J E > 0 < / A J E >  
             < A d j u s t > - 2 6 3 2 4 < / A d j u s t >  
             < R J E > 0 < / R J E >  
             < P r e l i m i n a r y > - 2 6 3 2 4 < / P r e l i m i n a r y >  
             < F i n a l > - 2 6 3 2 4 < / F i n a l >  
         < / A c c o u n t S t o r a g e >  
         < A c c o u n t S t o r a g e >  
             < A c c o u n t B a l a n c e s >  
                 < A c c o u n t B a l a n c e >  
                     < F i e l d N a m e > P r i o r P e r i o d 1 B a l a n c e < / F i e l d N a m e >  
                     < B a l a n c e > 9 7 1 < / B a l a n c e >  
                 < / A c c o u n t B a l a n c e >  
                 < A c c o u n t B a l a n c e >  
                     < F i e l d N a m e > P r i o r P e r i o d 2 B a l a n c e < / F i e l d N a m e >  
                     < B a l a n c e > 3 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 3 1 1 3 8 4 9 3 0 9 4 0 0 0 0 0 1 5 6 < / I D >  
             < T a r g e t A c c o u n t I D > 3 1 1 3 8 4 9 3 0 9 4 0 0 0 0 0 3 0 1 < / T a r g e t A c c o u n t I D >  
             < C h a r t I D > 3 1 1 3 8 4 9 3 0 9 4 0 0 0 0 0 0 0 6 < / C h a r t I D >  
             < I s L i n k e d > f a l s e < / I s L i n k e d >  
             < N u m b e r > 0 4 0 1 0 0 4 0 0 0 0 1 < / N u m b e r >  
             < N a m e > C A P I T A L   G A I N   /   ( L O S S )   O N   S A L E   O F   T - B I L L S < / N a m e >  
             < A J E > 0 < / A J E >  
             < A d j u s t > - 2 8 4 4 0 < / A d j u s t >  
             < R J E > 0 < / R J E >  
             < P r e l i m i n a r y > - 2 8 4 4 0 < / P r e l i m i n a r y >  
             < F i n a l > - 2 8 4 4 0 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 3 4 1 8 0 2 8 0 3 4 4 0 0 0 0 1 0 6 0 < / I D >  
             < T a r g e t A c c o u n t I D > 3 1 1 3 8 4 9 3 0 9 4 0 0 0 0 0 3 0 1 < / T a r g e t A c c o u n t I D >  
             < C h a r t I D > 3 1 1 3 8 4 9 3 0 9 4 0 0 0 0 0 0 0 6 < / C h a r t I D >  
             < I s L i n k e d > f a l s e < / I s L i n k e d >  
             < N u m b e r > 0 4 0 1 0 0 5 0 0 0 0 1 < / N u m b e r >  
             < N a m e > C A P I T A L   G A I N   /   ( L O S S )   O N   S A L E   O F   G O P   I J A R A < / N a m e >  
             < A J E > 0 < / A J E >  
             < A d j u s t > 2 0 0 < / A d j u s t >  
             < R J E > 0 < / R J E >  
             < P r e l i m i n a r y > 2 0 0 < / P r e l i m i n a r y >  
             < F i n a l > 2 0 0 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 3 1 1 3 8 4 9 3 0 9 4 0 0 0 0 0 1 6 4 < / I D >  
             < T a r g e t A c c o u n t I D > 3 1 1 3 8 4 9 3 0 9 4 0 0 0 0 0 3 0 1 < / T a r g e t A c c o u n t I D >  
             < C h a r t I D > 3 1 1 3 8 4 9 3 0 9 4 0 0 0 0 0 0 0 6 < / C h a r t I D >  
             < I s L i n k e d > f a l s e < / I s L i n k e d >  
             < N u m b e r > 0 4 0 1 0 2 1 0 0 0 0 1 < / N u m b e r >  
             < N a m e > C A P I T A L   G A I N   /   ( L O S S )   O N   S A L E   O F   P I B   F R B 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 3 1 1 3 8 4 9 3 0 9 4 0 0 0 0 0 1 5 9 < / I D >  
             < T a r g e t A c c o u n t I D > 3 1 1 3 8 4 9 3 0 9 4 0 0 0 0 0 3 0 3 < / T a r g e t A c c o u n t I D >  
             < C h a r t I D > 3 1 1 3 8 4 9 3 0 9 4 0 0 0 0 0 0 0 6 < / C h a r t I D >  
             < I s L i n k e d > f a l s e < / I s L i n k e d >  
             < N u m b e r > 0 4 0 1 0 1 3 0 0 0 0 1 < / N u m b e r >  
             < N a m e > U R G   /   L O S S   F U T U R E   E Q U I T I E S   T R A N S A C T I O N S 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 2 0 6 7 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 3 1 1 3 8 4 9 3 0 9 4 0 0 0 0 0 2 0 0 < / I D >  
             < T a r g e t A c c o u n t I D > 3 1 1 3 8 4 9 3 0 9 4 0 0 0 0 0 3 0 3 < / T a r g e t A c c o u n t I D >  
             < C h a r t I D > 3 1 1 3 8 4 9 3 0 9 4 0 0 0 0 0 0 0 6 < / C h a r t I D >  
             < I s L i n k e d > f a l s e < / I s L i n k e d >  
             < N u m b e r > 0 4 0 2 0 2 1 0 0 0 0 1 < / N u m b e r >  
             < N a m e > I n c o m e   O n   S p r e a d   T r a n s a c t i o n s < / N a m e >  
             < A J E > 0 < / A J E >  
             < A d j u s t > 0 < / A d j u s t >  
             < R J E > 0 < / R J E >  
             < P r e l i m i n a r y > 0 < / P r e l i m i n a r y >  
             < F i n a l > 0 < / F i n a l >  
         < / A c c o u n t S t o r a g e >  
         < A c c o u n t S t o r a g e >  
             < A c c o u n t B a l a n c e s >  
                 < A c c o u n t B a l a n c e >  
                     < F i e l d N a m e > P r i o r P e r i o d 1 B a l a n c e < / F i e l d N a m e >  
                     < B a l a n c e > - 5 8 9 8 5 < / B a l a n c e >  
                 < / A c c o u n t B a l a n c e >  
                 < A c c o u n t B a l a n c e >  
                     < F i e l d N a m e > P r i o r P e r i o d 2 B a l a n c e < / F i e l d N a m e >  
                     < B a l a n c e > - 2 9 8 0 5 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 3 1 1 3 8 4 9 3 0 9 4 0 0 0 0 0 1 9 1 < / I D >  
             < T a r g e t A c c o u n t I D > 3 1 1 3 8 4 9 3 0 9 4 0 0 0 0 0 3 0 4 < / T a r g e t A c c o u n t I D >  
             < C h a r t I D > 3 1 1 3 8 4 9 3 0 9 4 0 0 0 0 0 0 0 6 < / C h a r t I D >  
             < I s L i n k e d > f a l s e < / I s L i n k e d >  
             < N u m b e r > 0 4 0 2 0 0 3 0 0 0 0 1 < / N u m b e r >  
             < N a m e > I N C O M E   O N   T F C < / N a m e >  
             < A J E > 0 < / A J E >  
             < A d j u s t > - 7 7 7 0 2 < / A d j u s t >  
             < R J E > 0 < / R J E >  
             < P r e l i m i n a r y > - 7 7 7 0 2 < / P r e l i m i n a r y >  
             < F i n a l > - 7 7 7 0 2 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 3 1 1 3 8 4 9 3 0 9 4 0 0 0 0 0 1 9 2 < / I D >  
             < T a r g e t A c c o u n t I D > 3 1 1 3 8 4 9 3 0 9 4 0 0 0 0 0 3 0 4 < / T a r g e t A c c o u n t I D >  
             < C h a r t I D > 3 1 1 3 8 4 9 3 0 9 4 0 0 0 0 0 0 0 6 < / C h a r t I D >  
             < I s L i n k e d > f a l s e < / I s L i n k e d >  
             < N u m b e r > 0 4 0 2 0 0 3 0 0 0 0 2 < / N u m b e r >  
             < N a m e > I N C O M E   O N   T F C < / N a m e >  
             < A J E > 0 < / A J E >  
             < A d j u s t > 0 < / A d j u s t >  
             < R J E > 0 < / R J E >  
             < P r e l i m i n a r y > 0 < / P r e l i m i n a r y >  
             < F i n a l > 0 < / F i n a l >  
         < / A c c o u n t S t o r a g e >  
         < A c c o u n t S t o r a g e >  
             < A c c o u n t B a l a n c e s >  
                 < A c c o u n t B a l a n c e >  
                     < F i e l d N a m e > P r i o r P e r i o d 1 B a l a n c e < / F i e l d N a m e >  
                     < B a l a n c e > 1 3 < / B a l a n c e >  
                 < / A c c o u n t B a l a n c e >  
                 < A c c o u n t B a l a n c e >  
                     < F i e l d N a m e > P r i o r P e r i o d 2 B a l a n c e < / F i e l d N a m e >  
                     < B a l a n c e > 4 3 0 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 3 1 1 3 8 4 9 3 0 9 4 0 0 0 0 0 1 9 5 < / I D >  
             < T a r g e t A c c o u n t I D > 3 1 1 3 8 4 9 3 0 9 4 0 0 0 0 0 3 0 4 < / T a r g e t A c c o u n t I D >  
             < C h a r t I D > 3 1 1 3 8 4 9 3 0 9 4 0 0 0 0 0 0 0 6 < / C h a r t I D >  
             < I s L i n k e d > f a l s e < / I s L i n k e d >  
             < N u m b e r > 0 4 0 2 0 1 4 0 0 0 0 1 < / N u m b e r >  
             < N a m e > A M O R T I Z A T I O N   /   D I S C O U N T   O N   D E B T   S E C U R I T I E S   -   T F C < / N a m e >  
             < A J E > 0 < / A J E >  
             < A d j u s t > - 3 5 5 < / A d j u s t >  
             < R J E > 0 < / R J E >  
             < P r e l i m i n a r y > - 3 5 5 < / P r e l i m i n a r y >  
             < F i n a l > - 3 5 5 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 3 1 1 3 8 4 9 3 0 9 4 0 0 0 0 0 0 1 1 < / I D >  
             < T a r g e t A c c o u n t I D > 3 1 1 3 8 4 9 3 0 9 4 0 0 0 0 0 3 0 4 < / T a r g e t A c c o u n t I D >  
             < C h a r t I D > 3 1 1 3 8 4 9 3 0 9 4 0 0 0 0 0 0 0 6 < / C h a r t I D >  
             < I s L i n k e d > f a l s e < / I s L i n k e d >  
             < N u m b e r > 0 4 0 7 0 0 2 0 0 1 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 - 1 4 6 < / B a l a n c e >  
                 < / A c c o u n t B a l a n c e >  
                 < A c c o u n t B a l a n c e >  
                     < F i e l d N a m e > P r i o r P e r i o d 2 B a l a n c e < / F i e l d N a m e >  
                     < B a l a n c e > - 8 8 8 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 3 1 1 3 8 4 9 3 0 9 4 0 0 0 0 0 1 9 3 < / I D >  
             < T a r g e t A c c o u n t I D > 3 1 1 3 8 4 9 3 0 9 4 0 0 0 0 0 3 0 5 < / T a r g e t A c c o u n t I D >  
             < C h a r t I D > 3 1 1 3 8 4 9 3 0 9 4 0 0 0 0 0 0 0 6 < / C h a r t I D >  
             < I s L i n k e d > f a l s e < / I s L i n k e d >  
             < N u m b e r > 0 4 0 2 0 0 4 0 0 0 0 1 < / N u m b e r >  
             < N a m e > I N C O M E   O N   G O V T   S E C T Y   P I B S < / N a m e >  
             < A J E > 0 < / A J E >  
             < A d j u s t > - 8 0 7 6 < / A d j u s t >  
             < R J E > 0 < / R J E >  
             < P r e l i m i n a r y > - 8 0 7 6 < / P r e l i m i n a r y >  
             < F i n a l > - 8 0 7 6 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 3 4 1 8 0 2 8 0 3 4 4 0 0 0 0 1 0 6 5 < / I D >  
             < T a r g e t A c c o u n t I D > 3 1 1 3 8 4 9 3 0 9 4 0 0 0 0 0 3 0 5 < / T a r g e t A c c o u n t I D >  
             < C h a r t I D > 3 1 1 3 8 4 9 3 0 9 4 0 0 0 0 0 0 0 6 < / C h a r t I D >  
             < I s L i n k e d > f a l s e < / I s L i n k e d >  
             < N u m b e r > 0 4 0 2 0 0 7 0 0 0 0 1 < / N u m b e r >  
             < N a m e > I N C O M E   O N   G O V E R N M E N T   S E C U R I T I E S     G O P   I J A R A   S U K U K < / N a m e >  
             < A J E > 0 < / A J E >  
             < A d j u s t > - 1 1 8 < / A d j u s t >  
             < R J E > 0 < / R J E >  
             < P r e l i m i n a r y > - 1 1 8 < / P r e l i m i n a r y >  
             < F i n a l > - 1 1 8 < / 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 3 1 1 3 8 4 9 3 0 9 4 0 0 0 0 0 1 9 4 < / I D >  
             < T a r g e t A c c o u n t I D > 3 1 1 3 8 4 9 3 0 9 4 0 0 0 0 0 3 0 5 < / T a r g e t A c c o u n t I D >  
             < C h a r t I D > 3 1 1 3 8 4 9 3 0 9 4 0 0 0 0 0 0 0 6 < / C h a r t I D >  
             < I s L i n k e d > f a l s e < / I s L i n k e d >  
             < N u m b e r > 0 4 0 2 0 1 2 0 0 0 0 1 < / N u m b e r >  
             < N a m e > I N C O M E   O N   C O M M E R C I A L   P A P E R S < / N a m e >  
             < A J E > 0 < / A J E >  
             < A d j u s t > 0 < / A d j u s t >  
             < R J E > 0 < / R J E >  
             < P r e l i m i n a r y > 0 < / P r e l i m i n a r y >  
             < F i n a l > 0 < / F i n a l >  
         < / A c c o u n t S t o r a g e >  
         < A c c o u n t S t o r a g e >  
             < A c c o u n t B a l a n c e s >  
                 < A c c o u n t B a l a n c e >  
                     < F i e l d N a m e > P r i o r P e r i o d 1 B a l a n c e < / F i e l d N a m e >  
                     < B a l a n c e > 4 2 4 < / 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 3 1 1 3 8 4 9 3 0 9 4 0 0 0 0 0 1 9 6 < / I D >  
             < T a r g e t A c c o u n t I D > 3 1 1 3 8 4 9 3 0 9 4 0 0 0 0 0 3 0 5 < / T a r g e t A c c o u n t I D >  
             < C h a r t I D > 3 1 1 3 8 4 9 3 0 9 4 0 0 0 0 0 0 0 6 < / C h a r t I D >  
             < I s L i n k e d > f a l s e < / I s L i n k e d >  
             < N u m b e r > 0 4 0 2 0 1 5 0 0 0 0 1 < / N u m b e r >  
             < N a m e > A M O R T I Z A T I O N   /   D I S C O U N T   O N   G O V T   S E C T Y   P I B S < / N a m e >  
             < A J E > 0 < / A J E >  
             < A d j u s t > 0 < / A d j u s t >  
             < R J E > 0 < / R J E >  
             < P r e l i m i n a r y > 0 < / P r e l i m i n a r y >  
             < F i n a l > 0 < / F i n a l >  
         < / A c c o u n t S t o r a g e >  
         < A c c o u n t S t o r a g e >  
             < A c c o u n t B a l a n c e s >  
                 < A c c o u n t B a l a n c e >  
                     < F i e l d N a m e > P r i o r P e r i o d 1 B a l a n c e < / F i e l d N a m e >  
                     < B a l a n c e > 3 4 < / B a l a n c e >  
                 < / A c c o u n t B a l a n c e >  
                 < A c c o u n t B a l a n c e >  
                     < F i e l d N a m e > P r i o r P e r i o d 2 B a l a n c e < / F i e l d N a m e >  
                     < B a l a n c e > 6 4 0 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 3 1 1 3 8 4 9 3 0 9 4 0 0 0 0 0 1 9 7 < / I D >  
             < T a r g e t A c c o u n t I D > 3 1 1 3 8 4 9 3 0 9 4 0 0 0 0 0 3 0 5 < / T a r g e t A c c o u n t I D >  
             < C h a r t I D > 3 1 1 3 8 4 9 3 0 9 4 0 0 0 0 0 0 0 6 < / C h a r t I D >  
             < I s L i n k e d > f a l s e < / I s L i n k e d >  
             < N u m b e r > 0 4 0 2 0 1 5 0 0 0 0 2 < / N u m b e r >  
             < N a m e > D i s c o u n t   I n c o m e   O n   G o v t   S e c u r i t y   P i b s < / N a m e >  
             < A J E > 0 < / A J E >  
             < A d j u s t > - 1 9 1 3 < / A d j u s t >  
             < R J E > 0 < / R J E >  
             < P r e l i m i n a r y > - 1 9 1 3 < / P r e l i m i n a r y >  
             < F i n a l > - 1 9 1 3 < / F i n a l >  
         < / A c c o u n t S t o r a g e >  
         < A c c o u n t S t o r a g e >  
             < A c c o u n t B a l a n c e s >  
                 < A c c o u n t B a l a n c e >  
                     < F i e l d N a m e > P r i o r P e r i o d 1 B a l a n c e < / F i e l d N a m e >  
                     < B a l a n c e > - 9 7 9 3 < / B a l a n c e >  
                 < / A c c o u n t B a l a n c e >  
                 < A c c o u n t B a l a n c e >  
                     < F i e l d N a m e > P r i o r P e r i o d 2 B a l a n c e < / F i e l d N a m e >  
                     < B a l a n c e > - 3 8 7 2 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 3 1 1 3 8 4 9 3 0 9 4 0 0 0 0 0 1 9 8 < / I D >  
             < T a r g e t A c c o u n t I D > 3 1 1 3 8 4 9 3 0 9 4 0 0 0 0 0 3 0 5 < / T a r g e t A c c o u n t I D >  
             < C h a r t I D > 3 1 1 3 8 4 9 3 0 9 4 0 0 0 0 0 0 0 6 < / C h a r t I D >  
             < I s L i n k e d > f a l s e < / I s L i n k e d >  
             < N u m b e r > 0 4 0 2 0 1 6 0 0 0 0 1 < / N u m b e r >  
             < N a m e > A M O R T I Z A T I O N   /   D I S C O U N T   O N   G O V T   S E C   B I L L S S < / N a m e >  
             < A J E > 0 < / A J E >  
             < A d j u s t > - 6 9 2 2 5 < / A d j u s t >  
             < R J E > 0 < / R J E >  
             < P r e l i m i n a r y > - 6 9 2 2 5 < / P r e l i m i n a r y >  
             < F i n a l > - 6 9 2 2 5 < / 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 3 1 2 2 5 4 7 6 3 1 5 0 0 0 0 0 6 7 3 < / I D >  
             < T a r g e t A c c o u n t I D > 3 1 1 3 8 4 9 3 0 9 4 0 0 0 0 0 3 0 5 < / T a r g e t A c c o u n t I D >  
             < C h a r t I D > 3 1 1 3 8 4 9 3 0 9 4 0 0 0 0 0 0 0 6 < / C h a r t I D >  
             < I s L i n k e d > f a l s e < / I s L i n k e d >  
             < N u m b e r > 0 4 0 2 0 1 8 0 0 0 0 1 < / N u m b e r >  
             < N a m e > A M O R T I Z A T I O N   /   D I S C O U N T   O N   G O V E R N M E N T   S E C U R I T I E S   N S B < / N a m e >  
             < A J E > 0 < / A J E >  
             < A d j u s t > 0 < / A d j u s t >  
             < R J E > 0 < / R J E >  
             < P r e l i m i n a r y > 0 < / P r e l i m i n a r y >  
             < F i n a l > 0 < / F i n a l >  
         < / A c c o u n t S t o r a g e >  
         < A c c o u n t S t o r a g e >  
             < A c c o u n t B a l a n c e s >  
                 < A c c o u n t B a l a n c e >  
                     < F i e l d N a m e > P r i o r P e r i o d 1 B a l a n c e < / F i e l d N a m e >  
                     < B a l a n c e > - 2 0 9 3 < / 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 3 1 1 3 8 4 9 3 0 9 4 0 0 0 0 0 2 0 1 < / I D >  
             < T a r g e t A c c o u n t I D > 3 1 1 3 8 4 9 3 0 9 4 0 0 0 0 0 3 0 5 < / T a r g e t A c c o u n t I D >  
             < C h a r t I D > 3 1 1 3 8 4 9 3 0 9 4 0 0 0 0 0 0 0 6 < / C h a r t I D >  
             < I s L i n k e d > f a l s e < / I s L i n k e d >  
             < N u m b e r > 0 4 0 2 0 2 4 0 0 0 0 1 < / N u m b e r >  
             < N a m e > I N C O M E   O N   G O V T   S E C T Y   P I B S   F R B < / N a m e >  
             < A J E > 0 < / A J E >  
             < A d j u s t > 0 < / A d j u s t >  
             < R J E > 0 < / R J E >  
             < P r e l i m i n a r y > 0 < / P r e l i m i n a r y >  
             < F i n a l > 0 < / F i n a l >  
         < / A c c o u n t S t o r a g e >  
         < A c c o u n t S t o r a g e >  
             < A c c o u n t B a l a n c e s >  
                 < A c c o u n t B a l a n c e >  
                     < F i e l d N a m e > P r i o r P e r i o d 1 B a l a n c e < / F i e l d N a m e >  
                     < B a l a n c e > - 1 1 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 3 1 1 3 8 4 9 3 0 9 4 0 0 0 0 0 2 0 2 < / I D >  
             < T a r g e t A c c o u n t I D > 3 1 1 3 8 4 9 3 0 9 4 0 0 0 0 0 3 0 5 < / T a r g e t A c c o u n t I D >  
             < C h a r t I D > 3 1 1 3 8 4 9 3 0 9 4 0 0 0 0 0 0 0 6 < / C h a r t I D >  
             < I s L i n k e d > f a l s e < / I s L i n k e d >  
             < N u m b e r > 0 4 0 2 0 2 5 0 0 0 0 1 < / N u m b e r >  
             < N a m e > A M O R T I Z A T I O N   /   D I S C O U N T   O N   G O V T   S E C   P I B S   F R B < / 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 3 1 1 3 8 4 9 3 0 9 4 0 0 0 0 0 0 1 9 < / I D >  
             < T a r g e t A c c o u n t I D > 3 1 1 3 8 4 9 3 0 9 4 0 0 0 0 0 3 0 5 < / T a r g e t A c c o u n t I D >  
             < C h a r t I D > 3 1 1 3 8 4 9 3 0 9 4 0 0 0 0 0 0 0 6 < / C h a r t I D >  
             < I s L i n k e d > f a l s e < / I s L i n k e d >  
             < N u m b e r > 0 5 0 3 0 0 3 0 0 0 4 < / N u m b e r >  
             < N a m e > P r e m i u m   A m o r t i z a t i o n   O f   P i b s 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 3 1 1 3 8 4 9 3 0 9 4 0 0 0 0 0 1 9 9 < / I D >  
             < T a r g e t A c c o u n t I D > 3 1 1 3 8 4 9 3 0 9 4 0 0 0 0 0 3 0 7 < / T a r g e t A c c o u n t I D >  
             < C h a r t I D > 3 1 1 3 8 4 9 3 0 9 4 0 0 0 0 0 0 0 6 < / C h a r t I D >  
             < I s L i n k e d > f a l s e < / I s L i n k e d >  
             < N u m b e r > 0 4 0 2 0 1 9 0 0 0 0 1 < / N u m b e r >  
             < N a m e > A M O R T I Z A T I O N   /   D I S C O U N T   O N   C O M M E R C I A L   P A P E R S < / N a m e >  
             < A J E > 0 < / A J E >  
             < A d j u s t > - 2 9 6 3 < / A d j u s t >  
             < R J E > 0 < / R J E >  
             < P r e l i m i n a r y > - 2 9 6 3 < / P r e l i m i n a r y >  
             < F i n a l > - 2 9 6 3 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 - 9 1 2 6 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 3 1 1 3 8 4 9 3 0 9 4 0 0 0 0 0 1 9 0 < / I D >  
             < T a r g e t A c c o u n t I D > 3 1 1 3 8 4 9 3 0 9 4 0 0 0 0 0 3 0 8 < / T a r g e t A c c o u n t I D >  
             < C h a r t I D > 3 1 1 3 8 4 9 3 0 9 4 0 0 0 0 0 0 0 6 < / C h a r t I D >  
             < I s L i n k e d > f a l s e < / I s L i n k e d >  
             < N u m b e r > 0 4 0 2 0 0 2 0 0 0 0 1 < / N u m b e r >  
             < N a m e > R E T U R N   O N   T E R M   D E P O S I T   A C C O U N T S < / N a m e >  
             < A J E > 0 < / A J E >  
             < A d j u s t > 0 < / A d j u s t >  
             < R J E > 0 < / R J E >  
             < P r e l i m i n a r y > 0 < / P r e l i m i n a r y >  
             < F i n a l > 0 < / F i n a l >  
         < / A c c o u n t S t o r a g e >  
         < A c c o u n t S t o r a g e >  
             < A c c o u n t B a l a n c e s >  
                 < A c c o u n t B a l a n c e >  
                     < F i e l d N a m e > P r i o r P e r i o d 1 B a l a n c e < / F i e l d N a m e >  
                     < B a l a n c e > - 2 3 2 < / B a l a n c e >  
                 < / A c c o u n t B a l a n c e >  
                 < A c c o u n t B a l a n c e >  
                     < F i e l d N a m e > P r i o r P e r i o d 2 B a l a n c e < / F i e l d N a m e >  
                     < B a l a n c e > - 1 0 9 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 3 1 1 3 8 4 9 3 0 9 4 0 0 0 0 0 2 0 3 < / I D >  
             < T a r g e t A c c o u n t I D > 3 1 1 3 8 4 9 3 0 9 4 0 0 0 0 0 3 0 9 < / T a r g e t A c c o u n t I D >  
             < C h a r t I D > 3 1 1 3 8 4 9 3 0 9 4 0 0 0 0 0 0 0 6 < / C h a r t I D >  
             < I s L i n k e d > f a l s e < / I s L i n k e d >  
             < N u m b e r > 0 4 0 3 0 0 1 0 0 0 0 1 < / N u m b e r >  
             < N a m e > I N C O M E   O N   N C C P L   D E P O S I T   A G A I N S T   E X P O S U R E   M A R G I N < / N a m e >  
             < A J E > 0 < / A J E >  
             < A d j u s t > - 8 2 3 < / A d j u s t >  
             < R J E > 0 < / R J E >  
             < P r e l i m i n a r y > - 8 2 3 < / P r e l i m i n a r y >  
             < F i n a l > - 8 2 3 < / F i n a l >  
         < / A c c o u n t S t o r a g e >  
         < A c c o u n t S t o r a g e >  
             < A c c o u n t B a l a n c e s >  
                 < A c c o u n t B a l a n c e >  
                     < F i e l d N a m e > P r i o r P e r i o d 1 B a l a n c e < / F i e l d N a m e >  
                     < B a l a n c e > - 7 4 6 1 < / B a l a n c e >  
                 < / A c c o u n t B a l a n c e >  
                 < A c c o u n t B a l a n c e >  
                     < F i e l d N a m e > P r i o r P e r i o d 2 B a l a n c e < / F i e l d N a m e >  
                     < B a l a n c e > - 1 1 1 5 4 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 3 1 1 3 8 4 9 3 0 9 4 0 0 0 0 0 0 1 7 < / I D >  
             < T a r g e t A c c o u n t I D > 3 1 1 3 8 4 9 3 0 9 4 0 0 0 0 0 3 1 0 < / T a r g e t A c c o u n t I D >  
             < C h a r t I D > 3 1 1 3 8 4 9 3 0 9 4 0 0 0 0 0 0 0 6 < / C h a r t I D >  
             < I s L i n k e d > f a l s e < / I s L i n k e d >  
             < N u m b e r > 0 4 0 8 0 0 9 0 0 0 9 < / N u m b e r >  
             < N a m e > M a r k u p   I n c o m e   O n   M t s < / N a m e >  
             < A J E > 0 < / A J E >  
             < A d j u s t > 0 < / A d j u s t >  
             < R J E > 0 < / R J E >  
             < P r e l i m i n a r y > 0 < / P r e l i m i n a r y >  
             < F i n a l > 0 < / F i n a l >  
         < / A c c o u n t S t o r a g e >  
         < A c c o u n t S t o r a g e >  
             < A c c o u n t B a l a n c e s >  
                 < A c c o u n t B a l a n c e >  
                     < F i e l d N a m e > P r i o r P e r i o d 1 B a l a n c e < / F i e l d N a m e >  
                     < B a l a n c e > - 3 9 2 9 < / B a l a n c e >  
                 < / A c c o u n t B a l a n c e >  
                 < A c c o u n t B a l a n c e >  
                     < F i e l d N a m e > P r i o r P e r i o d 2 B a l a n c e < / F i e l d N a m e >  
                     < B a l a n c e > - 3 1 7 0 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 3 1 1 3 8 4 9 3 0 9 4 0 0 0 0 0 1 6 5 < / I D >  
             < T a r g e t A c c o u n t I D > 3 1 1 3 8 4 9 3 0 9 4 0 0 0 0 0 3 1 1 < / T a r g e t A c c o u n t I D >  
             < C h a r t I D > 3 1 1 3 8 4 9 3 0 9 4 0 0 0 0 0 0 0 6 < / C h a r t I D >  
             < I s L i n k e d > f a l s e < / I s L i n k e d >  
             < N u m b e r > 0 4 0 2 0 0 1 0 0 0 0 1 < / N u m b e r >  
             < N a m e > P R O F I T   O N   -   A L L I E D   B A N K   L I M I T E D   -   F O R E I G N   E X C H A N G E   B R A N C H < / N a m e >  
             < A J E > 0 < / A J E >  
             < A d j u s t > - 1 8 2 0 9 < / A d j u s t >  
             < R J E > 0 < / R J E >  
             < P r e l i m i n a r y > - 1 8 2 0 9 < / P r e l i m i n a r y >  
             < F i n a l > - 1 8 2 0 9 < / F i n a l >  
         < / A c c o u n t S t o r a g e >  
         < A c c o u n t S t o r a g e >  
             < A c c o u n t B a l a n c e s >  
                 < A c c o u n t B a l a n c e >  
                     < F i e l d N a m e > P r i o r P e r i o d 1 B a l a n c e < / F i e l d N a m e >  
                     < B a l a n c e > - 2 1 7 < / B a l a n c e >  
                 < / A c c o u n t B a l a n c e >  
                 < A c c o u n t B a l a n c e >  
                     < F i e l d N a m e > P r i o r P e r i o d 2 B a l a n c e < / F i e l d N a m e >  
                     < B a l a n c e > - 2 1 4 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 3 1 1 3 8 4 9 3 0 9 4 0 0 0 0 0 1 6 6 < / I D >  
             < T a r g e t A c c o u n t I D > 3 1 1 3 8 4 9 3 0 9 4 0 0 0 0 0 3 1 1 < / T a r g e t A c c o u n t I D >  
             < C h a r t I D > 3 1 1 3 8 4 9 3 0 9 4 0 0 0 0 0 0 0 6 < / C h a r t I D >  
             < I s L i n k e d > f a l s e < / I s L i n k e d >  
             < N u m b e r > 0 4 0 2 0 0 1 0 0 0 0 5 < / N u m b e r >  
             < N a m e > P R O F I T   O N   -   B A N K   A L   F A L A H   L I M I T E D     -   K S E   B R A N C H < / N a m e >  
             < A J E > 0 < / A J E >  
             < A d j u s t > - 1 3 0 9 < / A d j u s t >  
             < R J E > 0 < / R J E >  
             < P r e l i m i n a r y > - 1 3 0 9 < / P r e l i m i n a r y >  
             < F i n a l > - 1 3 0 9 < / F i n a l >  
         < / A c c o u n t S t o r a g e >  
         < A c c o u n t S t o r a g e >  
             < A c c o u n t B a l a n c e s >  
                 < A c c o u n t B a l a n c e >  
                     < F i e l d N a m e > P r i o r P e r i o d 1 B a l a n c e < / F i e l d N a m e >  
                     < B a l a n c e > - 5 < / B a l a n c e >  
                 < / A c c o u n t B a l a n c e >  
                 < A c c o u n t B a l a n c e >  
                     < F i e l d N a m e > P r i o r P e r i o d 2 B a l a n c e < / F i e l d N a m e >  
                     < B a l a n c e > - 1 8 7 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 3 1 1 3 8 4 9 3 0 9 4 0 0 0 0 0 1 6 7 < / I D >  
             < T a r g e t A c c o u n t I D > 3 1 1 3 8 4 9 3 0 9 4 0 0 0 0 0 3 1 1 < / T a r g e t A c c o u n t I D >  
             < C h a r t I D > 3 1 1 3 8 4 9 3 0 9 4 0 0 0 0 0 0 0 6 < / C h a r t I D >  
             < I s L i n k e d > f a l s e < / I s L i n k e d >  
             < N u m b e r > 0 4 0 2 0 0 1 0 0 0 1 1 < / N u m b e r >  
             < N a m e > P r o f i t   O n   -   F a y s a l   B a n k   L i m i t e d   -   G u l s h a n   E   I q b a l   B r a n c h < / N a m e >  
             < A J E > 0 < / A J E >  
             < A d j u s t > - 1 < / A d j u s t >  
             < R J E > 0 < / R J E >  
             < P r e l i m i n a r y > - 1 < / P r e l i m i n a r y >  
             < F i n a l > - 1 < / F i n a l >  
         < / A c c o u n t S t o r a g e >  
         < A c c o u n t S t o r a g e >  
             < A c c o u n t B a l a n c e s >  
                 < A c c o u n t B a l a n c e >  
                     < F i e l d N a m e > P r i o r P e r i o d 1 B a l a n c e < / F i e l d N a m e >  
                     < B a l a n c e > - 5 3 5 < / B a l a n c e >  
                 < / A c c o u n t B a l a n c e >  
                 < A c c o u n t B a l a n c e >  
                     < F i e l d N a m e > P r i o r P e r i o d 2 B a l a n c e < / F i e l d N a m e >  
                     < B a l a n c e > - 1 5 6 5 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 3 1 1 3 8 4 9 3 0 9 4 0 0 0 0 0 1 6 8 < / I D >  
             < T a r g e t A c c o u n t I D > 3 1 1 3 8 4 9 3 0 9 4 0 0 0 0 0 3 1 1 < / T a r g e t A c c o u n t I D >  
             < C h a r t I D > 3 1 1 3 8 4 9 3 0 9 4 0 0 0 0 0 0 0 6 < / C h a r t I D >  
             < I s L i n k e d > f a l s e < / I s L i n k e d >  
             < N u m b e r > 0 4 0 2 0 0 1 0 0 0 1 4 < / N u m b e r >  
             < N a m e > P r o f i t   O n   -   H a b i b   M e t r o p o l i t a n   B a n k   L i m i t e d   -   K a r a c h i   S t o c k   E x c h a n g e   B r a n c h < / N a m e >  
             < A J E > 0 < / A J E >  
             < A d j u s t > - 5 9 5 < / A d j u s t >  
             < R J E > 0 < / R J E >  
             < P r e l i m i n a r y > - 5 9 5 < / P r e l i m i n a r y >  
             < F i n a l > - 5 9 5 < / F i n a l >  
         < / A c c o u n t S t o r a g e >  
         < A c c o u n t S t o r a g e >  
             < A c c o u n t B a l a n c e s >  
                 < A c c o u n t B a l a n c e >  
                     < F i e l d N a m e > P r i o r P e r i o d 1 B a l a n c e < / F i e l d N a m e >  
                     < B a l a n c e > - 3 0 4 < / B a l a n c e >  
                 < / A c c o u n t B a l a n c e >  
                 < A c c o u n t B a l a n c e >  
                     < F i e l d N a m e > P r i o r P e r i o d 2 B a l a n c e < / F i e l d N a m e >  
                     < B a l a n c e > - 8 2 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 3 1 1 3 8 4 9 3 0 9 4 0 0 0 0 0 1 6 9 < / I D >  
             < T a r g e t A c c o u n t I D > 3 1 1 3 8 4 9 3 0 9 4 0 0 0 0 0 3 1 1 < / T a r g e t A c c o u n t I D >  
             < C h a r t I D > 3 1 1 3 8 4 9 3 0 9 4 0 0 0 0 0 0 0 6 < / C h a r t I D >  
             < I s L i n k e d > f a l s e < / I s L i n k e d >  
             < N u m b e r > 0 4 0 2 0 0 1 0 0 0 1 5 < / N u m b e r >  
             < N a m e > P r o f i t   O n   -   H a b i b   M e t r o p o l i t a n   B a n k   L i m i t e d   -   M a i n   B r a n c h < / N a m e >  
             < A J E > 0 < / A J E >  
             < A d j u s t > - 2 1 1 2 < / A d j u s t >  
             < R J E > 0 < / R J E >  
             < P r e l i m i n a r y > - 2 1 1 2 < / P r e l i m i n a r y >  
             < F i n a l > - 2 1 1 2 < / F i n a l >  
         < / A c c o u n t S t o r a g e >  
         < A c c o u n t S t o r a g e >  
             < A c c o u n t B a l a n c e s >  
                 < A c c o u n t B a l a n c e >  
                     < F i e l d N a m e > P r i o r P e r i o d 1 B a l a n c e < / F i e l d N a m e >  
                     < B a l a n c e > - 4 4 4 < / B a l a n c e >  
                 < / A c c o u n t B a l a n c e >  
                 < A c c o u n t B a l a n c e >  
                     < F i e l d N a m e > P r i o r P e r i o d 2 B a l a n c e < / F i e l d N a m e >  
                     < B a l a n c e > - 7 5 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 3 1 1 3 8 4 9 3 0 9 4 0 0 0 0 0 1 7 0 < / I D >  
             < T a r g e t A c c o u n t I D > 3 1 1 3 8 4 9 3 0 9 4 0 0 0 0 0 3 1 1 < / T a r g e t A c c o u n t I D >  
             < C h a r t I D > 3 1 1 3 8 4 9 3 0 9 4 0 0 0 0 0 0 0 6 < / C h a r t I D >  
             < I s L i n k e d > f a l s e < / I s L i n k e d >  
             < N u m b e r > 0 4 0 2 0 0 1 0 0 0 1 7 < / N u m b e r >  
             < N a m e > P r o f i t   O n   -   M c b   B a n k   L i m i t e d   -   U n i   T o w e r   B r a n c h < / N a m e >  
             < A J E > 0 < / A J E >  
             < A d j u s t > - 3 2 4 < / A d j u s t >  
             < R J E > 0 < / R J E >  
             < P r e l i m i n a r y > - 3 2 4 < / P r e l i m i n a r y >  
             < F i n a l > - 3 2 4 < / 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 3 1 1 3 8 4 9 3 0 9 4 0 0 0 0 0 1 7 1 < / I D >  
             < T a r g e t A c c o u n t I D > 3 1 1 3 8 4 9 3 0 9 4 0 0 0 0 0 3 1 1 < / T a r g e t A c c o u n t I D >  
             < C h a r t I D > 3 1 1 3 8 4 9 3 0 9 4 0 0 0 0 0 0 0 6 < / C h a r t I D >  
             < I s L i n k e d > f a l s e < / I s L i n k e d >  
             < N u m b e r > 0 4 0 2 0 0 1 0 0 0 2 1 < / N u m b e r >  
             < N a m e > P r o f i t   O n   -   M c b   B a n k   L i m i t e d   -   S h a h e e n   C o m p l e x 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 3 1 1 3 8 4 9 3 0 9 4 0 0 0 0 0 1 7 2 < / I D >  
             < T a r g e t A c c o u n t I D > 3 1 1 3 8 4 9 3 0 9 4 0 0 0 0 0 3 1 1 < / T a r g e t A c c o u n t I D >  
             < C h a r t I D > 3 1 1 3 8 4 9 3 0 9 4 0 0 0 0 0 0 0 6 < / C h a r t I D >  
             < I s L i n k e d > f a l s e < / I s L i n k e d >  
             < N u m b e r > 0 4 0 2 0 0 1 0 0 0 2 6 < / N u m b e r >  
             < N a m e > P r o f i t   O n   -   N i b 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 3 1 1 3 8 4 9 3 0 9 4 0 0 0 0 0 1 7 3 < / I D >  
             < T a r g e t A c c o u n t I D > 3 1 1 3 8 4 9 3 0 9 4 0 0 0 0 0 3 1 1 < / T a r g e t A c c o u n t I D >  
             < C h a r t I D > 3 1 1 3 8 4 9 3 0 9 4 0 0 0 0 0 0 0 6 < / C h a r t I D >  
             < I s L i n k e d > f a l s e < / I s L i n k e d >  
             < N u m b e r > 0 4 0 2 0 0 1 0 0 0 2 7 < / N u m b e r >  
             < N a m e > P r o f i t   O n   -   N i b   B a n k   L i m i t e d   -   C l o t h   M a r k e t 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 3 1 1 3 8 4 9 3 0 9 4 0 0 0 0 0 1 7 4 < / I D >  
             < T a r g e t A c c o u n t I D > 3 1 1 3 8 4 9 3 0 9 4 0 0 0 0 0 3 1 1 < / T a r g e t A c c o u n t I D >  
             < C h a r t I D > 3 1 1 3 8 4 9 3 0 9 4 0 0 0 0 0 0 0 6 < / C h a r t I D >  
             < I s L i n k e d > f a l s e < / I s L i n k e d >  
             < N u m b e r > 0 4 0 2 0 0 1 0 0 0 2 9 < / N u m b e r >  
             < N a m e > P R O F I T   O N   -   S T A N D A R D   C H A R T E R E D   B A N K   L I M I T E D   -   M A I N   B R A N C H < / 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 3 1 1 3 8 4 9 3 0 9 4 0 0 0 0 0 1 7 5 < / I D >  
             < T a r g e t A c c o u n t I D > 3 1 1 3 8 4 9 3 0 9 4 0 0 0 0 0 3 1 1 < / T a r g e t A c c o u n t I D >  
             < C h a r t I D > 3 1 1 3 8 4 9 3 0 9 4 0 0 0 0 0 0 0 6 < / C h a r t I D >  
             < I s L i n k e d > f a l s e < / I s L i n k e d >  
             < N u m b e r > 0 4 0 2 0 0 1 0 0 0 3 4 < / N u m b e r >  
             < N a m e > P r o f i t   O n   -   U n i t e d   B a n k   L i m i t e d   -   C o r p o r a t e   B r a n c h < / 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 3 1 1 3 8 4 9 3 0 9 4 0 0 0 0 0 1 7 6 < / I D >  
             < T a r g e t A c c o u n t I D > 3 1 1 3 8 4 9 3 0 9 4 0 0 0 0 0 3 1 1 < / T a r g e t A c c o u n t I D >  
             < C h a r t I D > 3 1 1 3 8 4 9 3 0 9 4 0 0 0 0 0 0 0 6 < / C h a r t I D >  
             < I s L i n k e d > f a l s e < / I s L i n k e d >  
             < N u m b e r > 0 4 0 2 0 0 1 0 0 0 4 0 < / N u m b e r >  
             < N a m e > P r o f i t   O n   -   U n i t e d   B a n k   L i m i t e d   -   A v a r i   T o w e r   B r a n c h < / N a m e >  
             < A J E > 0 < / A J E >  
             < A d j u s t > 0 < / A d j u s t >  
             < R J E > 0 < / R J E >  
             < P r e l i m i n a r y > 0 < / P r e l i m i n a r y >  
             < F i n a l > 0 < / F i n a l >  
         < / A c c o u n t S t o r a g e >  
         < A c c o u n t S t o r a g e >  
             < A c c o u n t B a l a n c e s >  
                 < A c c o u n t B a l a n c e >  
                     < F i e l d N a m e > P r i o r P e r i o d 1 B a l a n c e < / F i e l d N a m e >  
                     < B a l a n c e > - 1 8 < / B a l a n c e >  
                 < / A c c o u n t B a l a n c e >  
                 < A c c o u n t B a l a n c e >  
                     < F i e l d N a m e > P r i o r P e r i o d 2 B a l a n c e < / F i e l d N a m e >  
                     < B a l a n c e > - 4 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 3 1 1 3 8 4 9 3 0 9 4 0 0 0 0 0 1 7 7 < / I D >  
             < T a r g e t A c c o u n t I D > 3 1 1 3 8 4 9 3 0 9 4 0 0 0 0 0 3 1 1 < / T a r g e t A c c o u n t I D >  
             < C h a r t I D > 3 1 1 3 8 4 9 3 0 9 4 0 0 0 0 0 0 0 6 < / C h a r t I D >  
             < I s L i n k e d > f a l s e < / I s L i n k e d >  
             < N u m b e r > 0 4 0 2 0 0 1 0 0 0 6 9 < / N u m b e r >  
             < N a m e > P r o f i t   O n   -   B a n k   A l   H a b i b   L i m i t e d   -   M a i n   B r a n c h < / N a m e >  
             < A J E > 0 < / A J E >  
             < A d j u s t > - 1 0 1 < / A d j u s t >  
             < R J E > 0 < / R J E >  
             < P r e l i m i n a r y > - 1 0 1 < / P r e l i m i n a r y >  
             < F i n a l > - 1 0 1 < / 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 - 1 0 3 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 3 1 1 3 8 4 9 3 0 9 4 0 0 0 0 0 1 7 8 < / I D >  
             < T a r g e t A c c o u n t I D > 3 1 1 3 8 4 9 3 0 9 4 0 0 0 0 0 3 1 1 < / T a r g e t A c c o u n t I D >  
             < C h a r t I D > 3 1 1 3 8 4 9 3 0 9 4 0 0 0 0 0 0 0 6 < / C h a r t I D >  
             < I s L i n k e d > f a l s e < / I s L i n k e d >  
             < N u m b e r > 0 4 0 2 0 0 1 0 0 0 7 2 < / N u m b e r >  
             < N a m e > P r o f i t   O n   -   Z a r a i   T a r a q i a t i   B a n k   L i m i t e d   -   S h a f i   C o u r t   B r a n c h < / N a m e >  
             < A J E > 0 < / A J E >  
             < A d j u s t > - 2 < / A d j u s t >  
             < R J E > 0 < / R J E >  
             < P r e l i m i n a r y > - 2 < / P r e l i m i n a r y >  
             < F i n a l > - 2 < / F i n a l >  
         < / A c c o u n t S t o r a g e >  
         < A c c o u n t S t o r a g e >  
             < A c c o u n t B a l a n c e s >  
                 < A c c o u n t B a l a n c e >  
                     < F i e l d N a m e > P r i o r P e r i o d 1 B a l a n c e < / F i e l d N a m e >  
                     < B a l a n c e > - 1 6 1 3 < / B a l a n c e >  
                 < / A c c o u n t B a l a n c e >  
                 < A c c o u n t B a l a n c e >  
                     < F i e l d N a m e > P r i o r P e r i o d 2 B a l a n c e < / F i e l d N a m e >  
                     < B a l a n c e > - 1 3 9 3 2 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 3 1 1 3 8 4 9 3 0 9 4 0 0 0 0 0 1 7 9 < / I D >  
             < T a r g e t A c c o u n t I D > 3 1 1 3 8 4 9 3 0 9 4 0 0 0 0 0 3 1 1 < / T a r g e t A c c o u n t I D >  
             < C h a r t I D > 3 1 1 3 8 4 9 3 0 9 4 0 0 0 0 0 0 0 6 < / C h a r t I D >  
             < I s L i n k e d > f a l s e < / I s L i n k e d >  
             < N u m b e r > 0 4 0 2 0 0 1 0 0 0 7 5 < / N u m b e r >  
             < N a m e > P r o f i t   O n   -   J s   B a n k   L i m i t e d   -   O c e a n   T o w e r ,   C l i f t o n   B r a n c h < / N a m e >  
             < A J E > 0 < / A J E >  
             < A d j u s t > - 6 1 5 1 < / A d j u s t >  
             < R J E > 0 < / R J E >  
             < P r e l i m i n a r y > - 6 1 5 1 < / P r e l i m i n a r y >  
             < F i n a l > - 6 1 5 1 < / 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 - 3 9 4 4 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 3 1 1 3 8 4 9 3 0 9 4 0 0 0 0 0 1 8 0 < / I D >  
             < T a r g e t A c c o u n t I D > 3 1 1 3 8 4 9 3 0 9 4 0 0 0 0 0 3 1 1 < / T a r g e t A c c o u n t I D >  
             < C h a r t I D > 3 1 1 3 8 4 9 3 0 9 4 0 0 0 0 0 0 0 6 < / C h a r t I D >  
             < I s L i n k e d > f a l s e < / I s L i n k e d >  
             < N u m b e r > 0 4 0 2 0 0 1 0 0 0 7 7 < / N u m b e r >  
             < N a m e > P r o f i t   O n   -   N r s p   M i c r o f i n a n c e   B a n k   L i m i t e d < / N a m e >  
             < A J E > 0 < / A J E >  
             < A d j u s t > - 2 < / A d j u s t >  
             < R J E > 0 < / R J E >  
             < P r e l i m i n a r y > - 2 < / P r e l i m i n a r y >  
             < F i n a l > - 2 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 3 1 1 3 8 4 9 3 0 9 4 0 0 0 0 0 1 8 1 < / I D >  
             < T a r g e t A c c o u n t I D > 3 1 1 3 8 4 9 3 0 9 4 0 0 0 0 0 3 1 1 < / T a r g e t A c c o u n t I D >  
             < C h a r t I D > 3 1 1 3 8 4 9 3 0 9 4 0 0 0 0 0 0 0 6 < / C h a r t I D >  
             < I s L i n k e d > f a l s e < / I s L i n k e d >  
             < N u m b e r > 0 4 0 2 0 0 1 0 0 0 7 8 < / N u m b e r >  
             < N a m e > P r o f i t   O n   -   M o b i l i n k   M i c r o f i n a n c e   B a n k   L i m i t e d < / N a m e >  
             < A J E > 0 < / A J E >  
             < A d j u s t > - 1 < / A d j u s t >  
             < R J E > 0 < / R J E >  
             < P r e l i m i n a r y > - 1 < / P r e l i m i n a r y >  
             < F i n a l > - 1 < / F i n a l >  
         < / A c c o u n t S t o r a g e >  
         < A c c o u n t S t o r a g e >  
             < A c c o u n t B a l a n c e s >  
                 < A c c o u n t B a l a n c e >  
                     < F i e l d N a m e > P r i o r P e r i o d 1 B a l a n c e < / F i e l d N a m e >  
                     < B a l a n c e > - 5 6 3 9 < / B a l a n c e >  
                 < / A c c o u n t B a l a n c e >  
                 < A c c o u n t B a l a n c e >  
                     < F i e l d N a m e > P r i o r P e r i o d 2 B a l a n c e < / F i e l d N a m e >  
                     < B a l a n c e > - 7 4 5 3 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 3 1 1 3 8 4 9 3 0 9 4 0 0 0 0 0 1 8 2 < / I D >  
             < T a r g e t A c c o u n t I D > 3 1 1 3 8 4 9 3 0 9 4 0 0 0 0 0 3 1 1 < / T a r g e t A c c o u n t I D >  
             < C h a r t I D > 3 1 1 3 8 4 9 3 0 9 4 0 0 0 0 0 0 0 6 < / C h a r t I D >  
             < I s L i n k e d > f a l s e < / I s L i n k e d >  
             < N u m b e r > 0 4 0 2 0 0 1 0 0 0 7 9 < / N u m b e r >  
             < N a m e > P r o f i t   O n   -   U   M i c r o f i n a n c e   B a n k   L i m i t e d < / N a m e >  
             < A J E > 0 < / A J E >  
             < A d j u s t > 1 0 4 < / A d j u s t >  
             < R J E > 0 < / R J E >  
             < P r e l i m i n a r y > 1 0 4 < / P r e l i m i n a r y >  
             < F i n a l > 1 0 4 < / 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 - 6 5 0 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 3 1 1 3 8 4 9 3 0 9 4 0 0 0 0 0 1 8 3 < / I D >  
             < T a r g e t A c c o u n t I D > 3 1 1 3 8 4 9 3 0 9 4 0 0 0 0 0 3 1 1 < / T a r g e t A c c o u n t I D >  
             < C h a r t I D > 3 1 1 3 8 4 9 3 0 9 4 0 0 0 0 0 0 0 6 < / C h a r t I D >  
             < I s L i n k e d > f a l s e < / I s L i n k e d >  
             < N u m b e r > 0 4 0 2 0 0 1 0 0 0 8 0 < / N u m b e r >  
             < N a m e > P r o f i t   O n 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 - 1 5 8 4 1 < / B a l a n c e >  
                 < / A c c o u n t B a l a n c e >  
                 < A c c o u n t B a l a n c e >  
                     < F i e l d N a m e > P r i o r P e r i o d 2 B a l a n c e < / F i e l d N a m e >  
                     < B a l a n c e > - 3 0 4 0 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 3 1 1 3 8 4 9 3 0 9 4 0 0 0 0 0 1 8 4 < / I D >  
             < T a r g e t A c c o u n t I D > 3 1 1 3 8 4 9 3 0 9 4 0 0 0 0 0 3 1 1 < / T a r g e t A c c o u n t I D >  
             < C h a r t I D > 3 1 1 3 8 4 9 3 0 9 4 0 0 0 0 0 0 0 6 < / C h a r t I D >  
             < I s L i n k e d > f a l s e < / I s L i n k e d >  
             < N u m b e r > 0 4 0 2 0 0 1 0 0 0 8 2 < / N u m b e r >  
             < N a m e > P r o f i t   O n   -   T a m e e r   M i c r o f i n a n c e   B a n k < / N a m e >  
             < A J E > 0 < / A J E >  
             < A d j u s t > - 5 7 < / A d j u s t >  
             < R J E > 0 < / R J E >  
             < P r e l i m i n a r y > - 5 7 < / P r e l i m i n a r y >  
             < F i n a l > - 5 7 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 3 4 1 8 0 2 8 0 3 4 4 0 0 0 0 1 0 6 1 < / I D >  
             < T a r g e t A c c o u n t I D > 3 1 1 3 8 4 9 3 0 9 4 0 0 0 0 0 3 1 1 < / T a r g e t A c c o u n t I D >  
             < C h a r t I D > 3 1 1 3 8 4 9 3 0 9 4 0 0 0 0 0 0 0 6 < / C h a r t I D >  
             < I s L i n k e d > f a l s e < / I s L i n k e d >  
             < N u m b e r > 0 4 0 2 0 0 1 0 0 0 8 5 < / N u m b e r >  
             < N a m e > P r o f i t   O n   -   F i n c a   M i c r o f i n a n c e   B a n k   ( L i a q u a t a b a d   B r a n c h ) < / 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 3 1 1 3 8 4 9 3 0 9 4 0 0 0 0 0 1 8 5 < / I D >  
             < T a r g e t A c c o u n t I D > 3 1 1 3 8 4 9 3 0 9 4 0 0 0 0 0 3 1 1 < / T a r g e t A c c o u n t I D >  
             < C h a r t I D > 3 1 1 3 8 4 9 3 0 9 4 0 0 0 0 0 0 0 6 < / C h a r t I D >  
             < I s L i n k e d > f a l s e < / I s L i n k e d >  
             < N u m b e r > 0 4 0 2 0 0 1 0 0 0 8 8 < / N u m b e r >  
             < N a m e > P r o f i t   O n   H a b i b   B a n k   L i m i t e d   K s e   B r a n c h < / 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 3 1 1 3 8 4 9 3 0 9 4 0 0 0 0 0 1 8 6 < / I D >  
             < T a r g e t A c c o u n t I D > 3 1 1 3 8 4 9 3 0 9 4 0 0 0 0 0 3 1 1 < / T a r g e t A c c o u n t I D >  
             < C h a r t I D > 3 1 1 3 8 4 9 3 0 9 4 0 0 0 0 0 0 0 6 < / C h a r t I D >  
             < I s L i n k e d > f a l s e < / I s L i n k e d >  
             < N u m b e r > 0 4 0 2 0 0 1 0 0 0 9 0 < / N u m b e r >  
             < N a m e > P r o f i t   O n   -   H a b i b   B a n k   L i m i t e d   K s e   B r a n c h < / N a m e >  
             < A J E > 0 < / A J E >  
             < A d j u s t > - 4 3 9 < / A d j u s t >  
             < R J E > 0 < / R J E >  
             < P r e l i m i n a r y > - 4 3 9 < / P r e l i m i n a r y >  
             < F i n a l > - 4 3 9 < / F i n a l >  
         < / A c c o u n t S t o r a g e >  
         < A c c o u n t S t o r a g e >  
             < A c c o u n t B a l a n c e s >  
                 < A c c o u n t B a l a n c e >  
                     < F i e l d N a m e > P r i o r P e r i o d 1 B a l a n c e < / F i e l d N a m e >  
                     < B a l a n c e > - 1 0 6 2 < / B a l a n c e >  
                 < / A c c o u n t B a l a n c e >  
                 < A c c o u n t B a l a n c e >  
                     < F i e l d N a m e > P r i o r P e r i o d 2 B a l a n c e < / F i e l d N a m e >  
                     < B a l a n c e > - 3 2 7 3 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 3 1 1 3 8 4 9 3 0 9 4 0 0 0 0 0 1 8 7 < / I D >  
             < T a r g e t A c c o u n t I D > 3 1 1 3 8 4 9 3 0 9 4 0 0 0 0 0 3 1 1 < / T a r g e t A c c o u n t I D >  
             < C h a r t I D > 3 1 1 3 8 4 9 3 0 9 4 0 0 0 0 0 0 0 6 < / C h a r t I D >  
             < I s L i n k e d > f a l s e < / I s L i n k e d >  
             < N u m b e r > 0 4 0 2 0 0 1 0 0 0 9 3 < / N u m b e r >  
             < N a m e > P r o f i t   O n   -   F i r s t   M i c r o   F i n a n c e   B a n k   L t d   -   C l i f t o n   B r a n c h < / N a m e >  
             < A J E > 0 < / A J E >  
             < A d j u s t > - 1 < / A d j u s t >  
             < R J E > 0 < / R J E >  
             < P r e l i m i n a r y > - 1 < / P r e l i m i n a r y >  
             < F i n a l > - 1 < / F i n a l >  
         < / A c c o u n t S t o r a g e >  
         < A c c o u n t S t o r a g e >  
             < A c c o u n t B a l a n c e s >  
                 < A c c o u n t B a l a n c e >  
                     < F i e l d N a m e > P r i o r P e r i o d 1 B a l a n c e < / F i e l d N a m e >  
                     < B a l a n c e > - 2 3 < / 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 3 1 1 3 8 4 9 3 0 9 4 0 0 0 0 0 1 8 8 < / I D >  
             < T a r g e t A c c o u n t I D > 3 1 1 3 8 4 9 3 0 9 4 0 0 0 0 0 3 1 1 < / T a r g e t A c c o u n t I D >  
             < C h a r t I D > 3 1 1 3 8 4 9 3 0 9 4 0 0 0 0 0 0 0 6 < / C h a r t I D >  
             < I s L i n k e d > f a l s e < / I s L i n k e d >  
             < N u m b e r > 0 4 0 2 0 0 1 0 0 0 9 6 < / N u m b e r >  
             < N a m e > P r o f i t   O n   -   N a t i o n a l   B a n k   O f   P a k i s t a n   -   M a i n   B r a n c h < / N a m e >  
             < A J E > 0 < / A J E >  
             < A d j u s t > - 7 1 < / A d j u s t >  
             < R J E > 0 < / R J E >  
             < P r e l i m i n a r y > - 7 1 < / P r e l i m i n a r y >  
             < F i n a l > - 7 1 < / F i n a l >  
         < / A c c o u n t S t o r a g e >  
         < A c c o u n t S t o r a g e >  
             < A c c o u n t B a l a n c e s >  
                 < A c c o u n t B a l a n c e >  
                     < F i e l d N a m e > P r i o r P e r i o d 1 B a l a n c e < / F i e l d N a m e >  
                     < B a l a n c e > - 4 4 3 0 9 < / B a l a n c e >  
                 < / A c c o u n t B a l a n c e >  
                 < A c c o u n t B a l a n c e >  
                     < F i e l d N a m e > P r i o r P e r i o d 2 B a l a n c e < / F i e l d N a m e >  
                     < B a l a n c e > - 1 1 3 6 7 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 3 1 1 3 8 4 9 3 0 9 4 0 0 0 0 0 1 8 9 < / I D >  
             < T a r g e t A c c o u n t I D > 3 1 1 3 8 4 9 3 0 9 4 0 0 0 0 0 3 1 1 < / T a r g e t A c c o u n t I D >  
             < C h a r t I D > 3 1 1 3 8 4 9 3 0 9 4 0 0 0 0 0 0 0 6 < / C h a r t I D >  
             < I s L i n k e d > f a l s e < / I s L i n k e d >  
             < N u m b e r > 0 4 0 2 0 0 1 0 0 0 9 9 < / N u m b e r >  
             < N a m e > P r o f i t   O n   -   S i l k   B a n k   L i m i t e d   -   M a i n   B r a n c h < / N a m e >  
             < A J E > 0 < / A J E >  
             < A d j u s t > - 1 5 1 5 6 < / A d j u s t >  
             < R J E > 0 < / R J E >  
             < P r e l i m i n a r y > - 1 5 1 5 6 < / P r e l i m i n a r y >  
             < F i n a l > - 1 5 1 5 6 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 3 4 1 8 0 2 8 0 3 4 4 0 0 0 0 1 0 6 2 < / I D >  
             < T a r g e t A c c o u n t I D > 3 1 1 3 8 4 9 3 0 9 4 0 0 0 0 0 3 1 1 < / T a r g e t A c c o u n t I D >  
             < C h a r t I D > 3 1 1 3 8 4 9 3 0 9 4 0 0 0 0 0 0 0 6 < / C h a r t I D >  
             < I s L i n k e d > f a l s e < / I s L i n k e d >  
             < N u m b e r > 0 4 0 2 0 0 1 0 0 1 1 0 < / N u m b e r >  
             < N a m e > P r o f i t   O n   -   F a y s a l   B a n k   L i m i t e d   L a h o r e   B r a n c h < / 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 3 4 1 8 0 2 8 0 3 4 4 0 0 0 0 1 0 6 3 < / I D >  
             < T a r g e t A c c o u n t I D > 3 1 1 3 8 4 9 3 0 9 4 0 0 0 0 0 3 1 1 < / T a r g e t A c c o u n t I D >  
             < C h a r t I D > 3 1 1 3 8 4 9 3 0 9 4 0 0 0 0 0 0 0 6 < / C h a r t I D >  
             < I s L i n k e d > f a l s e < / I s L i n k e d >  
             < N u m b e r > 0 4 0 2 0 0 1 0 0 1 1 1 < / N u m b e r >  
             < N a m e > P r o f i t   o n   -   A l l i e d   B a n k   L i m i t e d   -   K S E   B r a n c h < / 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 3 4 1 8 0 2 8 0 3 4 4 0 0 0 0 1 0 6 4 < / I D >  
             < T a r g e t A c c o u n t I D > 3 1 1 3 8 4 9 3 0 9 4 0 0 0 0 0 3 1 1 < / T a r g e t A c c o u n t I D >  
             < C h a r t I D > 3 1 1 3 8 4 9 3 0 9 4 0 0 0 0 0 0 0 6 < / C h a r t I D >  
             < I s L i n k e d > f a l s e < / I s L i n k e d >  
             < N u m b e r > 0 4 0 2 0 0 1 0 0 1 1 2 < / N u m b e r >  
             < N a m e > P r o f i t   O n   -   M E E Z A N   B A N K   L I M I T E D   -   S H A H E E N   C O M P   B R A N C H < / 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 3 1 1 3 8 4 9 3 0 9 4 0 0 0 0 0 1 5 8 < / I D >  
             < T a r g e t A c c o u n t I D > 3 1 1 3 8 4 9 3 0 9 4 0 0 0 0 0 3 1 2 < / T a r g e t A c c o u n t I D >  
             < C h a r t I D > 3 1 1 3 8 4 9 3 0 9 4 0 0 0 0 0 0 0 6 < / C h a r t I D >  
             < I s L i n k e d > f a l s e < / I s L i n k e d >  
             < N u m b e r > 0 4 0 1 0 1 2 0 0 0 0 1 < / N u m b e r >  
             < N a m e > U R G   /   L O S S   H F T   E Q U I T Y   I N V E S T M E N T S < / N a m e >  
             < A J E > 0 < / A J E >  
             < A d j u s t > 0 < / A d j u s t >  
             < R J E > 0 < / R J E >  
             < P r e l i m i n a r y > 0 < / P r e l i m i n a r y >  
             < F i n a l > 0 < / F i n a l >  
         < / A c c o u n t S t o r a g e >  
         < A c c o u n t S t o r a g e >  
             < A c c o u n t B a l a n c e s >  
                 < A c c o u n t B a l a n c e >  
                     < F i e l d N a m e > P r i o r P e r i o d 1 B a l a n c e < / F i e l d N a m e >  
                     < B a l a n c e > 8 3 8 3 < / B a l a n c e >  
                 < / A c c o u n t B a l a n c e >  
                 < A c c o u n t B a l a n c e >  
                     < F i e l d N a m e > P r i o r P e r i o d 2 B a l a n c e < / F i e l d N a m e >  
                     < B a l a n c e > 2 2 1 7 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 3 1 1 3 8 4 9 3 0 9 4 0 0 0 0 0 1 6 0 < / I D >  
             < T a r g e t A c c o u n t I D > 3 1 1 3 8 4 9 3 0 9 4 0 0 0 0 0 3 1 2 < / T a r g e t A c c o u n t I D >  
             < C h a r t I D > 3 1 1 3 8 4 9 3 0 9 4 0 0 0 0 0 0 0 6 < / C h a r t I D >  
             < I s L i n k e d > f a l s e < / I s L i n k e d >  
             < N u m b e r > 0 4 0 1 0 1 4 0 0 0 0 1 < / N u m b e r >  
             < N a m e > U R G   /   L O S S   I N V E S T M E N T   I N   D E B T   S E C U R I T I E S < / N a m e >  
             < A J E > 0 < / A J E >  
             < A d j u s t > 7 0 7 3 < / A d j u s t >  
             < R J E > 0 < / R J E >  
             < P r e l i m i n a r y > 7 0 7 3 < / P r e l i m i n a r y >  
             < F i n a l > 7 0 7 3 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 3 1 1 3 8 4 9 3 0 9 4 0 0 0 0 0 1 6 1 < / I D >  
             < T a r g e t A c c o u n t I D > 3 1 1 3 8 4 9 3 0 9 4 0 0 0 0 0 3 1 2 < / T a r g e t A c c o u n t I D >  
             < C h a r t I D > 3 1 1 3 8 4 9 3 0 9 4 0 0 0 0 0 0 0 6 < / C h a r t I D >  
             < I s L i n k e d > f a l s e < / I s L i n k e d >  
             < N u m b e r > 0 4 0 1 0 1 5 0 0 0 0 1 < / N u m b e r >  
             < N a m e > U R G / L O S S   I N V E S T M E N T S   I N   P I B S 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 3 1 1 3 8 4 9 3 0 9 4 0 0 0 0 0 1 6 2 < / I D >  
             < T a r g e t A c c o u n t I D > 3 1 1 3 8 4 9 3 0 9 4 0 0 0 0 0 3 1 2 < / T a r g e t A c c o u n t I D >  
             < C h a r t I D > 3 1 1 3 8 4 9 3 0 9 4 0 0 0 0 0 0 0 6 < / C h a r t I D >  
             < I s L i n k e d > f a l s e < / I s L i n k e d >  
             < N u m b e r > 0 4 0 1 0 1 6 0 0 0 0 1 < / N u m b e r >  
             < N a m e > U R G / L O S S   I N V E S T M E N T S   I N   T B I L L S < / N a m e >  
             < A J E > 0 < / A J E >  
             < A d j u s t > - 5 0 6 < / A d j u s t >  
             < R J E > 0 < / R J E >  
             < P r e l i m i n a r y > - 5 0 6 < / P r e l i m i n a r y >  
             < F i n a l > - 5 0 6 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 3 1 1 3 8 4 9 3 0 9 4 0 0 0 0 0 1 6 3 < / I D >  
             < T a r g e t A c c o u n t I D > 3 1 1 3 8 4 9 3 0 9 4 0 0 0 0 0 3 1 2 < / T a r g e t A c c o u n t I D >  
             < C h a r t I D > 3 1 1 3 8 4 9 3 0 9 4 0 0 0 0 0 0 0 6 < / C h a r t I D >  
             < I s L i n k e d > f a l s e < / I s L i n k e d >  
             < N u m b e r > 0 4 0 1 0 2 0 0 0 0 0 1 < / N u m b e r >  
             < N a m e > U R G   /   L O S S   I N V E S T M E N T   I N   P I B   F R B   - H F T 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 - 2 1 6 4 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 3 1 1 3 8 4 9 3 0 9 4 0 0 0 0 0 1 5 7 < / I D >  
             < T a r g e t A c c o u n t I D > 3 1 1 3 8 4 9 3 0 9 4 0 0 0 0 0 3 1 3 < / T a r g e t A c c o u n t I D >  
             < C h a r t I D > 3 1 1 3 8 4 9 3 0 9 4 0 0 0 0 0 0 0 6 < / C h a r t I D >  
             < I s L i n k e d > f a l s e < / I s L i n k e d >  
             < N u m b e r > 0 4 0 1 0 1 0 0 0 0 0 1 < / N u m b e r >  
             < N a m e > D I V I D E N D   I N C O M E   O N   E Q U I T Y   S E C U R I T I E S 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 - 7 2 5 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 3 1 1 3 8 4 9 3 0 9 4 0 0 0 0 0 2 0 4 < / I D >  
             < T a r g e t A c c o u n t I D > 3 1 1 3 8 4 9 3 0 9 4 0 0 0 0 0 3 1 4 < / T a r g e t A c c o u n t I D >  
             < C h a r t I D > 3 1 1 3 8 4 9 3 0 9 4 0 0 0 0 0 0 0 6 < / C h a r t I D >  
             < I s L i n k e d > f a l s e < / I s L i n k e d >  
             < N u m b e r > 0 4 0 3 0 0 3 0 0 0 0 1 < / N u m b e r >  
             < N a m e > O T H E R   I N C O M E < / 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 3 1 1 3 8 4 9 3 0 9 4 0 0 0 0 0 8 2 9 < / I D >  
             < T a r g e t A c c o u n t I D > 3 1 1 3 8 4 9 3 0 9 4 0 0 0 0 0 3 1 4 < / T a r g e t A c c o u n t I D >  
             < C h a r t I D > 3 1 1 3 8 4 9 3 0 9 4 0 0 0 0 0 0 0 6 < / C h a r t I D >  
             < I s L i n k e d > f a l s e < / I s L i n k e d >  
             < N u m b e r > 0 4 0 7 0 0 1 0 0 1 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 3 1 1 3 8 4 9 3 0 9 4 0 0 0 0 0 2 2 0 < / I D >  
             < T a r g e t A c c o u n t I D > 3 1 1 3 8 4 9 3 0 9 4 0 0 0 0 0 3 1 4 < / T a r g e t A c c o u n t I D >  
             < C h a r t I D > 3 1 1 3 8 4 9 3 0 9 4 0 0 0 0 0 0 0 6 < / C h a r t I D >  
             < I s L i n k e d > f a l s e < / I s L i n k e d >  
             < N u m b e r > 0 5 0 4 0 0 1 0 0 0 0 1 < / N u m b e r >  
             < N a m e > P R O V I S I O N   A G A I N S T   D E B T   S E C U R I T I E S     P R I N C I P A L   A M O U N T < / N a m e >  
             < A J E > 0 < / A J E >  
             < A d j u s t > 0 < / A d j u s t >  
             < R J E > 0 < / R J E >  
             < P r e l i m i n a r y > 0 < / P r e l i m i n a r y >  
             < F i n a l > 0 < / F i n a l >  
         < / A c c o u n t S t o r a g e >  
         < A c c o u n t S t o r a g e >  
             < A c c o u n t B a l a n c e s >  
                 < A c c o u n t B a l a n c e >  
                     < F i e l d N a m e > P r i o r P e r i o d 1 B a l a n c e < / F i e l d N a m e >  
                     < B a l a n c e > - 4 8 2 < / B a l a n c e >  
                 < / A c c o u n t B a l a n c e >  
                 < A c c o u n t B a l a n c e >  
                     < F i e l d N a m e > P r i o r P e r i o d 2 B a l a n c e < / F i e l d N a m e >  
                     < B a l a n c e > - 9 5 5 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 3 1 1 3 8 4 9 3 0 9 4 0 0 0 0 0 2 2 1 < / I D >  
             < T a r g e t A c c o u n t I D > 3 1 1 3 8 4 9 3 0 9 4 0 0 0 0 0 3 1 4 < / T a r g e t A c c o u n t I D >  
             < C h a r t I D > 3 1 1 3 8 4 9 3 0 9 4 0 0 0 0 0 0 0 6 < / C h a r t I D >  
             < I s L i n k e d > f a l s e < / I s L i n k e d >  
             < N u m b e r > 0 5 0 4 0 0 2 0 0 0 0 1 < / N u m b e r >  
             < N a m e > P R O V I S I O N   A G A I N S T   D E B T   S E C U R I T I E S     A C C R U E D   M A R K U P < / N a m e >  
             < A J E > 0 < / A J E >  
             < A d j u s t > 0 < / A d j u s t >  
             < R J E > 0 < / R J E >  
             < P r e l i m i n a r y > 0 < / P r e l i m i n a r y >  
             < F i n a l > 0 < / F i n a l >  
         < / A c c o u n t S t o r a g e >  
         < A c c o u n t S t o r a g e >  
             < A c c o u n t B a l a n c e s >  
                 < A c c o u n t B a l a n c e >  
                     < F i e l d N a m e > P r i o r P e r i o d 1 B a l a n c e < / F i e l d N a m e >  
                     < B a l a n c e > 1 4 6 2 5 < / B a l a n c e >  
                 < / A c c o u n t B a l a n c e >  
                 < A c c o u n t B a l a n c e >  
                     < F i e l d N a m e > P r i o r P e r i o d 2 B a l a n c e < / F i e l d N a m e >  
                     < B a l a n c e > 2 0 7 2 2 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 3 1 1 3 8 4 9 3 0 9 4 0 0 0 0 0 2 0 7 < / I D >  
             < T a r g e t A c c o u n t I D > 3 1 1 3 8 4 9 3 0 9 4 0 0 0 0 0 3 1 5 < / T a r g e t A c c o u n t I D >  
             < C h a r t I D > 3 1 1 3 8 4 9 3 0 9 4 0 0 0 0 0 0 0 6 < / C h a r t I D >  
             < I s L i n k e d > f a l s e < / I s L i n k e d >  
             < N u m b e r > 0 5 0 1 0 0 1 0 0 0 0 1 < / N u m b e r >  
             < N a m e > M A N A G E M E N T   C O M P A N Y   R E M U N E R A T I O N < / N a m e >  
             < A J E > 0 < / A J E >  
             < A d j u s t > 2 7 0 3 1 < / A d j u s t >  
             < R J E > 0 < / R J E >  
             < P r e l i m i n a r y > 2 7 0 3 1 < / P r e l i m i n a r y >  
             < F i n a l > 2 7 0 3 1 < / F i n a l >  
         < / A c c o u n t S t o r a g e >  
         < A c c o u n t S t o r a g e >  
             < A c c o u n t B a l a n c e s >  
                 < A c c o u n t B a l a n c e >  
                     < F i e l d N a m e > P r i o r P e r i o d 1 B a l a n c e < / F i e l d N a m e >  
                     < B a l a n c e > 1 9 0 1 < / B a l a n c e >  
                 < / A c c o u n t B a l a n c e >  
                 < A c c o u n t B a l a n c e >  
                     < F i e l d N a m e > P r i o r P e r i o d 2 B a l a n c e < / F i e l d N a m e >  
                     < B a l a n c e > 2 6 9 4 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 3 1 1 3 8 4 9 3 0 9 4 0 0 0 0 0 2 0 8 < / I D >  
             < T a r g e t A c c o u n t I D > 3 1 1 3 8 4 9 3 0 9 4 0 0 0 0 0 3 1 5 < / T a r g e t A c c o u n t I D >  
             < C h a r t I D > 3 1 1 3 8 4 9 3 0 9 4 0 0 0 0 0 0 0 6 < / C h a r t I D >  
             < I s L i n k e d > f a l s e < / I s L i n k e d >  
             < N u m b e r > 0 5 0 1 0 0 1 0 0 0 0 2 < / N u m b e r >  
             < N a m e > S A L E S   T A X   O N   M A N A G E M E N T   C O M P A N Y   R E M U N E R A T I O N < / N a m e >  
             < A J E > 0 < / A J E >  
             < A d j u s t > 3 5 1 4 < / A d j u s t >  
             < R J E > 0 < / R J E >  
             < P r e l i m i n a r y > 3 5 1 4 < / P r e l i m i n a r y >  
             < F i n a l > 3 5 1 4 < / 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 3 1 1 3 8 4 9 3 0 9 4 0 0 0 0 0 2 0 9 < / I D >  
             < T a r g e t A c c o u n t I D > 3 1 1 3 8 4 9 3 0 9 4 0 0 0 0 0 3 1 5 < / T a r g e t A c c o u n t I D >  
             < C h a r t I D > 3 1 1 3 8 4 9 3 0 9 4 0 0 0 0 0 0 0 6 < / C h a r t I D >  
             < I s L i n k e d > f a l s e < / I s L i n k e d >  
             < N u m b e r > 0 5 0 1 0 0 1 0 0 0 0 3 < / N u m b e r >  
             < N a m e > F E D   E X P E N S E   O N   M G M   F E E < / N a m e >  
             < A J E > 0 < / A J E >  
             < A d j u s t > 0 < / A d j u s t >  
             < R J E > 0 < / R J E >  
             < P r e l i m i n a r y > 0 < / P r e l i m i n a r y >  
             < F i n a l > 0 < / F i n a l >  
         < / A c c o u n t S t o r a g e >  
         < A c c o u n t S t o r a g e >  
             < A c c o u n t B a l a n c e s >  
                 < A c c o u n t B a l a n c e >  
                     < F i e l d N a m e > P r i o r P e r i o d 1 B a l a n c e < / F i e l d N a m e >  
                     < B a l a n c e > 2 1 2 1 < / B a l a n c e >  
                 < / A c c o u n t B a l a n c e >  
                 < A c c o u n t B a l a n c e >  
                     < F i e l d N a m e > P r i o r P e r i o d 2 B a l a n c e < / F i e l d N a m e >  
                     < B a l a n c e > 2 1 2 4 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 3 1 1 3 8 4 9 3 0 9 4 0 0 0 0 0 2 1 0 < / I D >  
             < T a r g e t A c c o u n t I D > 3 1 1 3 8 4 9 3 0 9 4 0 0 0 0 0 3 1 6 < / T a r g e t A c c o u n t I D >  
             < C h a r t I D > 3 1 1 3 8 4 9 3 0 9 4 0 0 0 0 0 0 0 6 < / C h a r t I D >  
             < I s L i n k e d > f a l s e < / I s L i n k e d >  
             < N u m b e r > 0 5 0 1 0 0 2 0 0 0 0 1 < / N u m b e r >  
             < N a m e > T R U S T E E   R E M U N E R A T I O N < / N a m e >  
             < A J E > 0 < / A J E >  
             < A d j u s t > 1 2 2 7 < / A d j u s t >  
             < R J E > 0 < / R J E >  
             < P r e l i m i n a r y > 1 2 2 7 < / P r e l i m i n a r y >  
             < F i n a l > 1 2 2 7 < / F i n a l >  
         < / A c c o u n t S t o r a g e >  
         < A c c o u n t S t o r a g e >  
             < A c c o u n t B a l a n c e s >  
                 < A c c o u n t B a l a n c e >  
                     < F i e l d N a m e > P r i o r P e r i o d 1 B a l a n c e < / F i e l d N a m e >  
                     < B a l a n c e > 1 1 2 1 < / B a l a n c e >  
                 < / A c c o u n t B a l a n c e >  
                 < A c c o u n t B a l a n c e >  
                     < F i e l d N a m e > P r i o r P e r i o d 2 B a l a n c e < / F i e l d N a m e >  
                     < B a l a n c e > 1 1 2 4 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 3 1 1 3 8 4 9 3 0 9 4 0 0 0 0 0 2 1 2 < / I D >  
             < T a r g e t A c c o u n t I D > 3 1 1 3 8 4 9 3 0 9 4 0 0 0 0 0 3 1 7 < / T a r g e t A c c o u n t I D >  
             < C h a r t I D > 3 1 1 3 8 4 9 3 0 9 4 0 0 0 0 0 0 0 6 < / C h a r t I D >  
             < I s L i n k e d > f a l s e < / I s L i n k e d >  
             < N u m b e r > 0 5 0 1 0 0 3 0 0 0 0 1 < / N u m b e r >  
             < N a m e > S E C P   A N N U A L   F E E < / N a m e >  
             < A J E > 0 < / A J E >  
             < A d j u s t > 3 2 7 < / A d j u s t >  
             < R J E > 0 < / R J E >  
             < P r e l i m i n a r y > 3 2 7 < / P r e l i m i n a r y >  
             < F i n a l > 3 2 7 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 6 8 6 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 3 1 1 3 8 4 9 3 0 9 4 0 0 0 0 0 2 1 5 < / I D >  
             < T a r g e t A c c o u n t I D > 3 1 1 3 8 4 9 3 0 9 4 0 0 0 0 0 3 1 8 < / T a r g e t A c c o u n t I D >  
             < C h a r t I D > 3 1 1 3 8 4 9 3 0 9 4 0 0 0 0 0 0 0 6 < / C h a r t I D >  
             < I s L i n k e d > f a l s e < / I s L i n k e d >  
             < N u m b e r > 0 5 0 2 0 0 1 0 0 0 0 1 < / N u m b e r >  
             < N a m e > B R O K E R A G E   E X P E N S E   O N   E Q U I T Y   I N V E S T M E N T < / N a m e >  
             < A J E > 0 < / A J E >  
             < A d j u s t > 0 < / A d j u s t >  
             < R J E > 0 < / R J E >  
             < P r e l i m i n a r y > 0 < / P r e l i m i n a r y >  
             < F i n a l > 0 < / F i n a l >  
         < / A c c o u n t S t o r a g e >  
         < A c c o u n t S t o r a g e >  
             < A c c o u n t B a l a n c e s >  
                 < A c c o u n t B a l a n c e >  
                     < F i e l d N a m e > P r i o r P e r i o d 1 B a l a n c e < / F i e l d N a m e >  
                     < B a l a n c e > 8 1 < / B a l a n c e >  
                 < / A c c o u n t B a l a n c e >  
                 < A c c o u n t B a l a n c e >  
                     < F i e l d N a m e > P r i o r P e r i o d 2 B a l a n c e < / F i e l d N a m e >  
                     < B a l a n c e > 1 5 4 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 3 1 1 3 8 4 9 3 0 9 4 0 0 0 0 0 2 1 6 < / I D >  
             < T a r g e t A c c o u n t I D > 3 1 1 3 8 4 9 3 0 9 4 0 0 0 0 0 3 1 8 < / T a r g e t A c c o u n t I D >  
             < C h a r t I D > 3 1 1 3 8 4 9 3 0 9 4 0 0 0 0 0 0 0 6 < / C h a r t I D >  
             < I s L i n k e d > f a l s e < / I s L i n k e d >  
             < N u m b e r > 0 5 0 2 0 0 1 0 0 0 0 2 < / N u m b e r >  
             < N a m e > B R O K E R A G E   E X P E N S E     M O N E Y   M A R K E T   T R A N S A C T I O N S < / N a m e >  
             < A J E > 0 < / A J E >  
             < A d j u s t > 7 1 9 < / A d j u s t >  
             < R J E > 0 < / R J E >  
             < P r e l i m i n a r y > 7 1 9 < / P r e l i m i n a r y >  
             < F i n a l > 7 1 9 < / F i n a l >  
         < / A c c o u n t S t o r a g e >  
         < A c c o u n t S t o r a g e >  
             < A c c o u n t B a l a n c e s >  
                 < A c c o u n t B a l a n c e >  
                     < F i e l d N a m e > P r i o r P e r i o d 1 B a l a n c e < / F i e l d N a m e >  
                     < B a l a n c e > 3 1 < / B a l a n c e >  
                 < / A c c o u n t B a l a n c e >  
                 < A c c o u n t B a l a n c e >  
                     < F i e l d N a m e > P r i o r P e r i o d 2 B a l a n c e < / F i e l d N a m e >  
                     < B a l a n c e > 3 1 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 3 1 1 3 8 4 9 3 0 9 4 0 0 0 0 0 2 3 7 < / I D >  
             < T a r g e t A c c o u n t I D > 3 1 1 3 8 4 9 3 0 9 4 0 0 0 0 0 3 2 1 < / T a r g e t A c c o u n t I D >  
             < C h a r t I D > 3 1 1 3 8 4 9 3 0 9 4 0 0 0 0 0 0 0 6 < / C h a r t I D >  
             < I s L i n k e d > f a l s e < / I s L i n k e d >  
             < N u m b e r > 0 5 1 0 0 0 1 0 0 0 0 1 < / N u m b e r >  
             < N a m e > B A N K   C H A R G E S   -   A L L I E D   B A N K   L I M I T E D < / N a m e >  
             < A J E > 0 < / A J E >  
             < A d j u s t > 7 8 < / A d j u s t >  
             < R J E > 0 < / R J E >  
             < P r e l i m i n a r y > 7 8 < / P r e l i m i n a r y >  
             < F i n a l > 7 8 < / 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 3 1 1 3 8 4 9 3 0 9 4 0 0 0 0 0 2 3 8 < / I D >  
             < T a r g e t A c c o u n t I D > 3 1 1 3 8 4 9 3 0 9 4 0 0 0 0 0 3 2 1 < / T a r g e t A c c o u n t I D >  
             < C h a r t I D > 3 1 1 3 8 4 9 3 0 9 4 0 0 0 0 0 0 0 6 < / C h a r t I D >  
             < I s L i n k e d > f a l s e < / I s L i n k e d >  
             < N u m b e r > 0 5 1 0 0 0 1 0 0 0 0 3 < / N u m b e r >  
             < N a m e > B A N K   C H A R G E S   -   B A N K   A L   F A L A H 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 3 1 1 3 8 4 9 3 0 9 4 0 0 0 0 0 2 3 9 < / I D >  
             < T a r g e t A c c o u n t I D > 3 1 1 3 8 4 9 3 0 9 4 0 0 0 0 0 3 2 1 < / T a r g e t A c c o u n t I D >  
             < C h a r t I D > 3 1 1 3 8 4 9 3 0 9 4 0 0 0 0 0 0 0 6 < / C h a r t I D >  
             < I s L i n k e d > f a l s e < / I s L i n k e d >  
             < N u m b e r > 0 5 1 0 0 0 1 0 0 0 0 7 < / N u m b e r >  
             < N a m e > B A N K   C H A R G E S   -   F A Y S A L   B A N K   L I M I T E D < / N a m e >  
             < A J E > 0 < / A J E >  
             < A d j u s t > 1 < / A d j u s t >  
             < R J E > 0 < / R J E >  
             < P r e l i m i n a r y > 1 < / P r e l i m i n a r y >  
             < F i n a l > 1 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 3 1 1 3 8 4 9 3 0 9 4 0 0 0 0 0 2 4 0 < / I D >  
             < T a r g e t A c c o u n t I D > 3 1 1 3 8 4 9 3 0 9 4 0 0 0 0 0 3 2 1 < / T a r g e t A c c o u n t I D >  
             < C h a r t I D > 3 1 1 3 8 4 9 3 0 9 4 0 0 0 0 0 0 0 6 < / C h a r t I D >  
             < I s L i n k e d > f a l s e < / I s L i n k e d >  
             < N u m b e r > 0 5 1 0 0 0 1 0 0 0 0 8 < / N u m b e r >  
             < N a m e > B A N K   C H A R G E S   -   H A B I B   B A N K   L I M I T E D < / N a m e >  
             < A J E > 0 < / A J E >  
             < A d j u s t > 2 < / A d j u s t >  
             < R J E > 0 < / R J E >  
             < P r e l i m i n a r y > 2 < / P r e l i m i n a r y >  
             < F i n a l > 2 < / F i n a l >  
         < / A c c o u n t S t o r a g e >  
         < A c c o u n t S t o r a g e >  
             < A c c o u n t B a l a n c e s >  
                 < A c c o u n t B a l a n c e >  
                     < F i e l d N a m e > P r i o r P e r i o d 1 B a l a n c e < / F i e l d N a m e >  
                     < B a l a n c e > 6 6 < / B a l a n c e >  
                 < / A c c o u n t B a l a n c e >  
                 < A c c o u n t B a l a n c e >  
                     < F i e l d N a m e > P r i o r P e r i o d 2 B a l a n c e < / F i e l d N a m e >  
                     < B a l a n c e > 7 9 < / 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 3 1 1 3 8 4 9 3 0 9 4 0 0 0 0 0 2 4 1 < / I D >  
             < T a r g e t A c c o u n t I D > 3 1 1 3 8 4 9 3 0 9 4 0 0 0 0 0 3 2 1 < / T a r g e t A c c o u n t I D >  
             < C h a r t I D > 3 1 1 3 8 4 9 3 0 9 4 0 0 0 0 0 0 0 6 < / C h a r t I D >  
             < I s L i n k e d > f a l s e < / I s L i n k e d >  
             < N u m b e r > 0 5 1 0 0 0 1 0 0 0 0 9 < / N u m b e r >  
             < N a m e > B A N K   C H A R G E S   -   H A B I B   M E T R O P O L I T A N   B A N K   L I M I T E D < / N a m e >  
             < A J E > 0 < / A J E >  
             < A d j u s t > 2 1 3 < / A d j u s t >  
             < R J E > 0 < / R J E >  
             < P r e l i m i n a r y > 2 1 3 < / P r e l i m i n a r y >  
             < F i n a l > 2 1 3 < / F i n a l >  
         < / A c c o u n t S t o r a g e >  
         < A c c o u n t S t o r a g e >  
             < A c c o u n t B a l a n c e s >  
                 < A c c o u n t B a l a n c e >  
                     < F i e l d N a m e > P r i o r P e r i o d 1 B a l a n c e < / F i e l d N a m e >  
                     < B a l a n c e > 3 5 < / B a l a n c e >  
                 < / A c c o u n t B a l a n c e >  
                 < A c c o u n t B a l a n c e >  
                     < F i e l d N a m e > P r i o r P e r i o d 2 B a l a n c e < / F i e l d N a m e >  
                     < B a l a n c e > 2 0 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 3 1 1 3 8 4 9 3 0 9 4 0 0 0 0 0 2 4 2 < / I D >  
             < T a r g e t A c c o u n t I D > 3 1 1 3 8 4 9 3 0 9 4 0 0 0 0 0 3 2 1 < / T a r g e t A c c o u n t I D >  
             < C h a r t I D > 3 1 1 3 8 4 9 3 0 9 4 0 0 0 0 0 0 0 6 < / C h a r t I D >  
             < I s L i n k e d > f a l s e < / I s L i n k e d >  
             < N u m b e r > 0 5 1 0 0 0 1 0 0 0 1 0 < / N u m b e r >  
             < N a m e > B A N K   C H A R G E S   -   M C B   B A N K   L I M I T E D < / N a m e >  
             < A J E > 0 < / A J E >  
             < A d j u s t > 3 7 < / A d j u s t >  
             < R J E > 0 < / R J E >  
             < P r e l i m i n a r y > 3 7 < / P r e l i m i n a r y >  
             < F i n a l > 3 7 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 3 1 1 3 8 4 9 3 0 9 4 0 0 0 0 0 2 4 3 < / I D >  
             < T a r g e t A c c o u n t I D > 3 1 1 3 8 4 9 3 0 9 4 0 0 0 0 0 3 2 1 < / T a r g e t A c c o u n t I D >  
             < C h a r t I D > 3 1 1 3 8 4 9 3 0 9 4 0 0 0 0 0 0 0 6 < / C h a r t I D >  
             < I s L i n k e d > f a l s e < / I s L i n k e d >  
             < N u m b e r > 0 5 1 0 0 0 1 0 0 0 1 2 < / N u m b e r >  
             < N a m e > B A N K   C H A R G E S   -   N A T I O N A L 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 3 1 1 3 8 4 9 3 0 9 4 0 0 0 0 0 2 4 4 < / I D >  
             < T a r g e t A c c o u n t I D > 3 1 1 3 8 4 9 3 0 9 4 0 0 0 0 0 3 2 1 < / T a r g e t A c c o u n t I D >  
             < C h a r t I D > 3 1 1 3 8 4 9 3 0 9 4 0 0 0 0 0 0 0 6 < / C h a r t I D >  
             < I s L i n k e d > f a l s e < / I s L i n k e d >  
             < N u m b e r > 0 5 1 0 0 0 1 0 0 0 1 3 < / N u m b e r >  
             < N a m e > B A N K   C H A R G E S   -   N I B 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 3 1 1 3 8 4 9 3 0 9 4 0 0 0 0 0 2 4 5 < / I D >  
             < T a r g e t A c c o u n t I D > 3 1 1 3 8 4 9 3 0 9 4 0 0 0 0 0 3 2 1 < / T a r g e t A c c o u n t I D >  
             < C h a r t I D > 3 1 1 3 8 4 9 3 0 9 4 0 0 0 0 0 0 0 6 < / C h a r t I D >  
             < I s L i n k e d > f a l s e < / I s L i n k e d >  
             < N u m b e r > 0 5 1 0 0 0 1 0 0 0 1 6 < / N u m b e r >  
             < N a m e > B A N K   C H A R G E S   -   U N I T E D   B A N K   L I M I T E D < / N a m e >  
             < A J E > 0 < / A J E >  
             < A d j u s t > 0 < / A d j u s t >  
             < R J E > 0 < / R J E >  
             < P r e l i m i n a r y > 0 < / P r e l i m i n a r y >  
             < F i n a l > 0 < / 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 3 1 1 3 8 4 9 3 0 9 4 0 0 0 0 0 2 4 6 < / I D >  
             < T a r g e t A c c o u n t I D > 3 1 1 3 8 4 9 3 0 9 4 0 0 0 0 0 3 2 1 < / T a r g e t A c c o u n t I D >  
             < C h a r t I D > 3 1 1 3 8 4 9 3 0 9 4 0 0 0 0 0 0 0 6 < / C h a r t I D >  
             < I s L i n k e d > f a l s e < / I s L i n k e d >  
             < N u m b e r > 0 5 1 0 0 0 1 0 0 0 1 7 < / N u m b e r >  
             < N a m e > B a n k   C h a r g e s   -   B a n k   A l - H a b i b   L i m i t e d < / N a m e >  
             < A J E > 0 < / A J E >  
             < A d j u s t > 1 2 < / A d j u s t >  
             < R J E > 0 < / R J E >  
             < P r e l i m i n a r y > 1 2 < / P r e l i m i n a r y >  
             < F i n a l > 1 2 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 3 1 1 3 8 4 9 3 0 9 4 0 0 0 0 0 2 4 7 < / I D >  
             < T a r g e t A c c o u n t I D > 3 1 1 3 8 4 9 3 0 9 4 0 0 0 0 0 3 2 1 < / T a r g e t A c c o u n t I D >  
             < C h a r t I D > 3 1 1 3 8 4 9 3 0 9 4 0 0 0 0 0 0 0 6 < / C h a r t I D >  
             < I s L i n k e d > f a l s e < / I s L i n k e d >  
             < N u m b e r > 0 5 1 0 0 0 1 0 0 0 2 0 < / N u m b e r >  
             < N a m e > B a n k   C h a r g e s   -   Z a r a i   T a r a q i a t i   B a n k   L i m i t e d < / N a m e >  
             < A J E > 0 < / A J E >  
             < A d j u s t > 0 < / A d j u s t >  
             < R J E > 0 < / R J E >  
             < P r e l i m i n a r y > 0 < / P r e l i m i n a r y >  
             < F i n a l > 0 < / F i n a l >  
         < / A c c o u n t S t o r a g e >  
         < A c c o u n t S t o r a g e >  
             < A c c o u n t B a l a n c e s >  
                 < A c c o u n t B a l a n c e >  
                     < F i e l d N a m e > P r i o r P e r i o d 1 B a l a n c e < / F i e l d N a m e >  
                     < B a l a n c e > 2 < / B a l a n c e >  
                 < / A c c o u n t B a l a n c e >  
                 < A c c o u n t B a l a n c e >  
                     < F i e l d N a m e > P r i o r P e r i o d 2 B a l a n c e < / F i e l d N a m e >  
                     < B a l a n c e > 3 2 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 3 1 1 3 8 4 9 3 0 9 4 0 0 0 0 0 2 4 8 < / I D >  
             < T a r g e t A c c o u n t I D > 3 1 1 3 8 4 9 3 0 9 4 0 0 0 0 0 3 2 1 < / T a r g e t A c c o u n t I D >  
             < C h a r t I D > 3 1 1 3 8 4 9 3 0 9 4 0 0 0 0 0 0 0 6 < / C h a r t I D >  
             < I s L i n k e d > f a l s e < / I s L i n k e d >  
             < N u m b e r > 0 5 1 0 0 0 1 0 0 0 2 1 < / N u m b e r >  
             < N a m e > B a n k   C h a r g e s   -   J S   B a n k   L i m i t e d < / N a m e >  
             < A J E > 0 < / A J E >  
             < A d j u s t > 6 < / A d j u s t >  
             < R J E > 0 < / R J E >  
             < P r e l i m i n a r y > 6 < / P r e l i m i n a r y >  
             < F i n a l > 6 < / 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 3 1 1 3 8 4 9 3 0 9 4 0 0 0 0 0 2 4 9 < / I D >  
             < T a r g e t A c c o u n t I D > 3 1 1 3 8 4 9 3 0 9 4 0 0 0 0 0 3 2 1 < / T a r g e t A c c o u n t I D >  
             < C h a r t I D > 3 1 1 3 8 4 9 3 0 9 4 0 0 0 0 0 0 0 6 < / C h a r t I D >  
             < I s L i n k e d > f a l s e < / I s L i n k e d >  
             < N u m b e r > 0 5 1 0 0 0 1 0 0 0 2 2 < / N u m b e r >  
             < N a m e > B a n k   C h a r g e s   -   N r s p 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 3 1 1 3 8 4 9 3 0 9 4 0 0 0 0 0 2 5 0 < / I D >  
             < T a r g e t A c c o u n t I D > 3 1 1 3 8 4 9 3 0 9 4 0 0 0 0 0 3 2 1 < / T a r g e t A c c o u n t I D >  
             < C h a r t I D > 3 1 1 3 8 4 9 3 0 9 4 0 0 0 0 0 0 0 6 < / C h a r t I D >  
             < I s L i n k e d > f a l s e < / I s L i n k e d >  
             < N u m b e r > 0 5 1 0 0 0 1 0 0 0 2 3 < / N u m b e r >  
             < N a m e > B a n k   C h a r g e s   -   M o b i l i n k 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 3 1 1 3 8 4 9 3 0 9 4 0 0 0 0 0 2 5 1 < / I D >  
             < T a r g e t A c c o u n t I D > 3 1 1 3 8 4 9 3 0 9 4 0 0 0 0 0 3 2 1 < / T a r g e t A c c o u n t I D >  
             < C h a r t I D > 3 1 1 3 8 4 9 3 0 9 4 0 0 0 0 0 0 0 6 < / C h a r t I D >  
             < I s L i n k e d > f a l s e < / I s L i n k e d >  
             < N u m b e r > 0 5 1 0 0 0 1 0 0 0 2 4 < / N u m b e r >  
             < N a m e > B a n k   C h a r g e s   -   U 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 3 1 1 3 8 4 9 3 0 9 4 0 0 0 0 0 2 5 2 < / I D >  
             < T a r g e t A c c o u n t I D > 3 1 1 3 8 4 9 3 0 9 4 0 0 0 0 0 3 2 1 < / T a r g e t A c c o u n t I D >  
             < C h a r t I D > 3 1 1 3 8 4 9 3 0 9 4 0 0 0 0 0 0 0 6 < / C h a r t I D >  
             < I s L i n k e d > f a l s e < / I s L i n k e d >  
             < N u m b e r > 0 5 1 0 0 0 1 0 0 0 2 5 < / N u m b e r >  
             < N a m e > B a n k   C h a r g e s   -   K h u s h a l i   M i c r o f i n a n c e   B a n k   L i m i t e d < / N a m e >  
             < A J E > 0 < / A J E >  
             < A d j u s t > 0 < / A d j u s t >  
             < R J E > 0 < / R J E >  
             < P r e l i m i n a r y > 0 < / P r e l i m i n a r y >  
             < F i n a l > 0 < / F i n a l >  
         < / A c c o u n t S t o r a g e >  
         < A c c o u n t S t o r a g e >  
             < A c c o u n t B a l a n c e s >  
                 < A c c o u n t B a l a n c e >  
                     < F i e l d N a m e > P r i o r P e r i o d 1 B a l a n c e < / F i e l d N a m e >  
                     < B a l a n c e > 4 < / 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 3 1 1 3 8 4 9 3 0 9 4 0 0 0 0 0 2 5 3 < / I D >  
             < T a r g e t A c c o u n t I D > 3 1 1 3 8 4 9 3 0 9 4 0 0 0 0 0 3 2 1 < / T a r g e t A c c o u n t I D >  
             < C h a r t I D > 3 1 1 3 8 4 9 3 0 9 4 0 0 0 0 0 0 0 6 < / C h a r t I D >  
             < I s L i n k e d > f a l s e < / I s L i n k e d >  
             < N u m b e r > 0 5 1 0 0 0 1 0 0 0 2 6 < / N u m b e r >  
             < N a m e > B a n k   C h a r g e s   -   T a m e e r   M i c r o f i n a n c e   B a n k 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 3 1 1 3 8 4 9 3 0 9 4 0 0 0 0 0 2 5 4 < / I D >  
             < T a r g e t A c c o u n t I D > 3 1 1 3 8 4 9 3 0 9 4 0 0 0 0 0 3 2 1 < / T a r g e t A c c o u n t I D >  
             < C h a r t I D > 3 1 1 3 8 4 9 3 0 9 4 0 0 0 0 0 0 0 6 < / C h a r t I D >  
             < I s L i n k e d > f a l s e < / I s L i n k e d >  
             < N u m b e r > 0 5 1 0 0 0 1 0 0 0 2 8 < / N u m b e r >  
             < N a m e > B a n k   C h a r g e s   -   F i n c a   M i c r o f i n a n c e   B a n k < / N a m e >  
             < A J E > 0 < / A J E >  
             < A d j u s t > 0 < / A d j u s t >  
             < R J E > 0 < / R J E >  
             < P r e l i m i n a r y > 0 < / P r e l i m i n a r y >  
             < F i n a l > 0 < / F i n a l >  
         < / A c c o u n t S t o r a g e >  
         < A c c o u n t S t o r a g e >  
             < A c c o u n t B a l a n c e s >  
                 < A c c o u n t B a l a n c e >  
                     < F i e l d N a m e > P r i o r P e r i o d 1 B a l a n c e < / F i e l d N a m e >  
                     < B a l a n c e > 1 < / B a l a n c e >  
                 < / A c c o u n t B a l a n c e >  
                 < A c c o u n t B a l a n c e >  
                     < F i e l d N a m e > P r i o r P e r i o d 2 B a l a n c e < / F i e l d N a m e >  
                     < B a l a n c e > 1 < / 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 3 1 1 3 8 4 9 3 0 9 4 0 0 0 0 0 2 5 6 < / I D >  
             < T a r g e t A c c o u n t I D > 3 1 1 3 8 4 9 3 0 9 4 0 0 0 0 0 3 2 1 < / T a r g e t A c c o u n t I D >  
             < C h a r t I D > 3 1 1 3 8 4 9 3 0 9 4 0 0 0 0 0 0 0 6 < / C h a r t I D >  
             < I s L i n k e d > f a l s e < / I s L i n k e d >  
             < N u m b e r > 0 5 1 0 0 0 1 0 0 0 3 0 < / N u m b e r >  
             < N a m e > B a n k   C h a r g e s   -   F i r s t   M i c r o   F i n a n c e   B a n k < / N a m e >  
             < A J E > 0 < / A J E >  
             < A d j u s t > 0 < / A d j u s t >  
             < R J E > 0 < / R J E >  
             < P r e l i m i n a r y > 0 < / P r e l i m i n a r y >  
             < F i n a l > 0 < / F i n a l >  
         < / A c c o u n t S t o r a g e >  
         < A c c o u n t S t o r a g e >  
             < A c c o u n t B a l a n c e s >  
                 < A c c o u n t B a l a n c e >  
                     < F i e l d N a m e > P r i o r P e r i o d 1 B a l a n c e < / F i e l d N a m e >  
                     < B a l a n c e > 6 2 < / B a l a n c e >  
                 < / A c c o u n t B a l a n c e >  
                 < A c c o u n t B a l a n c e >  
                     < F i e l d N a m e > P r i o r P e r i o d 2 B a l a n c e < / F i e l d N a m e >  
                     < B a l a n c e > 3 0 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 3 1 2 2 5 4 7 6 3 1 5 0 0 0 0 0 0 1 4 < / I D >  
             < T a r g e t A c c o u n t I D > 3 1 1 3 8 4 9 3 0 9 4 0 0 0 0 0 3 2 1 < / T a r g e t A c c o u n t I D >  
             < C h a r t I D > 3 1 1 3 8 4 9 3 0 9 4 0 0 0 0 0 0 0 6 < / C h a r t I D >  
             < I s L i n k e d > f a l s e < / I s L i n k e d >  
             < N u m b e r > 0 5 1 0 0 0 1 0 0 0 3 1 < / N u m b e r >  
             < N a m e > B a n k   C h a r g e s   -   S i l k   B a n k   L i m i t e d < / N a m e >  
             < A J E > 0 < / A J E >  
             < A d j u s t > 1 2 < / A d j u s t >  
             < R J E > 0 < / R J E >  
             < P r e l i m i n a r y > 1 2 < / P r e l i m i n a r y >  
             < F i n a l > 1 2 < / F i n a l >  
         < / A c c o u n t S t o r a g e >  
         < A c c o u n t S t o r a g e >  
             < A c c o u n t B a l a n c e s >  
                 < A c c o u n t B a l a n c e >  
                     < F i e l d N a m e > P r i o r P e r i o d 1 B a l a n c e < / F i e l d N a m e >  
                     < B a l a n c e > 1 8 9 < / B a l a n c e >  
                 < / A c c o u n t B a l a n c e >  
                 < A c c o u n t B a l a n c e >  
                     < F i e l d N a m e > P r i o r P e r i o d 2 B a l a n c e < / F i e l d N a m e >  
                     < B a l a n c e > 1 4 2 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 3 1 1 3 8 4 9 3 0 9 4 0 0 0 0 0 2 2 6 < / I D >  
             < T a r g e t A c c o u n t I D > 3 1 1 3 8 4 9 3 0 9 4 0 0 0 0 0 3 2 2 < / T a r g e t A c c o u n t I D >  
             < C h a r t I D > 3 1 1 3 8 4 9 3 0 9 4 0 0 0 0 0 0 0 6 < / C h a r t I D >  
             < I s L i n k e d > f a l s e < / I s L i n k e d >  
             < N u m b e r > 0 5 0 6 0 0 2 0 0 0 0 1 < / N u m b e r >  
             < N a m e > L E G A L   A N D   P R O F E S S I O N A L   C H A R G E S < / N a m e >  
             < A J E > 0 < / A J E >  
             < A d j u s t > 2 2 5 < / A d j u s t >  
             < R J E > 0 < / R J E >  
             < P r e l i m i n a r y > 2 2 5 < / P r e l i m i n a r y >  
             < F i n a l > 2 2 5 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 3 1 1 3 8 4 9 3 0 9 4 0 0 0 0 0 2 2 7 < / I D >  
             < T a r g e t A c c o u n t I D > 3 1 1 3 8 4 9 3 0 9 4 0 0 0 0 0 3 2 3 < / T a r g e t A c c o u n t I D >  
             < C h a r t I D > 3 1 1 3 8 4 9 3 0 9 4 0 0 0 0 0 0 0 6 < / C h a r t I D >  
             < I s L i n k e d > f a l s e < / I s L i n k e d >  
             < N u m b e r > 0 5 0 6 0 0 3 0 0 0 0 5 < / N u m b e r >  
             < N a m e > F E E   & a m p ;   S U B S C R I P   A N N U A L   L I S T I N G   F E E   L S E < / N a m e >  
             < A J E > 0 < / A J E >  
             < A d j u s t > 0 < / A d j u s t >  
             < R J E > 0 < / R J E >  
             < P r e l i m i n a r y > 0 < / P r e l i m i n a r y >  
             < F i n a l > 0 < / F i n a l >  
         < / A c c o u n t S t o r a g e >  
         < A c c o u n t S t o r a g e >  
             < A c c o u n t B a l a n c e s >  
                 < A c c o u n t B a l a n c e >  
                     < F i e l d N a m e > P r i o r P e r i o d 1 B a l a n c e < / F i e l d N a m e >  
                     < B a l a n c e > 3 6 6 < / B a l a n c e >  
                 < / A c c o u n t B a l a n c e >  
                 < A c c o u n t B a l a n c e >  
                     < F i e l d N a m e > P r i o r P e r i o d 2 B a l a n c e < / F i e l d N a m e >  
                     < B a l a n c e > 3 0 3 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 3 1 1 3 8 4 9 3 0 9 4 0 0 0 0 0 2 2 9 < / I D >  
             < T a r g e t A c c o u n t I D > 3 1 1 3 8 4 9 3 0 9 4 0 0 0 0 0 3 2 3 < / T a r g e t A c c o u n t I D >  
             < C h a r t I D > 3 1 1 3 8 4 9 3 0 9 4 0 0 0 0 0 0 0 6 < / C h a r t I D >  
             < I s L i n k e d > f a l s e < / I s L i n k e d >  
             < N u m b e r > 0 5 0 6 0 0 3 0 0 0 0 6 < / N u m b e r >  
             < N a m e > F E E   & a m p ;   S U B S C R I P A N N U A L   P A C R A   F E E < / N a m e >  
             < A J E > 0 < / A J E >  
             < A d j u s t > 3 8 5 < / A d j u s t >  
             < R J E > 0 < / R J E >  
             < P r e l i m i n a r y > 3 8 5 < / P r e l i m i n a r y >  
             < F i n a l > 3 8 5 < / 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 3 1 1 3 8 4 9 3 0 9 4 0 0 0 0 0 2 3 0 < / I D >  
             < T a r g e t A c c o u n t I D > 3 1 1 3 8 4 9 3 0 9 4 0 0 0 0 0 3 2 3 < / T a r g e t A c c o u n t I D >  
             < C h a r t I D > 3 1 1 3 8 4 9 3 0 9 4 0 0 0 0 0 0 0 6 < / C h a r t I D >  
             < I s L i n k e d > f a l s e < / I s L i n k e d >  
             < N u m b e r > 0 5 0 6 0 0 3 0 0 0 0 8 < / N u m b e r >  
             < N a m e > F e e   & a m p ;   S u b s c r i p a n n u a l   L i s t i n g   F e e   I s e < / N a m e >  
             < A J E > 0 < / A J E >  
             < A d j u s t > 0 < / A d j u s t >  
             < R J E > 0 < / R J E >  
             < P r e l i m i n a r y > 0 < / P r e l i m i n a r y >  
             < F i n a l > 0 < / F i n a l >  
         < / A c c o u n t S t o r a g e >  
         < A c c o u n t S t o r a g e >  
             < A c c o u n t B a l a n c e s >  
                 < A c c o u n t B a l a n c e >  
                     < F i e l d N a m e > P r i o r P e r i o d 1 B a l a n c e < / F i e l d N a m e >  
                     < B a l a n c e > 3 5 < / B a l a n c e >  
                 < / A c c o u n t B a l a n c e >  
                 < A c c o u n t B a l a n c e >  
                     < F i e l d N a m e > P r i o r P e r i o d 2 B a l a n c e < / F i e l d N a m e >  
                     < B a l a n c e > 3 4 < / 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 3 1 1 3 8 4 9 3 0 9 4 0 0 0 0 0 2 3 1 < / I D >  
             < T a r g e t A c c o u n t I D > 3 1 1 3 8 4 9 3 0 9 4 0 0 0 0 0 3 2 3 < / T a r g e t A c c o u n t I D >  
             < C h a r t I D > 3 1 1 3 8 4 9 3 0 9 4 0 0 0 0 0 0 0 6 < / C h a r t I D >  
             < I s L i n k e d > f a l s e < / I s L i n k e d >  
             < N u m b e r > 0 5 0 6 0 0 3 0 0 0 0 9 < / N u m b e r >  
             < N a m e > F e e   & a m p ;   S u b s c r i p t i o n   A n n u a l   L i s t i n g   F e e   P s x < / N a m e >  
             < A J E > 0 < / A J E >  
             < A d j u s t > 3 9 < / A d j u s t >  
             < R J E > 0 < / R J E >  
             < P r e l i m i n a r y > 3 9 < / P r e l i m i n a r y >  
             < F i n a l > 3 9 < / F i n a l >  
         < / A c c o u n t S t o r a g e >  
         < A c c o u n t S t o r a g e >  
             < A c c o u n t B a l a n c e s >  
                 < A c c o u n t B a l a n c e >  
                     < F i e l d N a m e > P r i o r P e r i o d 1 B a l a n c e < / F i e l d N a m e >  
                     < B a l a n c e > 2 3 8 < / B a l a n c e >  
                 < / A c c o u n t B a l a n c e >  
                 < A c c o u n t B a l a n c e >  
                     < F i e l d N a m e > P r i o r P e r i o d 2 B a l a n c e < / F i e l d N a m e >  
                     < B a l a n c e > 1 5 3 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 3 1 1 3 8 4 9 3 0 9 4 0 0 0 0 0 2 3 3 < / I D >  
             < T a r g e t A c c o u n t I D > 3 1 1 3 8 4 9 3 0 9 4 0 0 0 0 0 3 2 3 < / T a r g e t A c c o u n t I D >  
             < C h a r t I D > 3 1 1 3 8 4 9 3 0 9 4 0 0 0 0 0 0 0 6 < / C h a r t I D >  
             < I s L i n k e d > f a l s e < / I s L i n k e d >  
             < N u m b e r > 0 5 0 6 0 0 3 0 0 0 1 0 < / N u m b e r >  
             < N a m e > F e e   & a m p ;   S u b s c r i p t i o n   A n n u a l   M t s   C h a r g e s < / N a m e >  
             < A J E > 0 < / A J E >  
             < A d j u s t > 2 5 1 < / A d j u s t >  
             < R J E > 0 < / R J E >  
             < P r e l i m i n a r y > 2 5 1 < / P r e l i m i n a r y >  
             < F i n a l > 2 5 1 < / 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 3 1 1 3 8 4 9 3 0 9 4 0 0 0 0 0 2 3 4 < / I D >  
             < T a r g e t A c c o u n t I D > 3 1 1 3 8 4 9 3 0 9 4 0 0 0 0 0 3 2 3 < / T a r g e t A c c o u n t I D >  
             < C h a r t I D > 3 1 1 3 8 4 9 3 0 9 4 0 0 0 0 0 0 0 6 < / C h a r t I D >  
             < I s L i n k e d > f a l s e < / I s L i n k e d >  
             < N u m b e r > 0 5 0 6 0 0 4 0 0 0 0 1 < / N u m b e r >  
             < N a m e > S i n d h   S a l e s   T a x   R e g i s t r a t i o n   C h a r g e s < / N a m e >  
             < A J E > 0 < / A J E >  
             < A d j u s t > 0 < / A d j u s t >  
             < R J E > 0 < / R J E >  
             < P r e l i m i n a r y > 0 < / P r e l i m i n a r y >  
             < F i n a l > 0 < / F i n a l >  
         < / A c c o u n t S t o r a g e >  
         < A c c o u n t S t o r a g e >  
             < A c c o u n t B a l a n c e s >  
                 < A c c o u n t B a l a n c e >  
                     < F i e l d N a m e > P r i o r P e r i o d 1 B a l a n c e < / F i e l d N a m e >  
                     < B a l a n c e > 8 2 1 < / B a l a n c e >  
                 < / A c c o u n t B a l a n c e >  
                 < A c c o u n t B a l a n c e >  
                     < F i e l d N a m e > P r i o r P e r i o d 2 B a l a n c e < / F i e l d N a m e >  
                     < B a l a n c e > 1 3 3 8 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 3 1 1 3 8 4 9 3 0 9 4 0 0 0 0 0 0 1 8 < / I D >  
             < T a r g e t A c c o u n t I D > 3 1 1 3 8 4 9 3 0 9 4 0 0 0 0 0 3 2 4 < / T a r g e t A c c o u n t I D >  
             < C h a r t I D > 3 1 1 3 8 4 9 3 0 9 4 0 0 0 0 0 0 0 6 < / C h a r t I D >  
             < I s L i n k e d > f a l s e < / I s L i n k e d >  
             < N u m b e r > 0 5 0 2 0 0 5 0 0 0 1 < / N u m b e r >  
             < N a m e > L a g a   A n d   L e v y   C h a r g e s   O n   M t s < / N a m e >  
             < A J E > 0 < / A J E >  
             < A d j u s t > 0 < / A d j u s t >  
             < R J E > 0 < / R J E >  
             < P r e l i m i n a r y > 0 < / P r e l i m i n a r y >  
             < F i n a l > 0 < / F i n a l >  
         < / A c c o u n t S t o r a g e >  
         < A c c o u n t S t o r a g e >  
             < A c c o u n t B a l a n c e s >  
                 < A c c o u n t B a l a n c e >  
                     < F i e l d N a m e > P r i o r P e r i o d 1 B a l a n c e < / F i e l d N a m e >  
                     < B a l a n c e > 1 9 6 < / B a l a n c e >  
                 < / A c c o u n t B a l a n c e >  
                 < A c c o u n t B a l a n c e >  
                     < F i e l d N a m e > P r i o r P e r i o d 2 B a l a n c e < / F i e l d N a m e >  
                     < B a l a n c e > 3 4 0 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 3 1 1 3 8 4 9 3 0 9 4 0 0 0 0 0 2 1 7 < / I D >  
             < T a r g e t A c c o u n t I D > 3 1 1 3 8 4 9 3 0 9 4 0 0 0 0 0 3 2 5 < / T a r g e t A c c o u n t I D >  
             < C h a r t I D > 3 1 1 3 8 4 9 3 0 9 4 0 0 0 0 0 0 0 6 < / C h a r t I D >  
             < I s L i n k e d > f a l s e < / I s L i n k e d >  
             < N u m b e r > 0 5 0 2 0 0 3 0 0 0 0 1 < / N u m b e r >  
             < N a m e > S E T T   C H G     T R U S T E E < / N a m e >  
             < A J E > 0 < / A J E >  
             < A d j u s t > 2 3 < / A d j u s t >  
             < R J E > 0 < / R J E >  
             < P r e l i m i n a r y > 2 3 < / P r e l i m i n a r y >  
             < F i n a l > 2 3 < / 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 3 1 1 3 8 4 9 3 0 9 4 0 0 0 0 0 2 1 8 < / I D >  
             < T a r g e t A c c o u n t I D > 3 1 1 3 8 4 9 3 0 9 4 0 0 0 0 0 3 2 5 < / T a r g e t A c c o u n t I D >  
             < C h a r t I D > 3 1 1 3 8 4 9 3 0 9 4 0 0 0 0 0 0 0 6 < / C h a r t I D >  
             < I s L i n k e d > f a l s e < / I s L i n k e d >  
             < N u m b e r > 0 5 0 2 0 0 3 0 0 0 0 2 < / N u m b e r >  
             < N a m e > S E T T   C H G     N C C P L     E Q U I T Y   T R A N S A C T I O N S < / N a m e >  
             < A J E > 0 < / A J E >  
             < A d j u s t > 0 < / A d j u s t >  
             < R J E > 0 < / R J E >  
             < P r e l i m i n a r y > 0 < / P r e l i m i n a r y >  
             < F i n a l > 0 < / F i n a l >  
         < / A c c o u n t S t o r a g e >  
         < A c c o u n t S t o r a g e >  
             < A c c o u n t B a l a n c e s >  
                 < A c c o u n t B a l a n c e >  
                     < F i e l d N a m e > P r i o r P e r i o d 1 B a l a n c e < / F i e l d N a m e >  
                     < B a l a n c e > 2 9 6 < / B a l a n c e >  
                 < / A c c o u n t B a l a n c e >  
                 < A c c o u n t B a l a n c e >  
                     < F i e l d N a m e > P r i o r P e r i o d 2 B a l a n c e < / F i e l d N a m e >  
                     < B a l a n c e > 3 2 7 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 3 1 1 3 8 4 9 3 0 9 4 0 0 0 0 0 2 1 9 < / I D >  
             < T a r g e t A c c o u n t I D > 3 1 1 3 8 4 9 3 0 9 4 0 0 0 0 0 3 2 5 < / T a r g e t A c c o u n t I D >  
             < C h a r t I D > 3 1 1 3 8 4 9 3 0 9 4 0 0 0 0 0 0 0 6 < / C h a r t I D >  
             < I s L i n k e d > f a l s e < / I s L i n k e d >  
             < N u m b e r > 0 5 0 2 0 0 3 0 0 0 0 3 < / N u m b e r >  
             < N a m e > S E T T   C H G     N C C P L     D E B T   S E C U R I T Y   T R A N S A C T I O N S < / N a m e >  
             < A J E > 0 < / A J E >  
             < A d j u s t > 2 9 9 < / A d j u s t >  
             < R J E > 0 < / R J E >  
             < P r e l i m i n a r y > 2 9 9 < / P r e l i m i n a r y >  
             < F i n a l > 2 9 9 < / F i n a l >  
         < / A c c o u n t S t o r a g e >  
         < A c c o u n t S t o r a g e >  
             < A c c o u n t B a l a n c e s >  
                 < A c c o u n t B a l a n c e >  
                     < F i e l d N a m e > P r i o r P e r i o d 1 B a l a n c e < / F i e l d N a m e >  
                     < B a l a n c e > 5 1 < / B a l a n c e >  
                 < / A c c o u n t B a l a n c e >  
                 < A c c o u n t B a l a n c e >  
                     < F i e l d N a m e > P r i o r P e r i o d 2 B a l a n c e < / F i e l d N a m e >  
                     < B a l a n c e > 6 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 3 1 1 3 8 4 9 3 0 9 4 0 0 0 0 0 2 3 5 < / I D >  
             < T a r g e t A c c o u n t I D > 3 1 1 3 8 4 9 3 0 9 4 0 0 0 0 0 3 2 6 < / T a r g e t A c c o u n t I D >  
             < C h a r t I D > 3 1 1 3 8 4 9 3 0 9 4 0 0 0 0 0 0 0 6 < / C h a r t I D >  
             < I s L i n k e d > f a l s e < / I s L i n k e d >  
             < N u m b e r > 0 5 0 7 0 0 1 0 0 0 0 1 < / N u m b e r >  
             < N a m e > P R I N T I N G   O F   A C C O U N T S   C H A R G E S < / N a m e >  
             < A J E > 0 < / A J E >  
             < A d j u s t > 4 2 < / A d j u s t >  
             < R J E > 0 < / R J E >  
             < P r e l i m i n a r y > 4 2 < / P r e l i m i n a r y >  
             < F i n a l > 4 2 < / 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 3 1 1 3 8 4 9 3 0 9 4 0 0 0 0 0 2 3 6 < / I D >  
             < T a r g e t A c c o u n t I D > 3 1 1 3 8 4 9 3 0 9 4 0 0 0 0 0 3 2 6 < / T a r g e t A c c o u n t I D >  
             < C h a r t I D > 3 1 1 3 8 4 9 3 0 9 4 0 0 0 0 0 0 0 6 < / C h a r t I D >  
             < I s L i n k e d > f a l s e < / I s L i n k e d >  
             < N u m b e r > 0 5 0 7 0 0 2 0 0 0 0 1 < / N u m b e r >  
             < N a m e > D E S P A T C H   A N D   C O U R I E R   C H A R G E S   O F   A C C O U N T S 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 3 1 2 2 5 4 7 6 3 1 5 0 0 0 0 0 6 7 1 < / I D >  
             < T a r g e t A c c o u n t I D > 3 1 1 3 8 4 9 3 0 9 4 0 0 0 0 0 3 2 6 < / T a r g e t A c c o u n t I D >  
             < C h a r t I D > 3 1 1 3 8 4 9 3 0 9 4 0 0 0 0 0 0 0 6 < / C h a r t I D >  
             < I s L i n k e d > f a l s e < / I s L i n k e d >  
             < N u m b e r > 0 D T 2 < / N u m b e r >  
             < N a m e > R o u n d i n g   d i f f e r e n c e < / N a m e >  
             < A J E > 0 < / A J E >  
             < A d j u s t > 0 < / A d j u s t >  
             < R J E > 0 < / R J E >  
             < P r e l i m i n a r y > 0 < / P r e l i m i n a r y >  
             < F i n a l > 0 < / F i n a l >  
         < / A c c o u n t S t o r a g e >  
         < A c c o u n t S t o r a g e >  
             < A c c o u n t B a l a n c e s >  
                 < A c c o u n t B a l a n c e >  
                     < F i e l d N a m e > P r i o r P e r i o d 1 B a l a n c e < / F i e l d N a m e >  
                     < B a l a n c e > 5 9 8 < / B a l a n c e >  
                 < / A c c o u n t B a l a n c e >  
                 < A c c o u n t B a l a n c e >  
                     < F i e l d N a m e > P r i o r P e r i o d 2 B a l a n c e < / F i e l d N a m e >  
                     < B a l a n c e > 7 4 2 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 3 1 1 3 8 4 9 3 0 9 4 0 0 0 0 0 2 2 4 < / I D >  
             < T a r g e t A c c o u n t I D > 3 1 1 3 8 4 9 3 0 9 4 0 0 0 0 0 3 2 7 < / T a r g e t A c c o u n t I D >  
             < C h a r t I D > 3 1 1 3 8 4 9 3 0 9 4 0 0 0 0 0 0 0 6 < / C h a r t I D >  
             < I s L i n k e d > f a l s e < / I s L i n k e d >  
             < N u m b e r > 0 5 0 6 0 0 1 0 0 0 0 1 < / N u m b e r >  
             < N a m e > A U D I T   F E E   E X P E N S E < / N a m e >  
             < A J E > 0 < / A J E >  
             < A d j u s t > 6 7 7 < / A d j u s t >  
             < R J E > 0 < / R J E >  
             < P r e l i m i n a r y > 6 7 7 < / P r e l i m i n a r y >  
             < F i n a l > 6 7 7 < / F i n a l >  
         < / A c c o u n t S t o r a g e >  
         < A c c o u n t S t o r a g e >  
             < A c c o u n t B a l a n c e s >  
                 < A c c o u n t B a l a n c e >  
                     < F i e l d N a m e > P r i o r P e r i o d 1 B a l a n c e < / F i e l d N a m e >  
                     < B a l a n c e > 4 7 < / 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 3 1 1 3 8 4 9 3 0 9 4 0 0 0 0 0 2 2 5 < / I D >  
             < T a r g e t A c c o u n t I D > 3 1 1 3 8 4 9 3 0 9 4 0 0 0 0 0 3 2 7 < / T a r g e t A c c o u n t I D >  
             < C h a r t I D > 3 1 1 3 8 4 9 3 0 9 4 0 0 0 0 0 0 0 6 < / C h a r t I D >  
             < I s L i n k e d > f a l s e < / I s L i n k e d >  
             < N u m b e r > 0 5 0 6 0 0 1 0 0 0 0 2 < / N u m b e r >  
             < N a m e > O U T   O F   P O C K E T 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 3 4 1 8 0 2 8 0 3 4 4 0 0 0 0 1 0 5 7 < / I D >  
             < T a r g e t A c c o u n t I D > 3 1 1 3 8 4 9 3 0 9 4 0 0 0 0 0 3 2 9 < / T a r g e t A c c o u n t I D >  
             < C h a r t I D > 3 1 1 3 8 4 9 3 0 9 4 0 0 0 0 0 0 0 6 < / C h a r t I D >  
             < I s L i n k e d > f a l s e < / I s L i n k e d >  
             < N u m b e r > 0 1 0 3 0 0 9 0 0 0 1 2 < / N u m b e r >  
             < N a m e > P R O V I S I O N   A G A I N S T   N O N   P E R F O R M I N G   S E C U R I T Y     G H A N I   G A S E S   H F T < / N a m e >  
             < A J E > 0 < / A J E >  
             < A d j u s t > 0 < / A d j u s t >  
             < R J E > 0 < / R J E >  
             < P r e l i m i n a r y > 0 < / P r e l i m i n a r y >  
             < F i n a l > 0 < / F i n a l >  
         < / A c c o u n t S t o r a g e >  
         < A c c o u n t S t o r a g e >  
             < A c c o u n t B a l a n c e s >  
                 < A c c o u n t B a l a n c e >  
                     < F i e l d N a m e > P r i o r P e r i o d 1 B a l a n c e < / F i e l d N a m e >  
                     < B a l a n c e > - 4 9 9 4 0 < / B a l a n c e >  
                 < / A c c o u n t B a l a n c e >  
                 < A c c o u n t B a l a n c e >  
                     < F i e l d N a m e > P r i o r P e r i o d 2 B a l a n c e < / F i e l d N a m e >  
                     < B a l a n c e > - 4 9 9 4 0 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 3 1 1 3 8 4 9 3 0 9 4 0 0 0 0 0 0 7 0 < / I D >  
             < T a r g e t A c c o u n t I D > 3 1 1 3 8 4 9 3 0 9 4 0 0 0 0 0 3 2 9 < / T a r g e t A c c o u n t I D >  
             < C h a r t I D > 3 1 1 3 8 4 9 3 0 9 4 0 0 0 0 0 0 0 6 < / C h a r t I D >  
             < I s L i n k e d > f a l s e < / I s L i n k e d >  
             < N u m b e r > 0 1 0 6 0 0 3 0 0 0 0 6 < / N u m b e r >  
             < N a m e > P r o v i s i o n   A g a i n s t   R e d   O f   D e b t   S e c   -   P r i n c i p a l   ( P a c e   T f c ) < / N a m e >  
             < A J E > 0 < / A J E >  
             < A d j u s t > - 4 9 9 4 0 < / A d j u s t >  
             < R J E > 0 < / R J E >  
             < P r e l i m i n a r y > - 4 9 9 4 0 < / P r e l i m i n a r y >  
             < F i n a l > - 4 9 9 4 0 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 3 1 1 3 8 4 9 3 0 9 4 0 0 0 0 0 0 7 1 < / I D >  
             < T a r g e t A c c o u n t I D > 3 1 1 3 8 4 9 3 0 9 4 0 0 0 0 0 3 2 9 < / T a r g e t A c c o u n t I D >  
             < C h a r t I D > 3 1 1 3 8 4 9 3 0 9 4 0 0 0 0 0 0 0 6 < / C h a r t I D >  
             < I s L i n k e d > f a l s e < / I s L i n k e d >  
             < N u m b e r > 0 1 0 6 0 0 3 0 0 0 0 7 < / N u m b e r >  
             < N a m e > P r o v i s i o n   A g a i n s t   R e d   O f   D e b t   S e c   -   P r i n c i p a l   ( E d e n   S u k u k ) < / 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 3 1 1 3 8 4 9 3 0 9 4 0 0 0 0 0 0 7 2 < / I D >  
             < T a r g e t A c c o u n t I D > 3 1 1 3 8 4 9 3 0 9 4 0 0 0 0 0 3 2 9 < / T a r g e t A c c o u n t I D >  
             < C h a r t I D > 3 1 1 3 8 4 9 3 0 9 4 0 0 0 0 0 0 0 6 < / C h a r t I D >  
             < I s L i n k e d > f a l s e < / I s L i n k e d >  
             < N u m b e r > 0 1 0 6 0 0 3 0 0 0 0 8 < / N u m b e r >  
             < N a m e > P r o v i s i o n   A g a i n s t   R e d   O f   D e b t   S e c   -   P r i n c i p a l   ( P e l   S u k u k ) < / N a m e >  
             < A J E > 0 < / A J E >  
             < A d j u s t > 0 < / A d j u s t >  
             < R J E > 0 < / R J E >  
             < P r e l i m i n a r y > 0 < / P r e l i m i n a r y >  
             < F i n a l > 0 < / F i n a l >  
         < / A c c o u n t S t o r a g e >  
         < A c c o u n t S t o r a g e >  
             < A c c o u n t B a l a n c e s >  
                 < A c c o u n t B a l a n c e >  
                     < F i e l d N a m e > P r i o r P e r i o d 1 B a l a n c e < / F i e l d N a m e >  
                     < B a l a n c e > - 3 1 0 8 8 < / B a l a n c e >  
                 < / A c c o u n t B a l a n c e >  
                 < A c c o u n t B a l a n c e >  
                     < F i e l d N a m e > P r i o r P e r i o d 2 B a l a n c e < / F i e l d N a m e >  
                     < B a l a n c e > - 3 1 0 8 8 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 3 1 1 3 8 4 9 3 0 9 4 0 0 0 0 0 0 7 3 < / I D >  
             < T a r g e t A c c o u n t I D > 3 1 1 3 8 4 9 3 0 9 4 0 0 0 0 0 3 2 9 < / T a r g e t A c c o u n t I D >  
             < C h a r t I D > 3 1 1 3 8 4 9 3 0 9 4 0 0 0 0 0 0 0 6 < / C h a r t I D >  
             < I s L i n k e d > f a l s e < / I s L i n k e d >  
             < N u m b e r > 0 1 0 6 0 0 3 0 0 0 0 9 < / N u m b e r >  
             < N a m e > P r o v i s i o n   A g a i n s t   R e d   O f   D e b t   S e c   -   P r i n c i p a l   ( T e l e c a r d   T f c ) < / N a m e >  
             < A J E > 0 < / A J E >  
             < A d j u s t > - 3 1 0 8 8 < / A d j u s t >  
             < R J E > 0 < / R J E >  
             < P r e l i m i n a r y > - 3 1 0 8 8 < / P r e l i m i n a r y >  
             < F i n a l > - 3 1 0 8 8 < / F i n a l >  
         < / A c c o u n t S t o r a g e >  
         < A c c o u n t S t o r a g e >  
             < A c c o u n t B a l a n c e s >  
                 < A c c o u n t B a l a n c e >  
                     < F i e l d N a m e > P r i o r P e r i o d 1 B a l a n c e < / F i e l d N a m e >  
                     < B a l a n c e > - 1 8 7 4 3 < / B a l a n c e >  
                 < / A c c o u n t B a l a n c e >  
                 < A c c o u n t B a l a n c e >  
                     < F i e l d N a m e > P r i o r P e r i o d 2 B a l a n c e < / F i e l d N a m e >  
                     < B a l a n c e > - 1 8 7 4 3 < / 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 3 1 1 3 8 4 9 3 0 9 4 0 0 0 0 0 0 7 4 < / I D >  
             < T a r g e t A c c o u n t I D > 3 1 1 3 8 4 9 3 0 9 4 0 0 0 0 0 3 2 9 < / T a r g e t A c c o u n t I D >  
             < C h a r t I D > 3 1 1 3 8 4 9 3 0 9 4 0 0 0 0 0 0 0 6 < / C h a r t I D >  
             < I s L i n k e d > f a l s e < / I s L i n k e d >  
             < N u m b e r > 0 1 0 6 0 0 3 0 0 0 1 0 < / N u m b e r >  
             < N a m e > P r o v i s i o n   A g a i n s t   R e d   O f   D e b t   S e c   -   P r i n c i p a l   ( T r u s t   I n v   T f c ) < / N a m e >  
             < A J E > 0 < / A J E >  
             < A d j u s t > - 1 8 7 4 3 < / A d j u s t >  
             < R J E > 0 < / R J E >  
             < P r e l i m i n a r y > - 1 8 7 4 3 < / P r e l i m i n a r y >  
             < F i n a l > - 1 8 7 4 3 < / F i n a l >  
         < / A c c o u n t S t o r a g e >  
         < A c c o u n t S t o r a g e >  
             < A c c o u n t B a l a n c e s >  
                 < A c c o u n t B a l a n c e >  
                     < F i e l d N a m e > P r i o r P e r i o d 1 B a l a n c e < / F i e l d N a m e >  
                     < B a l a n c e > 2 3 7 5 < / B a l a n c e >  
                 < / A c c o u n t B a l a n c e >  
                 < A c c o u n t B a l a n c e >  
                     < F i e l d N a m e > P r i o r P e r i o d 2 B a l a n c e < / F i e l d N a m e >  
                     < B a l a n c e > 1 4 2 2 < / 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 3 1 1 3 8 4 9 3 0 9 4 0 0 0 0 0 2 2 2 < / I D >  
             < T a r g e t A c c o u n t I D > 3 1 1 3 8 4 9 3 0 9 4 0 0 0 0 0 3 3 0 < / T a r g e t A c c o u n t I D >  
             < C h a r t I D > 3 1 1 3 8 4 9 3 0 9 4 0 0 0 0 0 0 0 6 < / C h a r t I D >  
             < I s L i n k e d > f a l s e < / I s L i n k e d >  
             < N u m b e r > 0 5 0 5 0 0 1 0 0 0 0 1 < / N u m b e r >  
             < N a m e > T A X A T I O N W O R K E R S   W E L F A R E   F U N D   ( W W F ) < / N a m e >  
             < A J E > 0 < / A J E >  
             < A d j u s t > 4 3 2 7 < / A d j u s t >  
             < R J E > 0 < / R J E >  
             < P r e l i m i n a r y > 4 3 2 7 < / P r e l i m i n a r y >  
             < F i n a l > 4 3 2 7 < / 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 3 1 1 3 8 4 9 3 0 9 4 0 0 0 0 0 2 2 3 < / I D >  
             < T a r g e t A c c o u n t I D > 3 1 1 3 8 4 9 3 0 9 4 0 0 0 0 0 3 3 0 < / T a r g e t A c c o u n t I D >  
             < C h a r t I D > 3 1 1 3 8 4 9 3 0 9 4 0 0 0 0 0 0 0 6 < / C h a r t I D >  
             < I s L i n k e d > f a l s e < / I s L i n k e d >  
             < N u m b e r > 0 5 0 5 0 0 1 0 0 0 0 2 < / N u m b e r >  
             < N a m e > T a x a t i o n w o r k e r s   W e l f a r e   F u n d   ( W w f )   -   R e v e r s a l < / N a m e >  
             < A J E > 0 < / A J E >  
             < A d j u s t > 0 < / A d j u s t >  
             < R J E > 0 < / R J E >  
             < P r e l i m i n a r y > 0 < / P r e l i m i n a r y >  
             < F i n a l > 0 < / F i n a l >  
         < / A c c o u n t S t o r a g e >  
         < A c c o u n t S t o r a g e >  
             < A c c o u n t B a l a n c e s >  
                 < A c c o u n t B a l a n c e >  
                     < F i e l d N a m e > P r i o r P e r i o d 1 B a l a n c e < / F i e l d N a m e >  
                     < B a l a n c e > 2 7 6 < / B a l a n c e >  
                 < / A c c o u n t B a l a n c e >  
                 < A c c o u n t B a l a n c e >  
                     < F i e l d N a m e > P r i o r P e r i o d 2 B a l a n c e < / F i e l d N a m e >  
                     < B a l a n c e > 2 7 6 < / 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 3 1 1 3 8 4 9 3 0 9 4 0 0 0 0 0 2 1 1 < / I D >  
             < T a r g e t A c c o u n t I D > 3 1 1 3 8 4 9 3 0 9 4 0 0 0 0 0 3 3 1 < / T a r g e t A c c o u n t I D >  
             < C h a r t I D > 3 1 1 3 8 4 9 3 0 9 4 0 0 0 0 0 0 0 6 < / C h a r t I D >  
             < I s L i n k e d > f a l s e < / I s L i n k e d >  
             < N u m b e r > 0 5 0 1 0 0 2 0 0 0 0 2 < / N u m b e r >  
             < N a m e > S a l e s   T a x   O n   T r u s t e e   F e e < / N a m e >  
             < A J E > 0 < / A J E >  
             < A d j u s t > 1 6 0 < / A d j u s t >  
             < R J E > 0 < / R J E >  
             < P r e l i m i n a r y > 1 6 0 < / P r e l i m i n a r y >  
             < F i n a l > 1 6 0 < / F i n a l >  
         < / A c c o u n t S t o r a g e >  
         < A c c o u n t S t o r a g e >  
             < A c c o u n t B a l a n c e s >  
                 < A c c o u n t B a l a n c e >  
                     < F i e l d N a m e > P r i o r P e r i o d 1 B a l a n c e < / F i e l d N a m e >  
                     < B a l a n c e > 1 4 9 5 < / B a l a n c e >  
                 < / A c c o u n t B a l a n c e >  
                 < A c c o u n t B a l a n c e >  
                     < F i e l d N a m e > P r i o r P e r i o d 2 B a l a n c e < / F i e l d N a m e >  
                     < B a l a n c e > 1 4 9 8 < / 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 3 1 1 3 8 4 9 3 0 9 4 0 0 0 0 0 2 1 3 < / I D >  
             < T a r g e t A c c o u n t I D > 3 1 1 3 8 4 9 3 0 9 4 0 0 0 0 0 3 3 2 < / T a r g e t A c c o u n t I D >  
             < C h a r t I D > 3 1 1 3 8 4 9 3 0 9 4 0 0 0 0 0 0 0 6 < / C h a r t I D >  
             < I s L i n k e d > f a l s e < / I s L i n k e d >  
             < N u m b e r > 0 5 0 1 0 0 5 0 0 0 0 1 < / N u m b e r >  
             < N a m e > B a c k   O f f i c e   O p e r a t i o n   E x p e n s e s < / N a m e >  
             < A J E > 0 < / A J E >  
             < A d j u s t > 1 6 4 0 < / A d j u s t >  
             < R J E > 0 < / R J E >  
             < P r e l i m i n a r y > 1 6 4 0 < / P r e l i m i n a r y >  
             < F i n a l > 1 6 4 0 < / F i n a l >  
         < / A c c o u n t S t o r a g e >  
         < A c c o u n t S t o r a g e >  
             < A c c o u n t B a l a n c e s >  
                 < A c c o u n t B a l a n c e >  
                     < F i e l d N a m e > P r i o r P e r i o d 1 B a l a n c e < / F i e l d N a m e >  
                     < B a l a n c e > - 4 5 5 < / B a l a n c e >  
                 < / A c c o u n t B a l a n c e >  
                 < A c c o u n t B a l a n c e >  
                     < F i e l d N a m e > P r i o r P e r i o d 2 B a l a n c e < / F i e l d N a m e >  
                     < B a l a n c e > 1 9 5 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 3 1 1 3 8 4 9 3 0 9 4 0 0 0 0 0 2 1 4 < / I D >  
             < T a r g e t A c c o u n t I D > 3 1 1 3 8 4 9 3 0 9 4 0 0 0 0 0 3 3 2 < / T a r g e t A c c o u n t I D >  
             < C h a r t I D > 3 1 1 3 8 4 9 3 0 9 4 0 0 0 0 0 0 0 6 < / C h a r t I D >  
             < I s L i n k e d > f a l s e < / I s L i n k e d >  
             < N u m b e r > 0 5 0 1 0 0 5 0 0 0 0 2 < / N u m b e r >  
             < N a m e > S S T   o n   B a c k   O f f i c e   O p e r a t i o n   E x p e n s e s < / N a m e >  
             < A J E > 0 < / A J E >  
             < A d j u s t > 0 < / A d j u s t >  
             < R J E > 0 < / R J E >  
             < P r e l i m i n a r y > 0 < / P r e l i m i n a r y >  
             < F i n a l > 0 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 3 4 1 8 0 2 8 0 3 4 4 0 0 0 0 1 0 6 6 < / I D >  
             < T a r g e t A c c o u n t I D > 3 4 1 8 0 2 8 0 3 4 4 0 0 0 0 1 0 7 2 < / T a r g e t A c c o u n t I D >  
             < C h a r t I D > 3 1 1 3 8 4 9 3 0 9 4 0 0 0 0 0 0 0 6 < / C h a r t I D >  
             < I s L i n k e d > f a l s e < / I s L i n k e d >  
             < N u m b e r > 0 5 0 1 0 0 6 0 0 1 < / N u m b e r >  
             < N a m e > M a r k e t i n g   A n d   S e l l i n g   E x p e n s e < / N a m e >  
             < A J E > 0 < / A J E >  
             < A d j u s t > 2 1 2 8 < / A d j u s t >  
             < R J E > 0 < / R J E >  
             < P r e l i m i n a r y > 2 1 2 8 < / P r e l i m i n a r y >  
             < F i n a l > 2 1 2 8 < / F i n a l >  
         < / A c c o u n t S t o r a g e >  
         < A c c o u n t S t o r a g e >  
             < A c c o u n t B a l a n c e s >  
                 < A c c o u n t B a l a n c e >  
                     < F i e l d N a m e > P r i o r P e r i o d 1 B a l a n c e < / F i e l d N a m e >  
                     < B a l a n c e > 1 0 7 8 4 < / B a l a n c e >  
                 < / A c c o u n t B a l a n c e >  
                 < A c c o u n t B a l a n c e >  
                     < F i e l d N a m e > P r i o r P e r i o d 2 B a l a n c e < / F i e l d N a m e >  
                     < B a l a n c e > 3 7 5 < / 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 3 1 1 3 8 4 9 3 0 9 4 0 0 0 0 0 2 0 5 < / I D >  
             < T a r g e t A c c o u n t I D > 3 1 1 3 8 4 9 3 0 9 4 0 0 0 0 0 3 3 3 < / T a r g e t A c c o u n t I D >  
             < C h a r t I D > 3 1 1 3 8 4 9 3 0 9 4 0 0 0 0 0 0 0 6 < / C h a r t I D >  
             < I s L i n k e d > f a l s e < / I s L i n k e d >  
             < N u m b e r > 0 4 0 4 0 0 1 0 0 0 0 1 < / N u m b e r >  
             < N a m e > E L E M E N T   O F   I N C O M E   -   R E A L I Z E D < / N a m e >  
             < A J E > 0 < / A J E >  
             < A d j u s t > - 4 6 8 5 4 < / A d j u s t >  
             < R J E > 0 < / R J E >  
             < P r e l i m i n a r y > - 4 6 8 5 4 < / P r e l i m i n a r y >  
             < F i n a l > - 4 6 8 5 4 < / F i n a l >  
         < / A c c o u n t S t o r a g e >  
         < A c c o u n t S t o r a g e >  
             < A c c o u n t B a l a n c e s >  
                 < A c c o u n t B a l a n c e >  
                     < F i e l d N a m e > P r i o r P e r i o d 1 B a l a n c e < / F i e l d N a m e >  
                     < B a l a n c e > 1 4 9 3 9 < / B a l a n c e >  
                 < / A c c o u n t B a l a n c e >  
                 < A c c o u n t B a l a n c e >  
                     < F i e l d N a m e > P r i o r P e r i o d 2 B a l a n c e < / F i e l d N a m e >  
                     < B a l a n c e > 1 9 3 7 7 < / 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 3 1 1 3 8 4 9 3 0 9 4 0 0 0 0 0 2 0 6 < / I D >  
             < T a r g e t A c c o u n t I D > 3 1 1 3 8 4 9 3 0 9 4 0 0 0 0 0 3 3 4 < / T a r g e t A c c o u n t I D >  
             < C h a r t I D > 3 1 1 3 8 4 9 3 0 9 4 0 0 0 0 0 0 0 6 < / C h a r t I D >  
             < I s L i n k e d > f a l s e < / I s L i n k e d >  
             < N u m b e r > 0 4 0 4 0 0 2 0 0 0 0 1 < / N u m b e r >  
             < N a m e > E L E M E N T   O F   I N C O M E   -   U N R E A L I Z E D < / N a m e >  
             < A J E > 0 < / A J E >  
             < A d j u s t > - 3 3 0 4 0 < / A d j u s t >  
             < R J E > 0 < / R J E >  
             < P r e l i m i n a r y > - 3 3 0 4 0 < / P r e l i m i n a r y >  
             < F i n a l > - 3 3 0 4 0 < / F i n a l >  
         < / A c c o u n t S t o r a g e >  
         < A c c o u n t S t o r a g e >  
             < A c c o u n t B a l a n c e s >  
                 < A c c o u n t B a l a n c e >  
                     < F i e l d N a m e > P r i o r P e r i o d 1 B a l a n c e < / F i e l d N a m e >  
                     < B a l a n c e > 0 < / B a l a n c e >  
                 < / A c c o u n t B a l a n c e >  
                 < A c c o u n t B a l a n c e >  
                     < F i e l d N a m e > P r i o r P e r i o d 2 B a l a n c e < / F i e l d N a m e >  
                     < B a l a n c e > 0 < / B a l a n c e >  
                 < / A c c o u n t B a l a n c e >  
                 < A c c o u n t B a l a n c e >  
                     < F i e l d N a m e > P r i o r P e r i o d 3 B a l a n c e < / F i e l d N a m e >  
                     < B a l a n c e > 0 < / B a l a n c e >  
                 < / A c c o u n t B a l a n c e >  
                 < A c c o u n t B a l a n c e >  
                     < F i e l d N a m e > P r i o r P e r i o d 4 B a l a n c e < / F i e l d N a m e >  
                     < B a l a n c e > 0 < / B a l a n c e >  
                 < / A c c o u n t B a l a n c e >  
                 < A c c o u n t B a l a n c e >  
                     < F i e l d N a m e > P r i o r P e r i o d 5 B a l a n c e < / F i e l d N a m e >  
                     < B a l a n c e > 0 < / B a l a n c e >  
                 < / A c c o u n t B a l a n c e >  
                 < A c c o u n t B a l a n c e >  
                     < F i e l d N a m e > P r i o r P e r i o d 6 B a l a n c e < / F i e l d N a m e >  
                     < B a l a n c e > 0 < / B a l a n c e >  
                 < / A c c o u n t B a l a n c e >  
                 < A c c o u n t B a l a n c e >  
                     < F i e l d N a m e > P r i o r P e r i o d 7 B a l a n c e < / F i e l d N a m e >  
                     < B a l a n c e > 0 < / B a l a n c e >  
                 < / A c c o u n t B a l a n c e >  
                 < A c c o u n t B a l a n c e >  
                     < F i e l d N a m e > P r i o r P e r i o d 8 B a l a n c e < / F i e l d N a m e >  
                     < B a l a n c e > 0 < / B a l a n c e >  
                 < / A c c o u n t B a l a n c e >  
                 < A c c o u n t B a l a n c e >  
                     < F i e l d N a m e > P r i o r P e r i o d 9 B a l a n c e < / F i e l d N a m e >  
                     < B a l a n c e > 0 < / B a l a n c e >  
                 < / A c c o u n t B a l a n c e >  
                 < A c c o u n t B a l a n c e >  
                     < F i e l d N a m e > P r i o r P e r i o d 1 0 B a l a n c e < / F i e l d N a m e >  
                     < B a l a n c e > 0 < / B a l a n c e >  
                 < / A c c o u n t B a l a n c e >  
             < / A c c o u n t B a l a n c e s >  
             < I D > 3 1 1 3 8 4 9 3 0 9 4 0 0 0 0 0 2 5 5 < / I D >  
             < T a r g e t A c c o u n t I D > 3 1 1 3 8 4 9 3 0 9 4 0 0 0 0 0 3 3 5 < / T a r g e t A c c o u n t I D >  
             < C h a r t I D > 3 1 1 3 8 4 9 3 0 9 4 0 0 0 0 0 0 0 6 < / C h a r t I D >  
             < I s L i n k e d > f a l s e < / I s L i n k e d >  
             < N u m b e r > 0 5 1 0 0 0 1 0 0 0 2 9 < / N u m b e r >  
             < N a m e > R e l a t e d   p a r t i e s   d i s c l o s u r e < / N a m e >  
             < A J E > 0 < / A J E >  
             < A d j u s t > 0 < / A d j u s t >  
             < R J E > 0 < / R J E >  
             < P r e l i m i n a r y > 0 < / P r e l i m i n a r y >  
             < F i n a l > 0 < / F i n a l >  
         < / A c c o u n t S t o r a g e >  
     < / A c c o u n t s >  
     < C o m p a n i e s / >  
 < / L e a d S h e e t D a t a S t o r a g e > 
</file>

<file path=customXml/itemProps1.xml><?xml version="1.0" encoding="utf-8"?>
<ds:datastoreItem xmlns:ds="http://schemas.openxmlformats.org/officeDocument/2006/customXml" ds:itemID="{94687530-ABAC-4803-93DC-CE8B95D59EE1}">
  <ds:schemaRefs/>
</ds:datastoreItem>
</file>

<file path=customXml/itemProps2.xml><?xml version="1.0" encoding="utf-8"?>
<ds:datastoreItem xmlns:ds="http://schemas.openxmlformats.org/officeDocument/2006/customXml" ds:itemID="{1A065103-AF31-4D5B-BFE6-7EA3E297FE85}">
  <ds:schemaRefs>
    <ds:schemaRef ds:uri="http://schemas.dtt.com/da/IsLeadSheet"/>
  </ds:schemaRefs>
</ds:datastoreItem>
</file>

<file path=customXml/itemProps3.xml><?xml version="1.0" encoding="utf-8"?>
<ds:datastoreItem xmlns:ds="http://schemas.openxmlformats.org/officeDocument/2006/customXml" ds:itemID="{B8666642-839A-4A80-9AD0-3ABDA885FFF3}">
  <ds:schemaRefs>
    <ds:schemaRef ds:uri="http://schemas.dtt.com/da/IsFirstTimeLoaded"/>
  </ds:schemaRefs>
</ds:datastoreItem>
</file>

<file path=customXml/itemProps4.xml><?xml version="1.0" encoding="utf-8"?>
<ds:datastoreItem xmlns:ds="http://schemas.openxmlformats.org/officeDocument/2006/customXml" ds:itemID="{58BE11FF-14AA-4873-86BD-E3941530BD8C}">
  <ds:schemaRefs>
    <ds:schemaRef ds:uri="http://schemas.microsoft.com/DAEMSEngagementItemInfoXML"/>
  </ds:schemaRefs>
</ds:datastoreItem>
</file>

<file path=customXml/itemProps5.xml><?xml version="1.0" encoding="utf-8"?>
<ds:datastoreItem xmlns:ds="http://schemas.openxmlformats.org/officeDocument/2006/customXml" ds:itemID="{AAD5522E-E7A5-4F84-98A3-97D5E0FFE23C}">
  <ds:schemaRefs>
    <ds:schemaRef ds:uri="http://www.w3.org/2001/XMLSchema"/>
  </ds:schemaRefs>
</ds:datastoreItem>
</file>

<file path=customXml/itemProps6.xml><?xml version="1.0" encoding="utf-8"?>
<ds:datastoreItem xmlns:ds="http://schemas.openxmlformats.org/officeDocument/2006/customXml" ds:itemID="{F8D4D953-9E52-48E8-8A3D-CC3FE2A51937}">
  <ds:schemaRefs>
    <ds:schemaRef ds:uri="http://www.w3.org/2001/XMLSchema"/>
  </ds:schemaRefs>
</ds:datastoreItem>
</file>

<file path=customXml/itemProps7.xml><?xml version="1.0" encoding="utf-8"?>
<ds:datastoreItem xmlns:ds="http://schemas.openxmlformats.org/officeDocument/2006/customXml" ds:itemID="{C01E29F2-41B0-4739-BD65-5CDA99EBC3E1}">
  <ds:schemaRefs>
    <ds:schemaRef ds:uri="http://schemas.dtt.com/da/LeadSheetOpenXML"/>
  </ds:schemaRefs>
</ds:datastoreItem>
</file>

<file path=customXml/itemProps8.xml><?xml version="1.0" encoding="utf-8"?>
<ds:datastoreItem xmlns:ds="http://schemas.openxmlformats.org/officeDocument/2006/customXml" ds:itemID="{23BCC452-A210-40C1-B673-27BE008D24CE}">
  <ds:schemaRefs>
    <ds:schemaRef ds:uri="http://www.w3.org/2001/XMLSchema"/>
  </ds:schemaRefs>
</ds:datastoreItem>
</file>

<file path=customXml/itemProps9.xml><?xml version="1.0" encoding="utf-8"?>
<ds:datastoreItem xmlns:ds="http://schemas.openxmlformats.org/officeDocument/2006/customXml" ds:itemID="{739225BB-ABA0-4A32-A53F-EED24C7EB9DE}">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40</vt:i4>
      </vt:variant>
    </vt:vector>
  </HeadingPairs>
  <TitlesOfParts>
    <vt:vector size="63" baseType="lpstr">
      <vt:lpstr>SOAL</vt:lpstr>
      <vt:lpstr>Sheet1</vt:lpstr>
      <vt:lpstr>IS</vt:lpstr>
      <vt:lpstr>SOCI</vt:lpstr>
      <vt:lpstr>UHF New</vt:lpstr>
      <vt:lpstr>Cashflow</vt:lpstr>
      <vt:lpstr>1 - 4.2</vt:lpstr>
      <vt:lpstr>5 - 5.1.2</vt:lpstr>
      <vt:lpstr>5.1.2.1 - 5.1.7</vt:lpstr>
      <vt:lpstr>5.2 - 5.3</vt:lpstr>
      <vt:lpstr>5.3</vt:lpstr>
      <vt:lpstr>5.4</vt:lpstr>
      <vt:lpstr>5.2 - 25</vt:lpstr>
      <vt:lpstr>17.1</vt:lpstr>
      <vt:lpstr>18</vt:lpstr>
      <vt:lpstr>19 - 19.1.2</vt:lpstr>
      <vt:lpstr>19.1.3 - 19.3</vt:lpstr>
      <vt:lpstr>Banks Rating</vt:lpstr>
      <vt:lpstr>TER Working</vt:lpstr>
      <vt:lpstr>Provision Reversal</vt:lpstr>
      <vt:lpstr>17.1 (2)</vt:lpstr>
      <vt:lpstr>Lead - 2020</vt:lpstr>
      <vt:lpstr>TB</vt:lpstr>
      <vt:lpstr>ARA_Threshold</vt:lpstr>
      <vt:lpstr>ARP_Threshold</vt:lpstr>
      <vt:lpstr>DAL_RESERVED</vt:lpstr>
      <vt:lpstr>DALFirstRange</vt:lpstr>
      <vt:lpstr>DALS_Heading</vt:lpstr>
      <vt:lpstr>DiffAmtHeader</vt:lpstr>
      <vt:lpstr>DiffPercentHeader</vt:lpstr>
      <vt:lpstr>PRELIM_TM</vt:lpstr>
      <vt:lpstr>PRELIM_TM2</vt:lpstr>
      <vt:lpstr>'1 - 4.2'!Print_Area</vt:lpstr>
      <vt:lpstr>'17.1'!Print_Area</vt:lpstr>
      <vt:lpstr>'17.1 (2)'!Print_Area</vt:lpstr>
      <vt:lpstr>'18'!Print_Area</vt:lpstr>
      <vt:lpstr>'19 - 19.1.2'!Print_Area</vt:lpstr>
      <vt:lpstr>'19.1.3 - 19.3'!Print_Area</vt:lpstr>
      <vt:lpstr>'5 - 5.1.2'!Print_Area</vt:lpstr>
      <vt:lpstr>'5.1.2.1 - 5.1.7'!Print_Area</vt:lpstr>
      <vt:lpstr>'5.2 - 25'!Print_Area</vt:lpstr>
      <vt:lpstr>'5.2 - 5.3'!Print_Area</vt:lpstr>
      <vt:lpstr>'5.3'!Print_Area</vt:lpstr>
      <vt:lpstr>'5.4'!Print_Area</vt:lpstr>
      <vt:lpstr>Cashflow!Print_Area</vt:lpstr>
      <vt:lpstr>IS!Print_Area</vt:lpstr>
      <vt:lpstr>SOAL!Print_Area</vt:lpstr>
      <vt:lpstr>SOCI!Print_Area</vt:lpstr>
      <vt:lpstr>'UHF New'!Print_Area</vt:lpstr>
      <vt:lpstr>S_AcctDes</vt:lpstr>
      <vt:lpstr>S_Adjust</vt:lpstr>
      <vt:lpstr>S_AJE_Tot</vt:lpstr>
      <vt:lpstr>S_CompNum</vt:lpstr>
      <vt:lpstr>S_CY_Beg</vt:lpstr>
      <vt:lpstr>S_CY_End</vt:lpstr>
      <vt:lpstr>S_Diff_Amt</vt:lpstr>
      <vt:lpstr>S_Diff_Pct</vt:lpstr>
      <vt:lpstr>S_GrpNum</vt:lpstr>
      <vt:lpstr>S_PY_End</vt:lpstr>
      <vt:lpstr>S_RJE_Tot</vt:lpstr>
      <vt:lpstr>S_RowNum</vt:lpstr>
      <vt:lpstr>TmpDALS_GrandTotal</vt:lpstr>
      <vt:lpstr>TmpRESERVED_DATA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Naviwala, Abdul Qadir</dc:creator>
  <cp:lastModifiedBy>Mahmood Hussain Khan</cp:lastModifiedBy>
  <cp:lastPrinted>2020-10-23T13:50:04Z</cp:lastPrinted>
  <dcterms:created xsi:type="dcterms:W3CDTF">2019-08-09T11:30:40Z</dcterms:created>
  <dcterms:modified xsi:type="dcterms:W3CDTF">2021-10-18T10:44:00Z</dcterms:modified>
</cp:coreProperties>
</file>