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10.111.100.10\Departments\Fund Accounting\Operations\Printing\September 2021\Accounts Excel\"/>
    </mc:Choice>
  </mc:AlternateContent>
  <bookViews>
    <workbookView xWindow="0" yWindow="0" windowWidth="23040" windowHeight="9192" tabRatio="762" firstSheet="1" activeTab="1"/>
  </bookViews>
  <sheets>
    <sheet name="Form 7" sheetId="22" state="hidden" r:id="rId1"/>
    <sheet name="BS" sheetId="2" r:id="rId2"/>
    <sheet name="IS" sheetId="3" r:id="rId3"/>
    <sheet name="OCI" sheetId="15" r:id="rId4"/>
    <sheet name="UHF-Updated" sheetId="18" r:id="rId5"/>
    <sheet name="CF" sheetId="13" r:id="rId6"/>
    <sheet name="Note 1-5" sheetId="6" r:id="rId7"/>
    <sheet name="Note 5.1" sheetId="21" r:id="rId8"/>
    <sheet name="Note 5.2-5.3" sheetId="8" r:id="rId9"/>
    <sheet name="Note 5.5-6.2" sheetId="10" r:id="rId10"/>
    <sheet name="7- 15" sheetId="11" r:id="rId11"/>
    <sheet name="13.3" sheetId="16" state="hidden" r:id="rId12"/>
    <sheet name="TB" sheetId="19" state="hidden" r:id="rId13"/>
    <sheet name="Cash Flow working" sheetId="14" state="hidden" r:id="rId14"/>
    <sheet name="UHA" sheetId="4" state="hidden" r:id="rId15"/>
    <sheet name="UHF (2)" sheetId="17"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tam2" localSheetId="15" hidden="1">#REF!</definedName>
    <definedName name="________________tam2" localSheetId="15" hidden="1">#REF!</definedName>
    <definedName name="_______________tam2" localSheetId="15" hidden="1">#REF!</definedName>
    <definedName name="______________tam2" localSheetId="15" hidden="1">#REF!</definedName>
    <definedName name="_____________tam2" localSheetId="15" hidden="1">#REF!</definedName>
    <definedName name="____________tam2" localSheetId="15" hidden="1">#REF!</definedName>
    <definedName name="___________tam2" localSheetId="15" hidden="1">#REF!</definedName>
    <definedName name="__________tam2" localSheetId="15" hidden="1">#REF!</definedName>
    <definedName name="_________tam2" localSheetId="15" hidden="1">#REF!</definedName>
    <definedName name="________tam2" localSheetId="15" hidden="1">#REF!</definedName>
    <definedName name="_______tam2" localSheetId="15" hidden="1">#REF!</definedName>
    <definedName name="______tam2" localSheetId="15" hidden="1">#REF!</definedName>
    <definedName name="_____tam2" localSheetId="15" hidden="1">#REF!</definedName>
    <definedName name="____tam2" localSheetId="15" hidden="1">#REF!</definedName>
    <definedName name="___tam2" localSheetId="15" hidden="1">#REF!</definedName>
    <definedName name="__1_C_1">NA()</definedName>
    <definedName name="__123Graph_A" localSheetId="15" hidden="1">[1]Sheet3!#REF!</definedName>
    <definedName name="__123Graph_B" localSheetId="15" hidden="1">'[2]29-30'!#REF!</definedName>
    <definedName name="__123Graph_C" localSheetId="15" hidden="1">[1]Sheet3!#REF!</definedName>
    <definedName name="__123Graph_D" localSheetId="15" hidden="1">'[3]34-38.2'!#REF!</definedName>
    <definedName name="__123Graph_E" localSheetId="15" hidden="1">[1]Sheet3!#REF!</definedName>
    <definedName name="__123Graph_F" localSheetId="15" hidden="1">[4]TBPRICE!#REF!</definedName>
    <definedName name="__123Graph_X" localSheetId="15" hidden="1">'[2]29-30'!#REF!</definedName>
    <definedName name="__2_C_1_1">NA()</definedName>
    <definedName name="__3_C_1_2">NA()</definedName>
    <definedName name="__tam2" localSheetId="15" hidden="1">#REF!</definedName>
    <definedName name="_1_C_1">NA()</definedName>
    <definedName name="_102Excel_BuiltIn_Print_Area_5_1_1_1_1_1_1_1">NA()</definedName>
    <definedName name="_103Excel_BuiltIn_Print_Area_5_1_1_1_1_1_1_1_1_1">NA()</definedName>
    <definedName name="_122Excel_BuiltIn_Print_Area_5_1_1_1_2">NA()</definedName>
    <definedName name="_125Excel_BuiltIn_Print_Area_5_1_1_1_1_1_1_1">NA()</definedName>
    <definedName name="_126Excel_BuiltIn_Print_Area_5_1_1_1_1_1_1_1_1_1">NA()</definedName>
    <definedName name="_140Excel_BuiltIn_Print_Titles_14_1_1_1_1">NA()</definedName>
    <definedName name="_147Excel_BuiltIn_Print_Titles_17_1_1_2">NA()</definedName>
    <definedName name="_148Excel_BuiltIn_Print_Titles_17_1_1_1_1">NA()</definedName>
    <definedName name="_149Excel_BuiltIn_Print_Titles_17_1_1_1_1_1_1">NA()</definedName>
    <definedName name="_150Excel_BuiltIn_Print_Titles_2_1_1_1">NA()</definedName>
    <definedName name="_159Excel_BuiltIn_Print_Titles_7_1_1_1">NA()</definedName>
    <definedName name="_169Excel_BuiltIn_Print_Titles_14_1_1_1_1">NA()</definedName>
    <definedName name="_177Excel_BuiltIn_Print_Titles_17_1_1_2">NA()</definedName>
    <definedName name="_178Excel_BuiltIn_Print_Titles_17_1_1_1_1">NA()</definedName>
    <definedName name="_179Excel_BuiltIn_Print_Titles_17_1_1_1_1_1_1">NA()</definedName>
    <definedName name="_180Excel_BuiltIn_Print_Titles_2_1_1_1">NA()</definedName>
    <definedName name="_191Excel_BuiltIn_Print_Titles_7_1_1_1">NA()</definedName>
    <definedName name="_2_C_1_1">NA()</definedName>
    <definedName name="_3_C_1_2">NA()</definedName>
    <definedName name="_78Excel_BuiltIn_Print_Area_2_1_1_1_1_1_1">NA()</definedName>
    <definedName name="_79Excel_BuiltIn_Print_Area_2_1_1_1_1_1_2">NA()</definedName>
    <definedName name="_80Excel_BuiltIn_Print_Area_2_1_1_1_1_1_1_1">NA()</definedName>
    <definedName name="_81Excel_BuiltIn_Print_Area_2_1_1_1_1_1_1_1_1_1">NA()</definedName>
    <definedName name="_94Excel_BuiltIn_Print_Area_2_1_1_1_1_1_1">NA()</definedName>
    <definedName name="_95Excel_BuiltIn_Print_Area_2_1_1_1_1_1_2">NA()</definedName>
    <definedName name="_96Excel_BuiltIn_Print_Area_2_1_1_1_1_1_1_1">NA()</definedName>
    <definedName name="_97Excel_BuiltIn_Print_Area_2_1_1_1_1_1_1_1_1_1">NA()</definedName>
    <definedName name="_99Excel_BuiltIn_Print_Area_5_1_1_1_2">NA()</definedName>
    <definedName name="_df" localSheetId="15" hidden="1">#REF!</definedName>
    <definedName name="_Fill" localSheetId="15" hidden="1">#REF!</definedName>
    <definedName name="_xlnm._FilterDatabase" localSheetId="0" hidden="1">#REF!</definedName>
    <definedName name="_xlnm._FilterDatabase" localSheetId="7" hidden="1">#REF!</definedName>
    <definedName name="_xlnm._FilterDatabase" localSheetId="15" hidden="1">#REF!</definedName>
    <definedName name="_xlnm._FilterDatabase" hidden="1">#REF!</definedName>
    <definedName name="_Key1" localSheetId="11" hidden="1">#REF!</definedName>
    <definedName name="_Key1" localSheetId="13" hidden="1">#REF!</definedName>
    <definedName name="_Key1" localSheetId="3" hidden="1">#REF!</definedName>
    <definedName name="_Key1" localSheetId="15" hidden="1">#REF!</definedName>
    <definedName name="_Key1" localSheetId="4" hidden="1">#REF!</definedName>
    <definedName name="_Key2" localSheetId="11" hidden="1">#REF!</definedName>
    <definedName name="_Key2" localSheetId="13" hidden="1">#REF!</definedName>
    <definedName name="_Key2" localSheetId="7" hidden="1">#REF!</definedName>
    <definedName name="_Key2" localSheetId="8" hidden="1">#REF!</definedName>
    <definedName name="_Key2" localSheetId="3" hidden="1">#REF!</definedName>
    <definedName name="_Key2" localSheetId="15" hidden="1">#REF!</definedName>
    <definedName name="_Key2" localSheetId="4" hidden="1">#REF!</definedName>
    <definedName name="_koi" localSheetId="15" hidden="1">#REF!</definedName>
    <definedName name="_Order1" hidden="1">255</definedName>
    <definedName name="_Order2" hidden="1">255</definedName>
    <definedName name="_Regression_Int" hidden="1">1</definedName>
    <definedName name="_Regression_X" localSheetId="15" hidden="1">#REF!</definedName>
    <definedName name="_Sort" localSheetId="11" hidden="1">#REF!</definedName>
    <definedName name="_Sort" localSheetId="13" hidden="1">#REF!</definedName>
    <definedName name="_Sort" localSheetId="3" hidden="1">#REF!</definedName>
    <definedName name="_Sort" localSheetId="15" hidden="1">#REF!</definedName>
    <definedName name="_Sort" localSheetId="4" hidden="1">#REF!</definedName>
    <definedName name="_tam2" localSheetId="15" hidden="1">#REF!</definedName>
    <definedName name="aaaa" localSheetId="7" hidden="1">{"'CALL MONEY'!$K$53"}</definedName>
    <definedName name="aaaa" hidden="1">{"'CALL MONEY'!$K$53"}</definedName>
    <definedName name="adf" localSheetId="15" hidden="1">'[3]34-38.2'!#REF!</definedName>
    <definedName name="afsdf" localSheetId="15" hidden="1">#REF!</definedName>
    <definedName name="AKK" localSheetId="7" hidden="1">{"'CALL MONEY'!$K$53"}</definedName>
    <definedName name="AKK" hidden="1">{"'CALL MONEY'!$K$53"}</definedName>
    <definedName name="ARA_Threshold" localSheetId="10">[5]Lead!$O$2</definedName>
    <definedName name="ARA_Threshold" localSheetId="1">[6]Lead!$O$2</definedName>
    <definedName name="ARA_Threshold" localSheetId="13">[5]Lead!$O$2</definedName>
    <definedName name="ARA_Threshold" localSheetId="5">[6]Lead!$O$2</definedName>
    <definedName name="ARA_Threshold" localSheetId="0">[6]Lead!$O$2</definedName>
    <definedName name="ARA_Threshold" localSheetId="2">[6]Lead!$O$2</definedName>
    <definedName name="ARA_Threshold" localSheetId="6">[5]Lead!$O$2</definedName>
    <definedName name="ARA_Threshold" localSheetId="7">[5]Lead!$O$2</definedName>
    <definedName name="ARA_Threshold" localSheetId="8">[5]Lead!$O$2</definedName>
    <definedName name="ARA_Threshold" localSheetId="9">[5]Lead!$O$2</definedName>
    <definedName name="ARA_Threshold" localSheetId="14">[6]Lead!$O$2</definedName>
    <definedName name="ARP_Threshold" localSheetId="10">[5]Lead!$N$2</definedName>
    <definedName name="ARP_Threshold" localSheetId="1">[6]Lead!$N$2</definedName>
    <definedName name="ARP_Threshold" localSheetId="13">[5]Lead!$N$2</definedName>
    <definedName name="ARP_Threshold" localSheetId="5">[6]Lead!$N$2</definedName>
    <definedName name="ARP_Threshold" localSheetId="0">[6]Lead!$N$2</definedName>
    <definedName name="ARP_Threshold" localSheetId="2">[6]Lead!$N$2</definedName>
    <definedName name="ARP_Threshold" localSheetId="6">[5]Lead!$N$2</definedName>
    <definedName name="ARP_Threshold" localSheetId="7">[5]Lead!$N$2</definedName>
    <definedName name="ARP_Threshold" localSheetId="8">[5]Lead!$N$2</definedName>
    <definedName name="ARP_Threshold" localSheetId="9">[5]Lead!$N$2</definedName>
    <definedName name="ARP_Threshold" localSheetId="14">[6]Lead!$N$2</definedName>
    <definedName name="AS2DocOpenMode" hidden="1">"AS2DocumentEdit"</definedName>
    <definedName name="AS2HasNoAutoHeaderFooter">"OFF"</definedName>
    <definedName name="AS2ReportLS" hidden="1">1</definedName>
    <definedName name="AS2StaticLS" localSheetId="13" hidden="1">#REF!</definedName>
    <definedName name="AS2StaticLS" localSheetId="3" hidden="1">#REF!</definedName>
    <definedName name="AS2StaticLS" localSheetId="15" hidden="1">#REF!</definedName>
    <definedName name="AS2StaticLS" localSheetId="4" hidden="1">#REF!</definedName>
    <definedName name="AS2SyncStepLS" hidden="1">0</definedName>
    <definedName name="AS2TickmarkLS" localSheetId="11" hidden="1">#REF!</definedName>
    <definedName name="AS2TickmarkLS" localSheetId="13" hidden="1">#REF!</definedName>
    <definedName name="AS2TickmarkLS" localSheetId="3" hidden="1">#REF!</definedName>
    <definedName name="AS2TickmarkLS" localSheetId="15" hidden="1">#REF!</definedName>
    <definedName name="AS2TickmarkLS" localSheetId="4" hidden="1">#REF!</definedName>
    <definedName name="AS2VersionLS" hidden="1">300</definedName>
    <definedName name="asad" localSheetId="15" hidden="1">#REF!</definedName>
    <definedName name="ASDADFDADFDAFA" localSheetId="15" hidden="1">#REF!</definedName>
    <definedName name="asdasd" localSheetId="7" hidden="1">{"'CALL MONEY'!$K$53"}</definedName>
    <definedName name="asdasd" hidden="1">{"'CALL MONEY'!$K$53"}</definedName>
    <definedName name="asdasdsadaSD" localSheetId="15" hidden="1">#REF!</definedName>
    <definedName name="asdf" localSheetId="7" hidden="1">{"'CALL MONEY'!$K$53"}</definedName>
    <definedName name="asdf" hidden="1">{"'CALL MONEY'!$K$53"}</definedName>
    <definedName name="asdfdf" localSheetId="15" hidden="1">'[3]34-38.2'!#REF!</definedName>
    <definedName name="asfag" localSheetId="7" hidden="1">{"'CALL MONEY'!$K$53"}</definedName>
    <definedName name="asfag" hidden="1">{"'CALL MONEY'!$K$53"}</definedName>
    <definedName name="asgdjh" localSheetId="7" hidden="1">{"'CALL MONEY'!$K$53"}</definedName>
    <definedName name="asgdjh" hidden="1">{"'CALL MONEY'!$K$53"}</definedName>
    <definedName name="bal" localSheetId="11" hidden="1">{"'CALL MONEY'!$K$53"}</definedName>
    <definedName name="bal" localSheetId="10" hidden="1">{"'CALL MONEY'!$K$53"}</definedName>
    <definedName name="bal" localSheetId="13" hidden="1">{"'CALL MONEY'!$K$53"}</definedName>
    <definedName name="bal" localSheetId="5" hidden="1">{"'CALL MONEY'!$K$53"}</definedName>
    <definedName name="bal" localSheetId="0" hidden="1">{"'CALL MONEY'!$K$53"}</definedName>
    <definedName name="bal" localSheetId="2" hidden="1">{"'CALL MONEY'!$K$53"}</definedName>
    <definedName name="bal" localSheetId="6" hidden="1">{"'CALL MONEY'!$K$53"}</definedName>
    <definedName name="bal" localSheetId="7" hidden="1">{"'CALL MONEY'!$K$53"}</definedName>
    <definedName name="bal" localSheetId="8" hidden="1">{"'CALL MONEY'!$K$53"}</definedName>
    <definedName name="bal" localSheetId="9" hidden="1">{"'CALL MONEY'!$K$53"}</definedName>
    <definedName name="bal" localSheetId="3" hidden="1">{"'CALL MONEY'!$K$53"}</definedName>
    <definedName name="bal" localSheetId="14" hidden="1">{"'CALL MONEY'!$K$53"}</definedName>
    <definedName name="bal" localSheetId="4" hidden="1">{"'CALL MONEY'!$K$53"}</definedName>
    <definedName name="balance_type">1</definedName>
    <definedName name="balances" localSheetId="11" hidden="1">{"'CALL MONEY'!$K$53"}</definedName>
    <definedName name="balances" localSheetId="10" hidden="1">{"'CALL MONEY'!$K$53"}</definedName>
    <definedName name="balances" localSheetId="13" hidden="1">{"'CALL MONEY'!$K$53"}</definedName>
    <definedName name="balances" localSheetId="5" hidden="1">{"'CALL MONEY'!$K$53"}</definedName>
    <definedName name="balances" localSheetId="0" hidden="1">{"'CALL MONEY'!$K$53"}</definedName>
    <definedName name="balances" localSheetId="2" hidden="1">{"'CALL MONEY'!$K$53"}</definedName>
    <definedName name="balances" localSheetId="6" hidden="1">{"'CALL MONEY'!$K$53"}</definedName>
    <definedName name="balances" localSheetId="7" hidden="1">{"'CALL MONEY'!$K$53"}</definedName>
    <definedName name="balances" localSheetId="8" hidden="1">{"'CALL MONEY'!$K$53"}</definedName>
    <definedName name="balances" localSheetId="9" hidden="1">{"'CALL MONEY'!$K$53"}</definedName>
    <definedName name="balances" localSheetId="3" hidden="1">{"'CALL MONEY'!$K$53"}</definedName>
    <definedName name="balances" localSheetId="14" hidden="1">{"'CALL MONEY'!$K$53"}</definedName>
    <definedName name="balances" localSheetId="15" hidden="1">{"'CALL MONEY'!$K$53"}</definedName>
    <definedName name="balances" localSheetId="4" hidden="1">{"'CALL MONEY'!$K$53"}</definedName>
    <definedName name="base">1</definedName>
    <definedName name="BG_Del" hidden="1">15</definedName>
    <definedName name="BG_Ins" hidden="1">4</definedName>
    <definedName name="BG_Mod" hidden="1">6</definedName>
    <definedName name="bookAdjustment">"!$A$75"</definedName>
    <definedName name="BuiltIn_AutoFilter___2_11">NA()</definedName>
    <definedName name="BuiltIn_Print_Area___0_1">0</definedName>
    <definedName name="BuiltIn_Print_Area___0_10">0</definedName>
    <definedName name="BuiltIn_Print_Area___0_11">0</definedName>
    <definedName name="BuiltIn_Print_Area___0_12">0</definedName>
    <definedName name="BuiltIn_Print_Area___0_13">0</definedName>
    <definedName name="BuiltIn_Print_Area___0_14">0</definedName>
    <definedName name="BuiltIn_Print_Area___0_15">0</definedName>
    <definedName name="BuiltIn_Print_Area___0_16">0</definedName>
    <definedName name="BuiltIn_Print_Area___0_2">0</definedName>
    <definedName name="BuiltIn_Print_Area___0_3">0</definedName>
    <definedName name="BuiltIn_Print_Area___0_4">0</definedName>
    <definedName name="BuiltIn_Print_Area___0_5">0</definedName>
    <definedName name="BuiltIn_Print_Area___0_6">0</definedName>
    <definedName name="BuiltIn_Print_Area___0_7">0</definedName>
    <definedName name="BuiltIn_Print_Area___0_8">0</definedName>
    <definedName name="BuiltIn_Print_Area___0_9">0</definedName>
    <definedName name="BuiltIn_Print_Titles___0_1">0</definedName>
    <definedName name="BuiltIn_Print_Titles___0_10">0</definedName>
    <definedName name="BuiltIn_Print_Titles___0_11">0</definedName>
    <definedName name="BuiltIn_Print_Titles___0_2">0</definedName>
    <definedName name="BuiltIn_Print_Titles___0_3">0</definedName>
    <definedName name="BuiltIn_Print_Titles___0_4">0</definedName>
    <definedName name="BuiltIn_Print_Titles___0_5">0</definedName>
    <definedName name="BuiltIn_Print_Titles___0_6">0</definedName>
    <definedName name="BuiltIn_Print_Titles___0_7">0</definedName>
    <definedName name="BuiltIn_Print_Titles___0_8">0</definedName>
    <definedName name="BuiltIn_Print_Titles___0_9">0</definedName>
    <definedName name="BusinessUnitName">"Pakistan"</definedName>
    <definedName name="BusinessUnitScale">3</definedName>
    <definedName name="BusinessUnitTypeCode">"136"</definedName>
    <definedName name="calc">1</definedName>
    <definedName name="CategoryId">"R"</definedName>
    <definedName name="CDC" localSheetId="7" hidden="1">{"'CALL MONEY'!$K$53"}</definedName>
    <definedName name="CDC" hidden="1">{"'CALL MONEY'!$K$53"}</definedName>
    <definedName name="co">100</definedName>
    <definedName name="Component">"Group (Geog)"</definedName>
    <definedName name="ComponentId">"A"</definedName>
    <definedName name="cons" localSheetId="7" hidden="1">{"'CALL MONEY'!$K$53"}</definedName>
    <definedName name="cons" hidden="1">{"'CALL MONEY'!$K$53"}</definedName>
    <definedName name="Copy" localSheetId="7" hidden="1">{"'CALL MONEY'!$K$53"}</definedName>
    <definedName name="Copy" hidden="1">{"'CALL MONEY'!$K$53"}</definedName>
    <definedName name="DA_2642019479800002941" localSheetId="4" hidden="1">#REF!</definedName>
    <definedName name="DAL_RESERVED" localSheetId="0">#REF!</definedName>
    <definedName name="DAL_RESERVED" localSheetId="7">#REF!</definedName>
    <definedName name="DAL_RESERVED">#REF!</definedName>
    <definedName name="DALFirstRange" localSheetId="0">#REF!</definedName>
    <definedName name="DALFirstRange" localSheetId="7">#REF!</definedName>
    <definedName name="DALFirstRange">#REF!</definedName>
    <definedName name="DALS_GrandTotal" localSheetId="0" hidden="1">#REF!</definedName>
    <definedName name="DALS_GrandTotal" localSheetId="7" hidden="1">#REF!</definedName>
    <definedName name="DALS_GrandTotal" hidden="1">#REF!</definedName>
    <definedName name="DALS_Heading" localSheetId="0">#REF!</definedName>
    <definedName name="DALS_Heading" localSheetId="7">#REF!</definedName>
    <definedName name="DALS_Heading">#REF!</definedName>
    <definedName name="Dasfasf" localSheetId="15" hidden="1">#REF!</definedName>
    <definedName name="Days">365</definedName>
    <definedName name="DiffAmtHeader" localSheetId="0">#REF!</definedName>
    <definedName name="DiffAmtHeader" localSheetId="7">#REF!</definedName>
    <definedName name="DiffAmtHeader">#REF!</definedName>
    <definedName name="DiffPercentHeader" localSheetId="0">#REF!</definedName>
    <definedName name="DiffPercentHeader" localSheetId="7">#REF!</definedName>
    <definedName name="DiffPercentHeader">#REF!</definedName>
    <definedName name="Excel_BuiltIn_Print_Area_2_1_1_1_1_1">NA()</definedName>
    <definedName name="Excel_BuiltIn_Print_Area_2_1_1_1_1_1_1_1">NA()</definedName>
    <definedName name="Excel_BuiltIn_Print_Area_2_1_1_1_1_1_1_1_1">NA()</definedName>
    <definedName name="Excel_BuiltIn_Print_Area_2_1_1_1_1_1_1_1_1_1">NA()</definedName>
    <definedName name="Excel_BuiltIn_Print_Area_5_1_1_1">NA()</definedName>
    <definedName name="Excel_BuiltIn_Print_Area_5_1_1_1___0">NA()</definedName>
    <definedName name="Excel_BuiltIn_Print_Area_5_1_1_1_1_1_1">NA()</definedName>
    <definedName name="Excel_BuiltIn_Print_Area_5_1_1_1_1_1_1_1_1_1">NA()</definedName>
    <definedName name="Excel_BuiltIn_Print_Titles_14_1_1_1">NA()</definedName>
    <definedName name="Excel_BuiltIn_Print_Titles_14_1_1_1___0">NA()</definedName>
    <definedName name="Excel_BuiltIn_Print_Titles_15_1_1_1___0">NA()</definedName>
    <definedName name="Excel_BuiltIn_Print_Titles_17_1_1">NA()</definedName>
    <definedName name="Excel_BuiltIn_Print_Titles_17_1_1___0">NA()</definedName>
    <definedName name="Excel_BuiltIn_Print_Titles_17_1_1_1_1">NA()</definedName>
    <definedName name="Excel_BuiltIn_Print_Titles_17_1_1_1_1_1">NA()</definedName>
    <definedName name="Excel_BuiltIn_Print_Titles_2_1_1">NA()</definedName>
    <definedName name="Excel_BuiltIn_Print_Titles_7_1_1">NA()</definedName>
    <definedName name="Excel_BuiltIn_Print_Titles_8___0">NA()</definedName>
    <definedName name="farhat">2006</definedName>
    <definedName name="for" localSheetId="15" hidden="1">#REF!</definedName>
    <definedName name="gghhg" localSheetId="7" hidden="1">{"'CALL MONEY'!$K$53"}</definedName>
    <definedName name="gghhg" hidden="1">{"'CALL MONEY'!$K$53"}</definedName>
    <definedName name="GL" localSheetId="7" hidden="1">{"'CALL MONEY'!$K$53"}</definedName>
    <definedName name="GL" hidden="1">{"'CALL MONEY'!$K$53"}</definedName>
    <definedName name="Graphs" localSheetId="15" hidden="1">#REF!</definedName>
    <definedName name="Header_Row" localSheetId="15">ROW(#REF!)</definedName>
    <definedName name="hh" localSheetId="7" hidden="1">{"'CALL MONEY'!$K$53"}</definedName>
    <definedName name="hh" hidden="1">{"'CALL MONEY'!$K$53"}</definedName>
    <definedName name="hkhkhl" localSheetId="7" hidden="1">{"'CALL MONEY'!$K$53"}</definedName>
    <definedName name="hkhkhl" hidden="1">{"'CALL MONEY'!$K$53"}</definedName>
    <definedName name="html" localSheetId="7" hidden="1">{"'CALL MONEY'!$K$53"}</definedName>
    <definedName name="html" hidden="1">{"'CALL MONEY'!$K$53"}</definedName>
    <definedName name="html_cntrl" localSheetId="7" hidden="1">{"'CALL MONEY'!$K$53"}</definedName>
    <definedName name="html_cntrl" hidden="1">{"'CALL MONEY'!$K$53"}</definedName>
    <definedName name="html_cntrl465454" localSheetId="7" hidden="1">{"'CALL MONEY'!$K$53"}</definedName>
    <definedName name="html_cntrl465454" hidden="1">{"'CALL MONEY'!$K$53"}</definedName>
    <definedName name="HTML_CodePage" hidden="1">1252</definedName>
    <definedName name="HTML_Control" localSheetId="11" hidden="1">{"'CALL MONEY'!$K$53"}</definedName>
    <definedName name="HTML_Control" localSheetId="10" hidden="1">{"'CALL MONEY'!$K$53"}</definedName>
    <definedName name="HTML_Control" localSheetId="13" hidden="1">{"'CALL MONEY'!$K$53"}</definedName>
    <definedName name="HTML_Control" localSheetId="5" hidden="1">{"'CALL MONEY'!$K$53"}</definedName>
    <definedName name="HTML_Control" localSheetId="0" hidden="1">{"'CALL MONEY'!$K$53"}</definedName>
    <definedName name="HTML_Control" localSheetId="2" hidden="1">{"'CALL MONEY'!$K$53"}</definedName>
    <definedName name="HTML_Control" localSheetId="6" hidden="1">{"'CALL MONEY'!$K$53"}</definedName>
    <definedName name="HTML_Control" localSheetId="7" hidden="1">{"'CALL MONEY'!$K$53"}</definedName>
    <definedName name="HTML_Control" localSheetId="8" hidden="1">{"'CALL MONEY'!$K$53"}</definedName>
    <definedName name="HTML_Control" localSheetId="9" hidden="1">{"'CALL MONEY'!$K$53"}</definedName>
    <definedName name="HTML_Control" localSheetId="3" hidden="1">{"'CALL MONEY'!$K$53"}</definedName>
    <definedName name="HTML_Control" localSheetId="14" hidden="1">{"'CALL MONEY'!$K$53"}</definedName>
    <definedName name="HTML_Control" localSheetId="15" hidden="1">{"'CALL MONEY'!$K$53"}</definedName>
    <definedName name="HTML_Control" localSheetId="4" hidden="1">{"'CALL MONEY'!$K$53"}</definedName>
    <definedName name="html_control1" localSheetId="7" hidden="1">{"'CALL MONEY'!$K$53"}</definedName>
    <definedName name="html_control1" hidden="1">{"'CALL MONEY'!$K$53"}</definedName>
    <definedName name="html_ctl78" localSheetId="7" hidden="1">{"'CALL MONEY'!$K$53"}</definedName>
    <definedName name="html_ctl78" hidden="1">{"'CALL MONEY'!$K$53"}</definedName>
    <definedName name="HTML_Description" hidden="1">""</definedName>
    <definedName name="HTML_Email" hidden="1">""</definedName>
    <definedName name="HTML_Header" hidden="1">"CALL MONEY"</definedName>
    <definedName name="HTML_LastUpdate" hidden="1">"27/11/02"</definedName>
    <definedName name="HTML_LineAfter" hidden="1">FALSE</definedName>
    <definedName name="HTML_LineBefore" hidden="1">FALSE</definedName>
    <definedName name="HTML_Name" hidden="1">"Sana"</definedName>
    <definedName name="HTML_OBDlg2" hidden="1">TRUE</definedName>
    <definedName name="HTML_OBDlg4" hidden="1">TRUE</definedName>
    <definedName name="HTML_OS" hidden="1">0</definedName>
    <definedName name="HTML_PathFile" hidden="1">"C:\My Documents\MyHTML.htm"</definedName>
    <definedName name="HTML_Title" hidden="1">"HOLDING 27-11-2002"</definedName>
    <definedName name="iki" localSheetId="7" hidden="1">{"'CALL MONEY'!$K$53"}</definedName>
    <definedName name="iki" hidden="1">{"'CALL MONEY'!$K$53"}</definedName>
    <definedName name="Income" localSheetId="7" hidden="1">{"'CALL MONEY'!$K$53"}</definedName>
    <definedName name="Income" hidden="1">{"'CALL MONEY'!$K$53"}</definedName>
    <definedName name="Income1" localSheetId="7" hidden="1">{"'CALL MONEY'!$K$53"}</definedName>
    <definedName name="Income1" hidden="1">{"'CALL MONEY'!$K$53"}</definedName>
    <definedName name="invs" localSheetId="7" hidden="1">{"'CALL MONEY'!$K$53"}</definedName>
    <definedName name="invs" hidden="1">{"'CALL MONEY'!$K$53"}</definedName>
    <definedName name="iui" localSheetId="15" hidden="1">#REF!</definedName>
    <definedName name="jgujg" localSheetId="7" hidden="1">{"'CALL MONEY'!$K$53"}</definedName>
    <definedName name="jgujg" hidden="1">{"'CALL MONEY'!$K$53"}</definedName>
    <definedName name="jyjjy" localSheetId="7" hidden="1">{"'CALL MONEY'!$K$53"}</definedName>
    <definedName name="jyjjy" hidden="1">{"'CALL MONEY'!$K$53"}</definedName>
    <definedName name="k.k" localSheetId="7" hidden="1">{"'CALL MONEY'!$K$53"}</definedName>
    <definedName name="k.k" hidden="1">{"'CALL MONEY'!$K$53"}</definedName>
    <definedName name="KEY_S" localSheetId="15" hidden="1">#REF!</definedName>
    <definedName name="L_Adjust" localSheetId="10">[5]Links!$H$1:$H$65536</definedName>
    <definedName name="L_Adjust" localSheetId="1">[6]Links!$H$1:$H$65536</definedName>
    <definedName name="L_Adjust" localSheetId="13">[5]Links!$H$1:$H$65536</definedName>
    <definedName name="L_Adjust" localSheetId="5">[6]Links!$H$1:$H$65536</definedName>
    <definedName name="L_Adjust" localSheetId="0">[6]Links!$H$1:$H$65536</definedName>
    <definedName name="L_Adjust" localSheetId="2">[6]Links!$H$1:$H$65536</definedName>
    <definedName name="L_Adjust" localSheetId="6">[5]Links!$H$1:$H$65536</definedName>
    <definedName name="L_Adjust" localSheetId="7">[5]Links!$H$1:$H$65536</definedName>
    <definedName name="L_Adjust" localSheetId="8">[5]Links!$H$1:$H$65536</definedName>
    <definedName name="L_Adjust" localSheetId="9">[5]Links!$H$1:$H$65536</definedName>
    <definedName name="L_Adjust" localSheetId="14">[6]Links!$H$1:$H$65536</definedName>
    <definedName name="L_AJE_Tot" localSheetId="10">[5]Links!$G$1:$G$65536</definedName>
    <definedName name="L_AJE_Tot" localSheetId="1">[6]Links!$G$1:$G$65536</definedName>
    <definedName name="L_AJE_Tot" localSheetId="13">[5]Links!$G$1:$G$65536</definedName>
    <definedName name="L_AJE_Tot" localSheetId="5">[6]Links!$G$1:$G$65536</definedName>
    <definedName name="L_AJE_Tot" localSheetId="0">[6]Links!$G$1:$G$65536</definedName>
    <definedName name="L_AJE_Tot" localSheetId="2">[6]Links!$G$1:$G$65536</definedName>
    <definedName name="L_AJE_Tot" localSheetId="6">[5]Links!$G$1:$G$65536</definedName>
    <definedName name="L_AJE_Tot" localSheetId="7">[5]Links!$G$1:$G$65536</definedName>
    <definedName name="L_AJE_Tot" localSheetId="8">[5]Links!$G$1:$G$65536</definedName>
    <definedName name="L_AJE_Tot" localSheetId="9">[5]Links!$G$1:$G$65536</definedName>
    <definedName name="L_AJE_Tot" localSheetId="14">[6]Links!$G$1:$G$65536</definedName>
    <definedName name="L_CY_Beg" localSheetId="10">[5]Links!$F$1:$F$65536</definedName>
    <definedName name="L_CY_Beg" localSheetId="1">[6]Links!$F$1:$F$65536</definedName>
    <definedName name="L_CY_Beg" localSheetId="13">[5]Links!$F$1:$F$65536</definedName>
    <definedName name="L_CY_Beg" localSheetId="5">[6]Links!$F$1:$F$65536</definedName>
    <definedName name="L_CY_Beg" localSheetId="0">[6]Links!$F$1:$F$65536</definedName>
    <definedName name="L_CY_Beg" localSheetId="2">[6]Links!$F$1:$F$65536</definedName>
    <definedName name="L_CY_Beg" localSheetId="6">[5]Links!$F$1:$F$65536</definedName>
    <definedName name="L_CY_Beg" localSheetId="7">[5]Links!$F$1:$F$65536</definedName>
    <definedName name="L_CY_Beg" localSheetId="8">[5]Links!$F$1:$F$65536</definedName>
    <definedName name="L_CY_Beg" localSheetId="9">[5]Links!$F$1:$F$65536</definedName>
    <definedName name="L_CY_Beg" localSheetId="14">[6]Links!$F$1:$F$65536</definedName>
    <definedName name="L_CY_End" localSheetId="10">[5]Links!$J$1:$J$65536</definedName>
    <definedName name="L_CY_End" localSheetId="1">[6]Links!$J$1:$J$65536</definedName>
    <definedName name="L_CY_End" localSheetId="13">[5]Links!$J$1:$J$65536</definedName>
    <definedName name="L_CY_End" localSheetId="5">[6]Links!$J$1:$J$65536</definedName>
    <definedName name="L_CY_End" localSheetId="0">[6]Links!$J$1:$J$65536</definedName>
    <definedName name="L_CY_End" localSheetId="2">[6]Links!$J$1:$J$65536</definedName>
    <definedName name="L_CY_End" localSheetId="6">[5]Links!$J$1:$J$65536</definedName>
    <definedName name="L_CY_End" localSheetId="7">[5]Links!$J$1:$J$65536</definedName>
    <definedName name="L_CY_End" localSheetId="8">[5]Links!$J$1:$J$65536</definedName>
    <definedName name="L_CY_End" localSheetId="9">[5]Links!$J$1:$J$65536</definedName>
    <definedName name="L_CY_End" localSheetId="14">[6]Links!$J$1:$J$65536</definedName>
    <definedName name="L_PY_End" localSheetId="10">[5]Links!$K$1:$K$65536</definedName>
    <definedName name="L_PY_End" localSheetId="1">[6]Links!$K$1:$K$65536</definedName>
    <definedName name="L_PY_End" localSheetId="13">[5]Links!$K$1:$K$65536</definedName>
    <definedName name="L_PY_End" localSheetId="5">[6]Links!$K$1:$K$65536</definedName>
    <definedName name="L_PY_End" localSheetId="0">[6]Links!$K$1:$K$65536</definedName>
    <definedName name="L_PY_End" localSheetId="2">[6]Links!$K$1:$K$65536</definedName>
    <definedName name="L_PY_End" localSheetId="6">[5]Links!$K$1:$K$65536</definedName>
    <definedName name="L_PY_End" localSheetId="7">[5]Links!$K$1:$K$65536</definedName>
    <definedName name="L_PY_End" localSheetId="8">[5]Links!$K$1:$K$65536</definedName>
    <definedName name="L_PY_End" localSheetId="9">[5]Links!$K$1:$K$65536</definedName>
    <definedName name="L_PY_End" localSheetId="14">[6]Links!$K$1:$K$65536</definedName>
    <definedName name="L_RJE_Tot" localSheetId="10">[5]Links!$I$1:$I$65536</definedName>
    <definedName name="L_RJE_Tot" localSheetId="1">[6]Links!$I$1:$I$65536</definedName>
    <definedName name="L_RJE_Tot" localSheetId="13">[5]Links!$I$1:$I$65536</definedName>
    <definedName name="L_RJE_Tot" localSheetId="5">[6]Links!$I$1:$I$65536</definedName>
    <definedName name="L_RJE_Tot" localSheetId="0">[6]Links!$I$1:$I$65536</definedName>
    <definedName name="L_RJE_Tot" localSheetId="2">[6]Links!$I$1:$I$65536</definedName>
    <definedName name="L_RJE_Tot" localSheetId="6">[5]Links!$I$1:$I$65536</definedName>
    <definedName name="L_RJE_Tot" localSheetId="7">[5]Links!$I$1:$I$65536</definedName>
    <definedName name="L_RJE_Tot" localSheetId="8">[5]Links!$I$1:$I$65536</definedName>
    <definedName name="L_RJE_Tot" localSheetId="9">[5]Links!$I$1:$I$65536</definedName>
    <definedName name="L_RJE_Tot" localSheetId="14">[6]Links!$I$1:$I$65536</definedName>
    <definedName name="mk" localSheetId="15" hidden="1">#REF!</definedName>
    <definedName name="Month">9</definedName>
    <definedName name="Monthname">"January"</definedName>
    <definedName name="Number_of_Payments" localSheetId="15">MATCH(0.01,'UHF (2)'!End_Bal,-1)+1</definedName>
    <definedName name="Pattern" localSheetId="11" hidden="1">{"'CALL MONEY'!$K$53"}</definedName>
    <definedName name="Pattern" localSheetId="10" hidden="1">{"'CALL MONEY'!$K$53"}</definedName>
    <definedName name="Pattern" localSheetId="13" hidden="1">{"'CALL MONEY'!$K$53"}</definedName>
    <definedName name="Pattern" localSheetId="5" hidden="1">{"'CALL MONEY'!$K$53"}</definedName>
    <definedName name="Pattern" localSheetId="0" hidden="1">{"'CALL MONEY'!$K$53"}</definedName>
    <definedName name="Pattern" localSheetId="2" hidden="1">{"'CALL MONEY'!$K$53"}</definedName>
    <definedName name="Pattern" localSheetId="6" hidden="1">{"'CALL MONEY'!$K$53"}</definedName>
    <definedName name="Pattern" localSheetId="7" hidden="1">{"'CALL MONEY'!$K$53"}</definedName>
    <definedName name="Pattern" localSheetId="8" hidden="1">{"'CALL MONEY'!$K$53"}</definedName>
    <definedName name="Pattern" localSheetId="9" hidden="1">{"'CALL MONEY'!$K$53"}</definedName>
    <definedName name="Pattern" localSheetId="3" hidden="1">{"'CALL MONEY'!$K$53"}</definedName>
    <definedName name="Pattern" localSheetId="14" hidden="1">{"'CALL MONEY'!$K$53"}</definedName>
    <definedName name="Pattern" localSheetId="15" hidden="1">{"'CALL MONEY'!$K$53"}</definedName>
    <definedName name="Pattern" localSheetId="4" hidden="1">{"'CALL MONEY'!$K$53"}</definedName>
    <definedName name="period">12</definedName>
    <definedName name="PRELIM_TM" localSheetId="0">#REF!</definedName>
    <definedName name="PRELIM_TM" localSheetId="7">#REF!</definedName>
    <definedName name="PRELIM_TM">#REF!</definedName>
    <definedName name="PRELIM_TM2" localSheetId="0">#REF!</definedName>
    <definedName name="PRELIM_TM2" localSheetId="7">#REF!</definedName>
    <definedName name="PRELIM_TM2">#REF!</definedName>
    <definedName name="_xlnm.Print_Area" localSheetId="11">'13.3'!$A$1:$R$26</definedName>
    <definedName name="_xlnm.Print_Area" localSheetId="10">'7- 15'!$A$1:$J$247</definedName>
    <definedName name="_xlnm.Print_Area" localSheetId="1">BS!$A$1:$I$54</definedName>
    <definedName name="_xlnm.Print_Area" localSheetId="5">CF!$A$1:$H$64</definedName>
    <definedName name="_xlnm.Print_Area" localSheetId="0">'Form 7'!$A$1:$G$103</definedName>
    <definedName name="_xlnm.Print_Area" localSheetId="2">IS!$A$1:$G$73</definedName>
    <definedName name="_xlnm.Print_Area" localSheetId="6">'Note 1-5'!$A$1:$I$125</definedName>
    <definedName name="_xlnm.Print_Area" localSheetId="7">'Note 5.1'!$A$1:$O$128</definedName>
    <definedName name="_xlnm.Print_Area" localSheetId="8">'Note 5.2-5.3'!$A$1:$N$72</definedName>
    <definedName name="_xlnm.Print_Area" localSheetId="9">'Note 5.5-6.2'!$A$1:$I$80</definedName>
    <definedName name="_xlnm.Print_Area" localSheetId="3">OCI!$A$1:$H$31</definedName>
    <definedName name="_xlnm.Print_Area" localSheetId="14">UHA!$A$1:$L$62</definedName>
    <definedName name="_xlnm.Print_Area" localSheetId="15">'UHF (2)'!$A$1:$M$70</definedName>
    <definedName name="_xlnm.Print_Area" localSheetId="4">'UHF-Updated'!$A$1:$P$75</definedName>
    <definedName name="Print_Area_Reset" localSheetId="15">OFFSET('UHF (2)'!Full_Print,0,0,[0]!Last_Row)</definedName>
    <definedName name="_xlnm.Print_Titles" localSheetId="15">'UHF (2)'!$7:$13</definedName>
    <definedName name="qas" localSheetId="15" hidden="1">#REF!</definedName>
    <definedName name="qq" localSheetId="15" hidden="1">#REF!</definedName>
    <definedName name="qww" localSheetId="15" hidden="1">#REF!</definedName>
    <definedName name="RESERVED_DATA" localSheetId="0" hidden="1">#REF!</definedName>
    <definedName name="RESERVED_DATA" localSheetId="7" hidden="1">#REF!</definedName>
    <definedName name="RESERVED_DATA" hidden="1">#REF!</definedName>
    <definedName name="return" localSheetId="15">'UHF (2)'!NOPAT/'UHF (2)'!capital</definedName>
    <definedName name="rradj" localSheetId="15">'UHF (2)'!nopatadj/'UHF (2)'!capitaladj</definedName>
    <definedName name="S_Adjust" localSheetId="0">#REF!</definedName>
    <definedName name="S_Adjust" localSheetId="7">#REF!</definedName>
    <definedName name="S_Adjust">#REF!</definedName>
    <definedName name="S_Adjust_Data" localSheetId="10">[5]Lead!$I$1:$I$529</definedName>
    <definedName name="S_Adjust_Data" localSheetId="1">[6]Lead!$I$1:$I$249</definedName>
    <definedName name="S_Adjust_Data" localSheetId="13">[5]Lead!$I$1:$I$529</definedName>
    <definedName name="S_Adjust_Data" localSheetId="5">[6]Lead!$I$1:$I$249</definedName>
    <definedName name="S_Adjust_Data" localSheetId="0">[6]Lead!$I$1:$I$249</definedName>
    <definedName name="S_Adjust_Data" localSheetId="2">[6]Lead!$I$1:$I$249</definedName>
    <definedName name="S_Adjust_Data" localSheetId="6">[5]Lead!$I$1:$I$529</definedName>
    <definedName name="S_Adjust_Data" localSheetId="7">[5]Lead!$I$1:$I$529</definedName>
    <definedName name="S_Adjust_Data" localSheetId="8">[5]Lead!$I$1:$I$529</definedName>
    <definedName name="S_Adjust_Data" localSheetId="9">[5]Lead!$I$1:$I$529</definedName>
    <definedName name="S_Adjust_Data" localSheetId="14">[6]Lead!$I$1:$I$249</definedName>
    <definedName name="S_AJE_Tot_Data" localSheetId="10">[5]Lead!$H$1:$H$529</definedName>
    <definedName name="S_AJE_Tot_Data" localSheetId="1">[6]Lead!$H$1:$H$249</definedName>
    <definedName name="S_AJE_Tot_Data" localSheetId="13">[5]Lead!$H$1:$H$529</definedName>
    <definedName name="S_AJE_Tot_Data" localSheetId="5">[6]Lead!$H$1:$H$249</definedName>
    <definedName name="S_AJE_Tot_Data" localSheetId="0">[6]Lead!$H$1:$H$249</definedName>
    <definedName name="S_AJE_Tot_Data" localSheetId="2">[6]Lead!$H$1:$H$249</definedName>
    <definedName name="S_AJE_Tot_Data" localSheetId="6">[5]Lead!$H$1:$H$529</definedName>
    <definedName name="S_AJE_Tot_Data" localSheetId="7">[5]Lead!$H$1:$H$529</definedName>
    <definedName name="S_AJE_Tot_Data" localSheetId="8">[5]Lead!$H$1:$H$529</definedName>
    <definedName name="S_AJE_Tot_Data" localSheetId="9">[5]Lead!$H$1:$H$529</definedName>
    <definedName name="S_AJE_Tot_Data" localSheetId="14">[6]Lead!$H$1:$H$249</definedName>
    <definedName name="S_CY_Beg" localSheetId="0">#REF!</definedName>
    <definedName name="S_CY_Beg" localSheetId="7">#REF!</definedName>
    <definedName name="S_CY_Beg">#REF!</definedName>
    <definedName name="S_CY_Beg_Data" localSheetId="10">[5]Lead!$F$1:$F$529</definedName>
    <definedName name="S_CY_Beg_Data" localSheetId="1">[6]Lead!$F$1:$F$249</definedName>
    <definedName name="S_CY_Beg_Data" localSheetId="13">[5]Lead!$F$1:$F$529</definedName>
    <definedName name="S_CY_Beg_Data" localSheetId="5">[6]Lead!$F$1:$F$249</definedName>
    <definedName name="S_CY_Beg_Data" localSheetId="0">[6]Lead!$F$1:$F$249</definedName>
    <definedName name="S_CY_Beg_Data" localSheetId="2">[6]Lead!$F$1:$F$249</definedName>
    <definedName name="S_CY_Beg_Data" localSheetId="6">[5]Lead!$F$1:$F$529</definedName>
    <definedName name="S_CY_Beg_Data" localSheetId="7">[5]Lead!$F$1:$F$529</definedName>
    <definedName name="S_CY_Beg_Data" localSheetId="8">[5]Lead!$F$1:$F$529</definedName>
    <definedName name="S_CY_Beg_Data" localSheetId="9">[5]Lead!$F$1:$F$529</definedName>
    <definedName name="S_CY_Beg_Data" localSheetId="14">[6]Lead!$F$1:$F$249</definedName>
    <definedName name="S_CY_End_Data" localSheetId="10">[5]Lead!$K$1:$K$529</definedName>
    <definedName name="S_CY_End_Data" localSheetId="1">[6]Lead!$K$1:$K$249</definedName>
    <definedName name="S_CY_End_Data" localSheetId="13">[5]Lead!$K$1:$K$529</definedName>
    <definedName name="S_CY_End_Data" localSheetId="5">[6]Lead!$K$1:$K$249</definedName>
    <definedName name="S_CY_End_Data" localSheetId="0">[6]Lead!$K$1:$K$249</definedName>
    <definedName name="S_CY_End_Data" localSheetId="2">[6]Lead!$K$1:$K$249</definedName>
    <definedName name="S_CY_End_Data" localSheetId="6">[5]Lead!$K$1:$K$529</definedName>
    <definedName name="S_CY_End_Data" localSheetId="7">[5]Lead!$K$1:$K$529</definedName>
    <definedName name="S_CY_End_Data" localSheetId="8">[5]Lead!$K$1:$K$529</definedName>
    <definedName name="S_CY_End_Data" localSheetId="9">[5]Lead!$K$1:$K$529</definedName>
    <definedName name="S_CY_End_Data" localSheetId="14">[6]Lead!$K$1:$K$249</definedName>
    <definedName name="S_Diff_Pct" localSheetId="0">#REF!</definedName>
    <definedName name="S_Diff_Pct" localSheetId="7">#REF!</definedName>
    <definedName name="S_Diff_Pct">#REF!</definedName>
    <definedName name="S_GrpNum" localSheetId="0">#REF!</definedName>
    <definedName name="S_GrpNum" localSheetId="7">#REF!</definedName>
    <definedName name="S_GrpNum">#REF!</definedName>
    <definedName name="S_PY_End" localSheetId="0">#REF!</definedName>
    <definedName name="S_PY_End" localSheetId="7">#REF!</definedName>
    <definedName name="S_PY_End">#REF!</definedName>
    <definedName name="S_PY_End_Data" localSheetId="10">[5]Lead!$M$1:$M$529</definedName>
    <definedName name="S_PY_End_Data" localSheetId="1">[6]Lead!$M$1:$M$249</definedName>
    <definedName name="S_PY_End_Data" localSheetId="13">[5]Lead!$M$1:$M$529</definedName>
    <definedName name="S_PY_End_Data" localSheetId="5">[6]Lead!$M$1:$M$249</definedName>
    <definedName name="S_PY_End_Data" localSheetId="0">[6]Lead!$M$1:$M$249</definedName>
    <definedName name="S_PY_End_Data" localSheetId="2">[6]Lead!$M$1:$M$249</definedName>
    <definedName name="S_PY_End_Data" localSheetId="6">[5]Lead!$M$1:$M$529</definedName>
    <definedName name="S_PY_End_Data" localSheetId="7">[5]Lead!$M$1:$M$529</definedName>
    <definedName name="S_PY_End_Data" localSheetId="8">[5]Lead!$M$1:$M$529</definedName>
    <definedName name="S_PY_End_Data" localSheetId="9">[5]Lead!$M$1:$M$529</definedName>
    <definedName name="S_PY_End_Data" localSheetId="14">[6]Lead!$M$1:$M$249</definedName>
    <definedName name="S_RJE_Tot_Data" localSheetId="10">[5]Lead!$J$1:$J$529</definedName>
    <definedName name="S_RJE_Tot_Data" localSheetId="1">[6]Lead!$J$1:$J$249</definedName>
    <definedName name="S_RJE_Tot_Data" localSheetId="13">[5]Lead!$J$1:$J$529</definedName>
    <definedName name="S_RJE_Tot_Data" localSheetId="5">[6]Lead!$J$1:$J$249</definedName>
    <definedName name="S_RJE_Tot_Data" localSheetId="0">[6]Lead!$J$1:$J$249</definedName>
    <definedName name="S_RJE_Tot_Data" localSheetId="2">[6]Lead!$J$1:$J$249</definedName>
    <definedName name="S_RJE_Tot_Data" localSheetId="6">[5]Lead!$J$1:$J$529</definedName>
    <definedName name="S_RJE_Tot_Data" localSheetId="7">[5]Lead!$J$1:$J$529</definedName>
    <definedName name="S_RJE_Tot_Data" localSheetId="8">[5]Lead!$J$1:$J$529</definedName>
    <definedName name="S_RJE_Tot_Data" localSheetId="9">[5]Lead!$J$1:$J$529</definedName>
    <definedName name="S_RJE_Tot_Data" localSheetId="14">[6]Lead!$J$1:$J$249</definedName>
    <definedName name="saad" localSheetId="7" hidden="1">{"'CALL MONEY'!$K$53"}</definedName>
    <definedName name="saad" hidden="1">{"'CALL MONEY'!$K$53"}</definedName>
    <definedName name="sad" localSheetId="7" hidden="1">{"'CALL MONEY'!$K$53"}</definedName>
    <definedName name="sad" hidden="1">{"'CALL MONEY'!$K$53"}</definedName>
    <definedName name="SADSF" localSheetId="7" hidden="1">{"'CALL MONEY'!$K$53"}</definedName>
    <definedName name="SADSF" hidden="1">{"'CALL MONEY'!$K$53"}</definedName>
    <definedName name="Schedule">"Balance Sheet - Assets"</definedName>
    <definedName name="ScheduleID">"01"</definedName>
    <definedName name="Section">1</definedName>
    <definedName name="SectionName">"This Period (YTD)"</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pread" localSheetId="15">[0]!RR-[7]!wacc</definedName>
    <definedName name="STT" localSheetId="15" hidden="1">#REF!</definedName>
    <definedName name="sukuks" localSheetId="7" hidden="1">{"'CALL MONEY'!$K$53"}</definedName>
    <definedName name="sukuks" hidden="1">{"'CALL MONEY'!$K$53"}</definedName>
    <definedName name="TableName">"Dummy"</definedName>
    <definedName name="talha" localSheetId="7" hidden="1">{"'CALL MONEY'!$K$53"}</definedName>
    <definedName name="talha" hidden="1">{"'CALL MONEY'!$K$53"}</definedName>
    <definedName name="tam" localSheetId="15" hidden="1">#REF!</definedName>
    <definedName name="TB" localSheetId="15" hidden="1">#REF!</definedName>
    <definedName name="TextRefCopyRangeCount" localSheetId="15" hidden="1">2</definedName>
    <definedName name="tfc" localSheetId="7" hidden="1">{"'CALL MONEY'!$K$53"}</definedName>
    <definedName name="tfc" hidden="1">{"'CALL MONEY'!$K$53"}</definedName>
    <definedName name="TmpDALS_GrandTotal" localSheetId="0">#REF!</definedName>
    <definedName name="TmpDALS_GrandTotal" localSheetId="7">#REF!</definedName>
    <definedName name="TmpDALS_GrandTotal">#REF!</definedName>
    <definedName name="TmpRESERVED_DATA" localSheetId="0">#REF!</definedName>
    <definedName name="TmpRESERVED_DATA" localSheetId="7">#REF!</definedName>
    <definedName name="TmpRESERVED_DATA">#REF!</definedName>
    <definedName name="trtrtret" localSheetId="15" hidden="1">#REF!</definedName>
    <definedName name="ttt" localSheetId="15" hidden="1">#REF!</definedName>
    <definedName name="u" localSheetId="15" hidden="1">#REF!</definedName>
    <definedName name="UT" localSheetId="15" hidden="1">#REF!</definedName>
    <definedName name="value">3</definedName>
    <definedName name="Values_Entered" localSheetId="15">IF('UHF (2)'!Loan_Amount*'UHF (2)'!Interest_Rate*'UHF (2)'!Loan_Years*'UHF (2)'!Loan_Start&gt;0,1,0)</definedName>
    <definedName name="versionno">1</definedName>
    <definedName name="worlcall2008" localSheetId="15" hidden="1">#REF!</definedName>
    <definedName name="wrn.Book." localSheetId="7" hidden="1">{"EVA",#N/A,FALSE,"SMT2";#N/A,#N/A,FALSE,"Summary";#N/A,#N/A,FALSE,"Graphs";#N/A,#N/A,FALSE,"4 Panel"}</definedName>
    <definedName name="wrn.Book." hidden="1">{"EVA",#N/A,FALSE,"SMT2";#N/A,#N/A,FALSE,"Summary";#N/A,#N/A,FALSE,"Graphs";#N/A,#N/A,FALSE,"4 Panel"}</definedName>
    <definedName name="wrn.Complete." localSheetId="7" hidden="1">{#N/A,#N/A,FALSE,"SMT1";#N/A,#N/A,FALSE,"SMT2";#N/A,#N/A,FALSE,"Summary";#N/A,#N/A,FALSE,"Graphs";#N/A,#N/A,FALSE,"4 Panel"}</definedName>
    <definedName name="wrn.Complete." hidden="1">{#N/A,#N/A,FALSE,"SMT1";#N/A,#N/A,FALSE,"SMT2";#N/A,#N/A,FALSE,"Summary";#N/A,#N/A,FALSE,"Graphs";#N/A,#N/A,FALSE,"4 Panel"}</definedName>
    <definedName name="wrn.Complete._.Set." localSheetId="7"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sx" localSheetId="11" hidden="1">{"'CALL MONEY'!$K$53"}</definedName>
    <definedName name="wsx" localSheetId="10" hidden="1">{"'CALL MONEY'!$K$53"}</definedName>
    <definedName name="wsx" localSheetId="13" hidden="1">{"'CALL MONEY'!$K$53"}</definedName>
    <definedName name="wsx" localSheetId="5" hidden="1">{"'CALL MONEY'!$K$53"}</definedName>
    <definedName name="wsx" localSheetId="0" hidden="1">{"'CALL MONEY'!$K$53"}</definedName>
    <definedName name="wsx" localSheetId="2" hidden="1">{"'CALL MONEY'!$K$53"}</definedName>
    <definedName name="wsx" localSheetId="6" hidden="1">{"'CALL MONEY'!$K$53"}</definedName>
    <definedName name="wsx" localSheetId="7" hidden="1">{"'CALL MONEY'!$K$53"}</definedName>
    <definedName name="wsx" localSheetId="8" hidden="1">{"'CALL MONEY'!$K$53"}</definedName>
    <definedName name="wsx" localSheetId="9" hidden="1">{"'CALL MONEY'!$K$53"}</definedName>
    <definedName name="wsx" localSheetId="3" hidden="1">{"'CALL MONEY'!$K$53"}</definedName>
    <definedName name="wsx" localSheetId="14" hidden="1">{"'CALL MONEY'!$K$53"}</definedName>
    <definedName name="wsx" localSheetId="4" hidden="1">{"'CALL MONEY'!$K$53"}</definedName>
    <definedName name="XRefActiveRow" localSheetId="15" hidden="1">#REF!</definedName>
    <definedName name="XRefColumnsCount" hidden="1">1</definedName>
    <definedName name="XRefCopy1Row" localSheetId="15" hidden="1">#REF!</definedName>
    <definedName name="XRefCopyRangeCount" hidden="1">1</definedName>
    <definedName name="Year">2002</definedName>
    <definedName name="YR" localSheetId="15" hidden="1">#REF!</definedName>
    <definedName name="Z_2F0BD9A2_457D_11D2_8EE8_0060971217D4_.wvu.PrintArea" localSheetId="15" hidden="1">'[3]34-38.2'!#REF!</definedName>
    <definedName name="Z_2F0BD9A2_457D_11D2_8EE8_0060971217D4_.wvu.PrintTitles" localSheetId="15" hidden="1">'[3]34-38.2'!#REF!</definedName>
    <definedName name="Z_3AB84060_44C7_11D2_8EE8_0060971217D4_.wvu.PrintArea" localSheetId="15" hidden="1">'[3]34-38.2'!#REF!</definedName>
    <definedName name="Z_3AB84060_44C7_11D2_8EE8_0060971217D4_.wvu.PrintTitles" localSheetId="15" hidden="1">'[3]34-38.2'!#REF!</definedName>
    <definedName name="Z_C2C0FF43_603F_11D2_A368_00001C3AD7D3_.wvu.PrintArea" localSheetId="15" hidden="1">'[3]34-38.2'!#REF!</definedName>
    <definedName name="Z_C2C0FF43_603F_11D2_A368_00001C3AD7D3_.wvu.PrintTitles" localSheetId="15" hidden="1">'[3]34-38.2'!#REF!</definedName>
    <definedName name="Z_D068BBA0_44C0_11D2_8EE8_0060971217D4_.wvu.Cols" localSheetId="15" hidden="1">'[3]34-38.2'!#REF!,'[3]34-38.2'!#REF!,'[3]34-38.2'!#REF!,'[3]34-38.2'!#REF!</definedName>
    <definedName name="Z_D068BBA0_44C0_11D2_8EE8_0060971217D4_.wvu.PrintArea" localSheetId="15" hidden="1">'[3]34-38.2'!#REF!</definedName>
    <definedName name="zzz" localSheetId="15" hidden="1">'[8]Adv to vendor'!#REF!</definedName>
  </definedNames>
  <calcPr calcId="162913"/>
</workbook>
</file>

<file path=xl/calcChain.xml><?xml version="1.0" encoding="utf-8"?>
<calcChain xmlns="http://schemas.openxmlformats.org/spreadsheetml/2006/main">
  <c r="AG75" i="10" l="1"/>
  <c r="AF75" i="10"/>
  <c r="AG74" i="10"/>
  <c r="AF74" i="10"/>
  <c r="AG73" i="10"/>
  <c r="AF73" i="10"/>
  <c r="AB88" i="22" l="1"/>
  <c r="AB89" i="22" s="1"/>
  <c r="AB90" i="22" s="1"/>
  <c r="I80" i="22" l="1"/>
  <c r="I79" i="22"/>
  <c r="I68" i="22" s="1"/>
  <c r="E78" i="22"/>
  <c r="E84" i="22" s="1"/>
  <c r="G76" i="22"/>
  <c r="G78" i="22" s="1"/>
  <c r="G84" i="22" s="1"/>
  <c r="J75" i="22"/>
  <c r="E62" i="22"/>
  <c r="G57" i="22"/>
  <c r="E56" i="22"/>
  <c r="E55" i="22"/>
  <c r="E54" i="22"/>
  <c r="E53" i="22"/>
  <c r="E52" i="22"/>
  <c r="E51" i="22"/>
  <c r="E50" i="22"/>
  <c r="E49" i="22"/>
  <c r="E48" i="22"/>
  <c r="E47" i="22"/>
  <c r="E46" i="22"/>
  <c r="E44" i="22"/>
  <c r="E42" i="22"/>
  <c r="G38" i="22"/>
  <c r="G59" i="22" s="1"/>
  <c r="G64" i="22" s="1"/>
  <c r="G72" i="22" s="1"/>
  <c r="E37" i="22"/>
  <c r="E35" i="22"/>
  <c r="E34" i="22"/>
  <c r="H75" i="22" s="1"/>
  <c r="K33" i="22"/>
  <c r="E33" i="22"/>
  <c r="K32" i="22"/>
  <c r="E32" i="22"/>
  <c r="I31" i="22"/>
  <c r="E31" i="22"/>
  <c r="E30" i="22"/>
  <c r="E81" i="22" l="1"/>
  <c r="E82" i="22" s="1"/>
  <c r="I81" i="22"/>
  <c r="E57" i="22"/>
  <c r="H57" i="22" s="1"/>
  <c r="E38" i="22"/>
  <c r="H38" i="22" s="1"/>
  <c r="H39" i="22" s="1"/>
  <c r="H79" i="22"/>
  <c r="H81" i="22" s="1"/>
  <c r="M29" i="11"/>
  <c r="N43" i="11"/>
  <c r="I62" i="22" l="1"/>
  <c r="E59" i="22"/>
  <c r="E64" i="22" s="1"/>
  <c r="N115" i="21"/>
  <c r="N110" i="21"/>
  <c r="N105" i="21"/>
  <c r="N100" i="21"/>
  <c r="N99" i="21"/>
  <c r="N98" i="21"/>
  <c r="N93" i="21"/>
  <c r="N92" i="21"/>
  <c r="N88" i="21"/>
  <c r="N87" i="21"/>
  <c r="N81" i="21"/>
  <c r="N80" i="21"/>
  <c r="N75" i="21"/>
  <c r="N71" i="21"/>
  <c r="N70" i="21"/>
  <c r="N66" i="21"/>
  <c r="N65" i="21"/>
  <c r="N64" i="21"/>
  <c r="N59" i="21"/>
  <c r="N55" i="21"/>
  <c r="N56" i="21"/>
  <c r="N50" i="21"/>
  <c r="N49" i="21"/>
  <c r="N48" i="21"/>
  <c r="N47" i="21"/>
  <c r="N46" i="21"/>
  <c r="N45" i="21"/>
  <c r="N44" i="21"/>
  <c r="N43" i="21"/>
  <c r="N39" i="21"/>
  <c r="N34" i="21"/>
  <c r="N33" i="21"/>
  <c r="N32" i="21"/>
  <c r="N31" i="21"/>
  <c r="N30" i="21"/>
  <c r="N29" i="21"/>
  <c r="N28" i="21"/>
  <c r="N22" i="21"/>
  <c r="N21" i="21"/>
  <c r="N20" i="21"/>
  <c r="N15" i="21"/>
  <c r="N14" i="21"/>
  <c r="N13" i="21"/>
  <c r="E68" i="22" l="1"/>
  <c r="H68" i="22" s="1"/>
  <c r="E72" i="22"/>
  <c r="D42" i="3"/>
  <c r="I75" i="22" l="1"/>
  <c r="F204" i="11"/>
  <c r="G46" i="10" l="1"/>
  <c r="M74" i="11" l="1"/>
  <c r="O71" i="11"/>
  <c r="E32" i="3" l="1"/>
  <c r="E17" i="3"/>
  <c r="G6" i="19"/>
  <c r="E36" i="3"/>
  <c r="G103" i="6" l="1"/>
  <c r="C15" i="14" l="1"/>
  <c r="B15" i="14"/>
  <c r="B9" i="14"/>
  <c r="C9" i="14"/>
  <c r="G122" i="6"/>
  <c r="G121" i="6"/>
  <c r="G120" i="6"/>
  <c r="A2" i="8"/>
  <c r="E121" i="6" s="1"/>
  <c r="E120" i="6"/>
  <c r="G32" i="10"/>
  <c r="G31" i="10"/>
  <c r="K70" i="8"/>
  <c r="J66" i="8"/>
  <c r="N66" i="8" s="1"/>
  <c r="I66" i="8"/>
  <c r="H42" i="8"/>
  <c r="H41" i="8"/>
  <c r="H40" i="8"/>
  <c r="H28" i="8"/>
  <c r="H27" i="8"/>
  <c r="H26" i="8"/>
  <c r="H25" i="8"/>
  <c r="H24" i="8"/>
  <c r="H23" i="8"/>
  <c r="H22" i="8"/>
  <c r="H17" i="8"/>
  <c r="H16" i="8"/>
  <c r="H15" i="8"/>
  <c r="H14" i="8"/>
  <c r="H13" i="8"/>
  <c r="H12" i="8"/>
  <c r="H11" i="8"/>
  <c r="H10" i="8"/>
  <c r="P11" i="21"/>
  <c r="Q11" i="21"/>
  <c r="P12" i="21"/>
  <c r="Q12" i="21"/>
  <c r="I13" i="21"/>
  <c r="L13" i="21"/>
  <c r="I14" i="21"/>
  <c r="L14" i="21"/>
  <c r="I15" i="21"/>
  <c r="L15" i="21"/>
  <c r="J16" i="21"/>
  <c r="K16" i="21"/>
  <c r="L16" i="21"/>
  <c r="O16" i="21"/>
  <c r="I20" i="21"/>
  <c r="L20" i="21"/>
  <c r="L23" i="21" s="1"/>
  <c r="I21" i="21"/>
  <c r="L21" i="21"/>
  <c r="I22" i="21"/>
  <c r="L22" i="21"/>
  <c r="J23" i="21"/>
  <c r="K23" i="21"/>
  <c r="O23" i="21"/>
  <c r="I28" i="21"/>
  <c r="L28" i="21"/>
  <c r="I29" i="21"/>
  <c r="L29" i="21"/>
  <c r="I30" i="21"/>
  <c r="L30" i="21"/>
  <c r="I31" i="21"/>
  <c r="L31" i="21"/>
  <c r="I32" i="21"/>
  <c r="L32" i="21"/>
  <c r="P32" i="21"/>
  <c r="Q32" i="21"/>
  <c r="I33" i="21"/>
  <c r="L33" i="21"/>
  <c r="L35" i="21" s="1"/>
  <c r="P33" i="21"/>
  <c r="Q33" i="21"/>
  <c r="I34" i="21"/>
  <c r="L34" i="21"/>
  <c r="J35" i="21"/>
  <c r="K35" i="21"/>
  <c r="O35" i="21"/>
  <c r="I39" i="21"/>
  <c r="L39" i="21"/>
  <c r="L40" i="21" s="1"/>
  <c r="J40" i="21"/>
  <c r="K40" i="21"/>
  <c r="O40" i="21"/>
  <c r="P42" i="21"/>
  <c r="Q42" i="21"/>
  <c r="I43" i="21"/>
  <c r="L43" i="21"/>
  <c r="L51" i="21" s="1"/>
  <c r="P43" i="21"/>
  <c r="Q43" i="21"/>
  <c r="I44" i="21"/>
  <c r="L44" i="21"/>
  <c r="I45" i="21"/>
  <c r="L45" i="21"/>
  <c r="I46" i="21"/>
  <c r="L46" i="21"/>
  <c r="I47" i="21"/>
  <c r="L47" i="21"/>
  <c r="I48" i="21"/>
  <c r="L48" i="21"/>
  <c r="I49" i="21"/>
  <c r="L49" i="21"/>
  <c r="P49" i="21"/>
  <c r="Q49" i="21"/>
  <c r="I50" i="21"/>
  <c r="L50" i="21"/>
  <c r="P50" i="21"/>
  <c r="Q50" i="21"/>
  <c r="J51" i="21"/>
  <c r="K51" i="21"/>
  <c r="O51" i="21"/>
  <c r="I55" i="21"/>
  <c r="L55" i="21"/>
  <c r="L56" i="21" s="1"/>
  <c r="J56" i="21"/>
  <c r="K56" i="21"/>
  <c r="O56" i="21"/>
  <c r="I59" i="21"/>
  <c r="L59" i="21"/>
  <c r="J60" i="21"/>
  <c r="K60" i="21"/>
  <c r="L60" i="21"/>
  <c r="O60" i="21"/>
  <c r="P63" i="21"/>
  <c r="Q63" i="21"/>
  <c r="I64" i="21"/>
  <c r="L64" i="21"/>
  <c r="P64" i="21"/>
  <c r="Q64" i="21"/>
  <c r="I65" i="21"/>
  <c r="L65" i="21"/>
  <c r="L67" i="21" s="1"/>
  <c r="P65" i="21"/>
  <c r="Q65" i="21"/>
  <c r="I66" i="21"/>
  <c r="L66" i="21"/>
  <c r="P66" i="21"/>
  <c r="Q66" i="21"/>
  <c r="J67" i="21"/>
  <c r="K67" i="21"/>
  <c r="O67" i="21"/>
  <c r="I70" i="21"/>
  <c r="L70" i="21"/>
  <c r="I71" i="21"/>
  <c r="L71" i="21"/>
  <c r="J72" i="21"/>
  <c r="K72" i="21"/>
  <c r="L72" i="21"/>
  <c r="O72" i="21"/>
  <c r="I75" i="21"/>
  <c r="L75" i="21"/>
  <c r="L76" i="21" s="1"/>
  <c r="J76" i="21"/>
  <c r="K76" i="21"/>
  <c r="O76" i="21"/>
  <c r="P79" i="21"/>
  <c r="Q79" i="21"/>
  <c r="I80" i="21"/>
  <c r="L80" i="21"/>
  <c r="L82" i="21" s="1"/>
  <c r="P80" i="21"/>
  <c r="Q80" i="21"/>
  <c r="I81" i="21"/>
  <c r="L81" i="21"/>
  <c r="J82" i="21"/>
  <c r="K82" i="21"/>
  <c r="O82" i="21"/>
  <c r="I87" i="21"/>
  <c r="L87" i="21"/>
  <c r="L89" i="21" s="1"/>
  <c r="I88" i="21"/>
  <c r="L88" i="21"/>
  <c r="J89" i="21"/>
  <c r="K89" i="21"/>
  <c r="O89" i="21"/>
  <c r="I92" i="21"/>
  <c r="L92" i="21"/>
  <c r="I93" i="21"/>
  <c r="L93" i="21"/>
  <c r="J94" i="21"/>
  <c r="K94" i="21"/>
  <c r="L94" i="21"/>
  <c r="O94" i="21"/>
  <c r="I98" i="21"/>
  <c r="L98" i="21"/>
  <c r="L101" i="21" s="1"/>
  <c r="I99" i="21"/>
  <c r="L99" i="21"/>
  <c r="I100" i="21"/>
  <c r="L100" i="21"/>
  <c r="J101" i="21"/>
  <c r="K101" i="21"/>
  <c r="O101" i="21"/>
  <c r="P104" i="21"/>
  <c r="Q104" i="21"/>
  <c r="I105" i="21"/>
  <c r="L105" i="21"/>
  <c r="L106" i="21" s="1"/>
  <c r="P105" i="21"/>
  <c r="Q105" i="21"/>
  <c r="J106" i="21"/>
  <c r="K106" i="21"/>
  <c r="O106" i="21"/>
  <c r="I110" i="21"/>
  <c r="L110" i="21"/>
  <c r="L111" i="21" s="1"/>
  <c r="J111" i="21"/>
  <c r="K111" i="21"/>
  <c r="O111" i="21"/>
  <c r="I115" i="21"/>
  <c r="L115" i="21"/>
  <c r="J116" i="21"/>
  <c r="K116" i="21"/>
  <c r="L116" i="21"/>
  <c r="O116" i="21"/>
  <c r="J119" i="21"/>
  <c r="K119" i="21"/>
  <c r="J131" i="21"/>
  <c r="K131" i="21"/>
  <c r="K135" i="21"/>
  <c r="O135" i="21" s="1"/>
  <c r="N135" i="21"/>
  <c r="S21" i="18"/>
  <c r="S15" i="18"/>
  <c r="F35" i="19"/>
  <c r="C36" i="19"/>
  <c r="E36" i="19" s="1"/>
  <c r="F36" i="19" s="1"/>
  <c r="D36" i="19"/>
  <c r="K66" i="8" l="1"/>
  <c r="L119" i="21"/>
  <c r="I47" i="10"/>
  <c r="I137" i="11" l="1"/>
  <c r="G35" i="13" l="1"/>
  <c r="G33" i="13"/>
  <c r="G23" i="13"/>
  <c r="Y26" i="18" l="1"/>
  <c r="AB36" i="18"/>
  <c r="AB21" i="18"/>
  <c r="C172" i="19"/>
  <c r="E172" i="19" s="1"/>
  <c r="F172" i="19" s="1"/>
  <c r="E42" i="3" s="1"/>
  <c r="D172" i="19"/>
  <c r="C171" i="19"/>
  <c r="E171" i="19" s="1"/>
  <c r="F171" i="19" s="1"/>
  <c r="D171" i="19"/>
  <c r="O94" i="19"/>
  <c r="O26" i="19"/>
  <c r="G52" i="3" l="1"/>
  <c r="C90" i="19"/>
  <c r="D90" i="19"/>
  <c r="C68" i="19"/>
  <c r="E68" i="19" s="1"/>
  <c r="F68" i="19" s="1"/>
  <c r="D68" i="19"/>
  <c r="C23" i="19"/>
  <c r="E23" i="19" s="1"/>
  <c r="F23" i="19" s="1"/>
  <c r="D23" i="19"/>
  <c r="O24" i="19"/>
  <c r="O19" i="19"/>
  <c r="O21" i="19" s="1"/>
  <c r="E90" i="19" l="1"/>
  <c r="F90" i="19" s="1"/>
  <c r="G89" i="19" s="1"/>
  <c r="F23" i="18"/>
  <c r="M134" i="11" l="1"/>
  <c r="R104" i="6" l="1"/>
  <c r="T103" i="6"/>
  <c r="E47" i="13" l="1"/>
  <c r="K13" i="3"/>
  <c r="K12" i="3"/>
  <c r="D170" i="19" l="1"/>
  <c r="C170" i="19"/>
  <c r="D169" i="19"/>
  <c r="C169" i="19"/>
  <c r="D168" i="19"/>
  <c r="C168" i="19"/>
  <c r="D167" i="19"/>
  <c r="C167" i="19"/>
  <c r="D166" i="19"/>
  <c r="C166" i="19"/>
  <c r="D165" i="19"/>
  <c r="C165" i="19"/>
  <c r="D164" i="19"/>
  <c r="C164" i="19"/>
  <c r="D163" i="19"/>
  <c r="C163" i="19"/>
  <c r="D162" i="19"/>
  <c r="C162" i="19"/>
  <c r="D161" i="19"/>
  <c r="C161" i="19"/>
  <c r="D160" i="19"/>
  <c r="C160" i="19"/>
  <c r="D159" i="19"/>
  <c r="C159" i="19"/>
  <c r="D158" i="19"/>
  <c r="C158" i="19"/>
  <c r="D157" i="19"/>
  <c r="C157" i="19"/>
  <c r="D4" i="19"/>
  <c r="D5" i="19"/>
  <c r="D6" i="19"/>
  <c r="D7" i="19"/>
  <c r="D8" i="19"/>
  <c r="D9" i="19"/>
  <c r="D10" i="19"/>
  <c r="D11" i="19"/>
  <c r="D12" i="19"/>
  <c r="D13" i="19"/>
  <c r="D14" i="19"/>
  <c r="D15" i="19"/>
  <c r="D16" i="19"/>
  <c r="D17" i="19"/>
  <c r="D18" i="19"/>
  <c r="D19" i="19"/>
  <c r="D20" i="19"/>
  <c r="D21" i="19"/>
  <c r="D22" i="19"/>
  <c r="D24" i="19"/>
  <c r="D25" i="19"/>
  <c r="D26" i="19"/>
  <c r="D27" i="19"/>
  <c r="D28" i="19"/>
  <c r="D29" i="19"/>
  <c r="D30" i="19"/>
  <c r="D31" i="19"/>
  <c r="D32" i="19"/>
  <c r="D33" i="19"/>
  <c r="D34" i="19"/>
  <c r="D35"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9" i="19"/>
  <c r="D70" i="19"/>
  <c r="D71" i="19"/>
  <c r="D72" i="19"/>
  <c r="D73" i="19"/>
  <c r="D74" i="19"/>
  <c r="D75" i="19"/>
  <c r="D76" i="19"/>
  <c r="D77" i="19"/>
  <c r="D78" i="19"/>
  <c r="D79" i="19"/>
  <c r="D80" i="19"/>
  <c r="D81" i="19"/>
  <c r="D82" i="19"/>
  <c r="D83" i="19"/>
  <c r="D84" i="19"/>
  <c r="D85" i="19"/>
  <c r="D86" i="19"/>
  <c r="D87" i="19"/>
  <c r="D88" i="19"/>
  <c r="D89" i="19"/>
  <c r="D91" i="19"/>
  <c r="D92" i="19"/>
  <c r="D93" i="19"/>
  <c r="D94" i="19"/>
  <c r="D95" i="19"/>
  <c r="D96" i="19"/>
  <c r="D97" i="19"/>
  <c r="D98" i="19"/>
  <c r="D99" i="19"/>
  <c r="D100" i="19"/>
  <c r="D101" i="19"/>
  <c r="D102" i="19"/>
  <c r="D103" i="19"/>
  <c r="D104" i="19"/>
  <c r="D105" i="19"/>
  <c r="D106" i="19"/>
  <c r="D107" i="19"/>
  <c r="D108" i="19"/>
  <c r="D109" i="19"/>
  <c r="D110" i="19"/>
  <c r="D111" i="19"/>
  <c r="D112" i="19"/>
  <c r="D113" i="19"/>
  <c r="D114" i="19"/>
  <c r="D115" i="19"/>
  <c r="D116" i="19"/>
  <c r="D117" i="19"/>
  <c r="D118" i="19"/>
  <c r="D119" i="19"/>
  <c r="D120" i="19"/>
  <c r="D121" i="19"/>
  <c r="D122" i="19"/>
  <c r="D123" i="19"/>
  <c r="D124" i="19"/>
  <c r="D125" i="19"/>
  <c r="D126" i="19"/>
  <c r="D127" i="19"/>
  <c r="D128" i="19"/>
  <c r="D129" i="19"/>
  <c r="D130" i="19"/>
  <c r="D131" i="19"/>
  <c r="D132" i="19"/>
  <c r="D133" i="19"/>
  <c r="D134" i="19"/>
  <c r="D135" i="19"/>
  <c r="D136" i="19"/>
  <c r="D137" i="19"/>
  <c r="D138" i="19"/>
  <c r="D139" i="19"/>
  <c r="D140" i="19"/>
  <c r="D141" i="19"/>
  <c r="D142" i="19"/>
  <c r="D143" i="19"/>
  <c r="D144" i="19"/>
  <c r="D145" i="19"/>
  <c r="D146" i="19"/>
  <c r="D147" i="19"/>
  <c r="D148" i="19"/>
  <c r="D149" i="19"/>
  <c r="D150" i="19"/>
  <c r="D151" i="19"/>
  <c r="D152" i="19"/>
  <c r="D153" i="19"/>
  <c r="D154" i="19"/>
  <c r="D155" i="19"/>
  <c r="D156" i="19"/>
  <c r="C4" i="19"/>
  <c r="C5" i="19"/>
  <c r="C6" i="19"/>
  <c r="E6" i="19" s="1"/>
  <c r="F6" i="19" s="1"/>
  <c r="C7" i="19"/>
  <c r="C8" i="19"/>
  <c r="C9" i="19"/>
  <c r="C10" i="19"/>
  <c r="E10" i="19" s="1"/>
  <c r="F10" i="19" s="1"/>
  <c r="C11" i="19"/>
  <c r="C12" i="19"/>
  <c r="C13" i="19"/>
  <c r="C14" i="19"/>
  <c r="E14" i="19" s="1"/>
  <c r="F14" i="19" s="1"/>
  <c r="C15" i="19"/>
  <c r="C16" i="19"/>
  <c r="C17" i="19"/>
  <c r="C18" i="19"/>
  <c r="E18" i="19" s="1"/>
  <c r="F18" i="19" s="1"/>
  <c r="C19" i="19"/>
  <c r="C20" i="19"/>
  <c r="C21" i="19"/>
  <c r="C22" i="19"/>
  <c r="E22" i="19" s="1"/>
  <c r="F22" i="19" s="1"/>
  <c r="C24" i="19"/>
  <c r="C25" i="19"/>
  <c r="C26" i="19"/>
  <c r="C27" i="19"/>
  <c r="E27" i="19" s="1"/>
  <c r="F27" i="19" s="1"/>
  <c r="G26" i="19" s="1"/>
  <c r="C28" i="19"/>
  <c r="C29" i="19"/>
  <c r="C30" i="19"/>
  <c r="C31" i="19"/>
  <c r="E31" i="19" s="1"/>
  <c r="F31" i="19" s="1"/>
  <c r="C32" i="19"/>
  <c r="C33" i="19"/>
  <c r="C34" i="19"/>
  <c r="C35" i="19"/>
  <c r="E35" i="19" s="1"/>
  <c r="G15" i="2" s="1"/>
  <c r="C37" i="19"/>
  <c r="C38" i="19"/>
  <c r="C39" i="19"/>
  <c r="C40" i="19"/>
  <c r="E40" i="19" s="1"/>
  <c r="F40" i="19" s="1"/>
  <c r="C41" i="19"/>
  <c r="C42" i="19"/>
  <c r="C43" i="19"/>
  <c r="C44" i="19"/>
  <c r="E44" i="19" s="1"/>
  <c r="F44" i="19" s="1"/>
  <c r="C45" i="19"/>
  <c r="C46" i="19"/>
  <c r="C47" i="19"/>
  <c r="C48" i="19"/>
  <c r="E48" i="19" s="1"/>
  <c r="F48" i="19" s="1"/>
  <c r="C49" i="19"/>
  <c r="C50" i="19"/>
  <c r="C51" i="19"/>
  <c r="C52" i="19"/>
  <c r="E52" i="19" s="1"/>
  <c r="F52" i="19" s="1"/>
  <c r="C53" i="19"/>
  <c r="C54" i="19"/>
  <c r="C55" i="19"/>
  <c r="C56" i="19"/>
  <c r="E56" i="19" s="1"/>
  <c r="F56" i="19" s="1"/>
  <c r="C57" i="19"/>
  <c r="C58" i="19"/>
  <c r="C59" i="19"/>
  <c r="C60" i="19"/>
  <c r="E60" i="19" s="1"/>
  <c r="F60" i="19" s="1"/>
  <c r="C61" i="19"/>
  <c r="C62" i="19"/>
  <c r="C63" i="19"/>
  <c r="C64" i="19"/>
  <c r="E64" i="19" s="1"/>
  <c r="F64" i="19" s="1"/>
  <c r="C65" i="19"/>
  <c r="C66" i="19"/>
  <c r="C67" i="19"/>
  <c r="C69" i="19"/>
  <c r="E69" i="19" s="1"/>
  <c r="F69" i="19" s="1"/>
  <c r="C70" i="19"/>
  <c r="C71" i="19"/>
  <c r="C72" i="19"/>
  <c r="C73" i="19"/>
  <c r="E73" i="19" s="1"/>
  <c r="F73" i="19" s="1"/>
  <c r="C74" i="19"/>
  <c r="C75" i="19"/>
  <c r="C76" i="19"/>
  <c r="C77" i="19"/>
  <c r="E77" i="19" s="1"/>
  <c r="F77" i="19" s="1"/>
  <c r="C78" i="19"/>
  <c r="C79" i="19"/>
  <c r="C80" i="19"/>
  <c r="C81" i="19"/>
  <c r="E81" i="19" s="1"/>
  <c r="F81" i="19" s="1"/>
  <c r="G74" i="10" s="1"/>
  <c r="I161" i="11" s="1"/>
  <c r="C82" i="19"/>
  <c r="C83" i="19"/>
  <c r="C84" i="19"/>
  <c r="C85" i="19"/>
  <c r="E85" i="19" s="1"/>
  <c r="F85" i="19" s="1"/>
  <c r="I170" i="11" s="1"/>
  <c r="C86" i="19"/>
  <c r="C87" i="19"/>
  <c r="C88" i="19"/>
  <c r="C89" i="19"/>
  <c r="E89" i="19" s="1"/>
  <c r="F89" i="19" s="1"/>
  <c r="C91" i="19"/>
  <c r="C92" i="19"/>
  <c r="C93" i="19"/>
  <c r="C94" i="19"/>
  <c r="E94" i="19" s="1"/>
  <c r="F94" i="19" s="1"/>
  <c r="C95" i="19"/>
  <c r="C96" i="19"/>
  <c r="C97" i="19"/>
  <c r="C98" i="19"/>
  <c r="E98" i="19" s="1"/>
  <c r="F98" i="19" s="1"/>
  <c r="G86" i="19" s="1"/>
  <c r="C99" i="19"/>
  <c r="C100" i="19"/>
  <c r="C101" i="19"/>
  <c r="C102" i="19"/>
  <c r="E102" i="19" s="1"/>
  <c r="F102" i="19" s="1"/>
  <c r="G88" i="19" s="1"/>
  <c r="C103" i="19"/>
  <c r="C104" i="19"/>
  <c r="C105" i="19"/>
  <c r="C106" i="19"/>
  <c r="E106" i="19" s="1"/>
  <c r="F106" i="19" s="1"/>
  <c r="G93" i="19" s="1"/>
  <c r="C107" i="19"/>
  <c r="C108" i="19"/>
  <c r="C109" i="19"/>
  <c r="C110" i="19"/>
  <c r="E110" i="19" s="1"/>
  <c r="F110" i="19" s="1"/>
  <c r="C111" i="19"/>
  <c r="C112" i="19"/>
  <c r="C113" i="19"/>
  <c r="C114" i="19"/>
  <c r="E114" i="19" s="1"/>
  <c r="F114" i="19" s="1"/>
  <c r="C115" i="19"/>
  <c r="C116" i="19"/>
  <c r="C117" i="19"/>
  <c r="C118" i="19"/>
  <c r="E118" i="19" s="1"/>
  <c r="F118" i="19" s="1"/>
  <c r="C119" i="19"/>
  <c r="C120" i="19"/>
  <c r="C121" i="19"/>
  <c r="C122" i="19"/>
  <c r="E122" i="19" s="1"/>
  <c r="F122" i="19" s="1"/>
  <c r="I118" i="11" s="1"/>
  <c r="C123" i="19"/>
  <c r="C124" i="19"/>
  <c r="C125" i="19"/>
  <c r="C126" i="19"/>
  <c r="E126" i="19" s="1"/>
  <c r="F126" i="19" s="1"/>
  <c r="C127" i="19"/>
  <c r="C128" i="19"/>
  <c r="C129" i="19"/>
  <c r="C130" i="19"/>
  <c r="E130" i="19" s="1"/>
  <c r="F130" i="19" s="1"/>
  <c r="C131" i="19"/>
  <c r="C132" i="19"/>
  <c r="C133" i="19"/>
  <c r="C134" i="19"/>
  <c r="E134" i="19" s="1"/>
  <c r="F134" i="19" s="1"/>
  <c r="C135" i="19"/>
  <c r="C136" i="19"/>
  <c r="C137" i="19"/>
  <c r="C138" i="19"/>
  <c r="E138" i="19" s="1"/>
  <c r="F138" i="19" s="1"/>
  <c r="C139" i="19"/>
  <c r="C140" i="19"/>
  <c r="C141" i="19"/>
  <c r="C142" i="19"/>
  <c r="E142" i="19" s="1"/>
  <c r="F142" i="19" s="1"/>
  <c r="C143" i="19"/>
  <c r="C144" i="19"/>
  <c r="C145" i="19"/>
  <c r="C146" i="19"/>
  <c r="E146" i="19" s="1"/>
  <c r="F146" i="19" s="1"/>
  <c r="E27" i="3" s="1"/>
  <c r="C147" i="19"/>
  <c r="C148" i="19"/>
  <c r="C149" i="19"/>
  <c r="C150" i="19"/>
  <c r="E150" i="19" s="1"/>
  <c r="F150" i="19" s="1"/>
  <c r="C151" i="19"/>
  <c r="C152" i="19"/>
  <c r="C153" i="19"/>
  <c r="C154" i="19"/>
  <c r="E154" i="19" s="1"/>
  <c r="F154" i="19" s="1"/>
  <c r="C155" i="19"/>
  <c r="C156" i="19"/>
  <c r="G24" i="2" l="1"/>
  <c r="J24" i="2" s="1"/>
  <c r="E30" i="13" s="1"/>
  <c r="S28" i="18"/>
  <c r="E155" i="19"/>
  <c r="F155" i="19" s="1"/>
  <c r="E151" i="19"/>
  <c r="F151" i="19" s="1"/>
  <c r="E147" i="19"/>
  <c r="F147" i="19" s="1"/>
  <c r="E30" i="3" s="1"/>
  <c r="I108" i="11" s="1"/>
  <c r="E143" i="19"/>
  <c r="F143" i="19" s="1"/>
  <c r="E22" i="3" s="1"/>
  <c r="E139" i="19"/>
  <c r="F139" i="19" s="1"/>
  <c r="E15" i="3" s="1"/>
  <c r="E135" i="19"/>
  <c r="F135" i="19" s="1"/>
  <c r="E131" i="19"/>
  <c r="F131" i="19" s="1"/>
  <c r="E127" i="19"/>
  <c r="F127" i="19" s="1"/>
  <c r="E123" i="19"/>
  <c r="F123" i="19" s="1"/>
  <c r="E119" i="19"/>
  <c r="F119" i="19" s="1"/>
  <c r="E115" i="19"/>
  <c r="F115" i="19" s="1"/>
  <c r="E10" i="3" s="1"/>
  <c r="E111" i="19"/>
  <c r="F111" i="19" s="1"/>
  <c r="E107" i="19"/>
  <c r="F107" i="19" s="1"/>
  <c r="G76" i="10" s="1"/>
  <c r="I164" i="11" s="1"/>
  <c r="E103" i="19"/>
  <c r="F103" i="19" s="1"/>
  <c r="G90" i="19" s="1"/>
  <c r="E99" i="19"/>
  <c r="F99" i="19" s="1"/>
  <c r="E95" i="19"/>
  <c r="F95" i="19" s="1"/>
  <c r="E91" i="19"/>
  <c r="F91" i="19" s="1"/>
  <c r="G81" i="19" s="1"/>
  <c r="E86" i="19"/>
  <c r="F86" i="19" s="1"/>
  <c r="G40" i="10" s="1"/>
  <c r="E82" i="19"/>
  <c r="F82" i="19" s="1"/>
  <c r="E78" i="19"/>
  <c r="F78" i="19" s="1"/>
  <c r="E74" i="19"/>
  <c r="F74" i="19" s="1"/>
  <c r="G73" i="19" s="1"/>
  <c r="E70" i="19"/>
  <c r="F70" i="19" s="1"/>
  <c r="E65" i="19"/>
  <c r="F65" i="19" s="1"/>
  <c r="E61" i="19"/>
  <c r="F61" i="19" s="1"/>
  <c r="E57" i="19"/>
  <c r="F57" i="19" s="1"/>
  <c r="I168" i="11" s="1"/>
  <c r="E53" i="19"/>
  <c r="F53" i="19" s="1"/>
  <c r="E49" i="19"/>
  <c r="F49" i="19" s="1"/>
  <c r="E45" i="19"/>
  <c r="F45" i="19" s="1"/>
  <c r="E41" i="19"/>
  <c r="F41" i="19" s="1"/>
  <c r="E37" i="19"/>
  <c r="F37" i="19" s="1"/>
  <c r="E32" i="19"/>
  <c r="F32" i="19" s="1"/>
  <c r="E28" i="19"/>
  <c r="F28" i="19" s="1"/>
  <c r="E24" i="19"/>
  <c r="F24" i="19" s="1"/>
  <c r="E19" i="19"/>
  <c r="F19" i="19" s="1"/>
  <c r="E15" i="19"/>
  <c r="F15" i="19" s="1"/>
  <c r="E11" i="19"/>
  <c r="F11" i="19" s="1"/>
  <c r="E7" i="19"/>
  <c r="F7" i="19" s="1"/>
  <c r="E156" i="19"/>
  <c r="F156" i="19" s="1"/>
  <c r="E152" i="19"/>
  <c r="F152" i="19" s="1"/>
  <c r="E148" i="19"/>
  <c r="F148" i="19" s="1"/>
  <c r="E28" i="3" s="1"/>
  <c r="E144" i="19"/>
  <c r="F144" i="19" s="1"/>
  <c r="E24" i="3" s="1"/>
  <c r="E140" i="19"/>
  <c r="F140" i="19" s="1"/>
  <c r="E136" i="19"/>
  <c r="F136" i="19" s="1"/>
  <c r="E132" i="19"/>
  <c r="F132" i="19" s="1"/>
  <c r="E128" i="19"/>
  <c r="F128" i="19" s="1"/>
  <c r="E124" i="19"/>
  <c r="F124" i="19" s="1"/>
  <c r="E120" i="19"/>
  <c r="F120" i="19" s="1"/>
  <c r="E116" i="19"/>
  <c r="F116" i="19" s="1"/>
  <c r="E112" i="19"/>
  <c r="F112" i="19" s="1"/>
  <c r="E108" i="19"/>
  <c r="F108" i="19" s="1"/>
  <c r="E104" i="19"/>
  <c r="F104" i="19" s="1"/>
  <c r="E100" i="19"/>
  <c r="F100" i="19" s="1"/>
  <c r="E14" i="3" s="1"/>
  <c r="E96" i="19"/>
  <c r="F96" i="19" s="1"/>
  <c r="E92" i="19"/>
  <c r="F92" i="19" s="1"/>
  <c r="E87" i="19"/>
  <c r="F87" i="19" s="1"/>
  <c r="G78" i="19" s="1"/>
  <c r="G22" i="2" s="1"/>
  <c r="E83" i="19"/>
  <c r="F83" i="19" s="1"/>
  <c r="G75" i="10" s="1"/>
  <c r="I162" i="11" s="1"/>
  <c r="E79" i="19"/>
  <c r="F79" i="19" s="1"/>
  <c r="E75" i="19"/>
  <c r="F75" i="19" s="1"/>
  <c r="E71" i="19"/>
  <c r="F71" i="19" s="1"/>
  <c r="E66" i="19"/>
  <c r="F66" i="19" s="1"/>
  <c r="E62" i="19"/>
  <c r="F62" i="19" s="1"/>
  <c r="E58" i="19"/>
  <c r="F58" i="19" s="1"/>
  <c r="E54" i="19"/>
  <c r="F54" i="19" s="1"/>
  <c r="E50" i="19"/>
  <c r="F50" i="19" s="1"/>
  <c r="E46" i="19"/>
  <c r="F46" i="19" s="1"/>
  <c r="E42" i="19"/>
  <c r="F42" i="19" s="1"/>
  <c r="I175" i="11" s="1"/>
  <c r="E38" i="19"/>
  <c r="F38" i="19" s="1"/>
  <c r="E33" i="19"/>
  <c r="F33" i="19" s="1"/>
  <c r="E29" i="19"/>
  <c r="F29" i="19" s="1"/>
  <c r="E25" i="19"/>
  <c r="F25" i="19" s="1"/>
  <c r="E20" i="19"/>
  <c r="F20" i="19" s="1"/>
  <c r="E16" i="19"/>
  <c r="F16" i="19" s="1"/>
  <c r="E12" i="19"/>
  <c r="F12" i="19" s="1"/>
  <c r="E8" i="19"/>
  <c r="F8" i="19" s="1"/>
  <c r="E4" i="19"/>
  <c r="F4" i="19" s="1"/>
  <c r="E153" i="19"/>
  <c r="F153" i="19" s="1"/>
  <c r="I146" i="11" s="1"/>
  <c r="E149" i="19"/>
  <c r="F149" i="19" s="1"/>
  <c r="E29" i="3" s="1"/>
  <c r="I107" i="11" s="1"/>
  <c r="E145" i="19"/>
  <c r="F145" i="19" s="1"/>
  <c r="E26" i="3" s="1"/>
  <c r="I145" i="11" s="1"/>
  <c r="E141" i="19"/>
  <c r="F141" i="19" s="1"/>
  <c r="E137" i="19"/>
  <c r="F137" i="19" s="1"/>
  <c r="E133" i="19"/>
  <c r="F133" i="19" s="1"/>
  <c r="E13" i="3" s="1"/>
  <c r="E129" i="19"/>
  <c r="F129" i="19" s="1"/>
  <c r="E125" i="19"/>
  <c r="F125" i="19" s="1"/>
  <c r="E121" i="19"/>
  <c r="F121" i="19" s="1"/>
  <c r="E117" i="19"/>
  <c r="F117" i="19" s="1"/>
  <c r="E113" i="19"/>
  <c r="F113" i="19" s="1"/>
  <c r="E109" i="19"/>
  <c r="F109" i="19" s="1"/>
  <c r="E105" i="19"/>
  <c r="F105" i="19" s="1"/>
  <c r="E101" i="19"/>
  <c r="F101" i="19" s="1"/>
  <c r="G87" i="19" s="1"/>
  <c r="E97" i="19"/>
  <c r="F97" i="19" s="1"/>
  <c r="E93" i="19"/>
  <c r="F93" i="19" s="1"/>
  <c r="E88" i="19"/>
  <c r="F88" i="19" s="1"/>
  <c r="G79" i="19" s="1"/>
  <c r="E84" i="19"/>
  <c r="F84" i="19" s="1"/>
  <c r="G75" i="19" s="1"/>
  <c r="E80" i="19"/>
  <c r="F80" i="19" s="1"/>
  <c r="E76" i="19"/>
  <c r="F76" i="19" s="1"/>
  <c r="E72" i="19"/>
  <c r="F72" i="19" s="1"/>
  <c r="E67" i="19"/>
  <c r="F67" i="19" s="1"/>
  <c r="E63" i="19"/>
  <c r="F63" i="19" s="1"/>
  <c r="E59" i="19"/>
  <c r="F59" i="19" s="1"/>
  <c r="E55" i="19"/>
  <c r="F55" i="19" s="1"/>
  <c r="E51" i="19"/>
  <c r="F51" i="19" s="1"/>
  <c r="E47" i="19"/>
  <c r="F47" i="19" s="1"/>
  <c r="E43" i="19"/>
  <c r="F43" i="19" s="1"/>
  <c r="E39" i="19"/>
  <c r="F39" i="19" s="1"/>
  <c r="E34" i="19"/>
  <c r="F34" i="19" s="1"/>
  <c r="E30" i="19"/>
  <c r="F30" i="19" s="1"/>
  <c r="E26" i="19"/>
  <c r="F26" i="19" s="1"/>
  <c r="E21" i="19"/>
  <c r="F21" i="19" s="1"/>
  <c r="E17" i="19"/>
  <c r="F17" i="19" s="1"/>
  <c r="E13" i="19"/>
  <c r="F13" i="19" s="1"/>
  <c r="I174" i="11" s="1"/>
  <c r="E9" i="19"/>
  <c r="F9" i="19" s="1"/>
  <c r="E5" i="19"/>
  <c r="F5" i="19" s="1"/>
  <c r="E158" i="19"/>
  <c r="F158" i="19" s="1"/>
  <c r="E160" i="19"/>
  <c r="F160" i="19" s="1"/>
  <c r="E33" i="3" s="1"/>
  <c r="E162" i="19"/>
  <c r="F162" i="19" s="1"/>
  <c r="E164" i="19"/>
  <c r="F164" i="19" s="1"/>
  <c r="E166" i="19"/>
  <c r="F166" i="19" s="1"/>
  <c r="I117" i="11" s="1"/>
  <c r="E168" i="19"/>
  <c r="F168" i="19" s="1"/>
  <c r="E170" i="19"/>
  <c r="F170" i="19" s="1"/>
  <c r="E157" i="19"/>
  <c r="F157" i="19" s="1"/>
  <c r="E159" i="19"/>
  <c r="F159" i="19" s="1"/>
  <c r="E161" i="19"/>
  <c r="F161" i="19" s="1"/>
  <c r="E35" i="3" s="1"/>
  <c r="E163" i="19"/>
  <c r="F163" i="19" s="1"/>
  <c r="E165" i="19"/>
  <c r="F165" i="19" s="1"/>
  <c r="E167" i="19"/>
  <c r="F167" i="19" s="1"/>
  <c r="E169" i="19"/>
  <c r="F169" i="19" s="1"/>
  <c r="K46" i="8"/>
  <c r="J46" i="8"/>
  <c r="I46" i="8"/>
  <c r="G108" i="19" l="1"/>
  <c r="G111" i="19"/>
  <c r="H153" i="19"/>
  <c r="G23" i="19"/>
  <c r="G83" i="19"/>
  <c r="G43" i="10" s="1"/>
  <c r="E31" i="3"/>
  <c r="G84" i="19"/>
  <c r="G45" i="10" s="1"/>
  <c r="I106" i="11"/>
  <c r="G102" i="6"/>
  <c r="E34" i="3"/>
  <c r="G20" i="19"/>
  <c r="G77" i="19"/>
  <c r="E11" i="3"/>
  <c r="G116" i="19"/>
  <c r="G43" i="19"/>
  <c r="G61" i="19"/>
  <c r="G18" i="3"/>
  <c r="G37" i="3" l="1"/>
  <c r="I77" i="10" l="1"/>
  <c r="A100" i="6" l="1"/>
  <c r="A79" i="6"/>
  <c r="I11" i="3" l="1"/>
  <c r="C3" i="19"/>
  <c r="C174" i="19" s="1"/>
  <c r="D3" i="19"/>
  <c r="D174" i="19" s="1"/>
  <c r="I33" i="10" l="1"/>
  <c r="B70" i="8"/>
  <c r="B68" i="8"/>
  <c r="I56" i="8"/>
  <c r="H57" i="8"/>
  <c r="I123" i="6"/>
  <c r="G49" i="13"/>
  <c r="G39" i="3"/>
  <c r="G44" i="3" s="1"/>
  <c r="R13" i="18" l="1"/>
  <c r="R35" i="18" l="1"/>
  <c r="R36" i="18" s="1"/>
  <c r="Q35" i="18" l="1"/>
  <c r="H12" i="19" l="1"/>
  <c r="S111" i="6" l="1"/>
  <c r="A22" i="13" l="1"/>
  <c r="F37" i="18" l="1"/>
  <c r="G31" i="18"/>
  <c r="AF46" i="10" l="1"/>
  <c r="I104" i="6"/>
  <c r="A52" i="8" l="1"/>
  <c r="A28" i="10" s="1"/>
  <c r="R24" i="18"/>
  <c r="D17" i="3" l="1"/>
  <c r="A19" i="15"/>
  <c r="A64" i="3"/>
  <c r="L30" i="2" l="1"/>
  <c r="E122" i="6"/>
  <c r="G141" i="19" l="1"/>
  <c r="J15" i="2"/>
  <c r="E22" i="13" s="1"/>
  <c r="G71" i="19"/>
  <c r="E40" i="13" s="1"/>
  <c r="G131" i="19"/>
  <c r="G95" i="19" l="1"/>
  <c r="G115" i="19" s="1"/>
  <c r="G54" i="3" l="1"/>
  <c r="I27" i="2" l="1"/>
  <c r="I16" i="2"/>
  <c r="I30" i="2" l="1"/>
  <c r="I32" i="2" s="1"/>
  <c r="G60" i="3"/>
  <c r="I56" i="3"/>
  <c r="K10" i="16" l="1"/>
  <c r="J24" i="16"/>
  <c r="K24" i="16" s="1"/>
  <c r="A64" i="18" l="1"/>
  <c r="A51" i="13" s="1"/>
  <c r="N52" i="10" l="1"/>
  <c r="N51" i="10" s="1"/>
  <c r="G85" i="19" l="1"/>
  <c r="I169" i="11" s="1"/>
  <c r="M148" i="19" l="1"/>
  <c r="D175" i="19" s="1"/>
  <c r="D177" i="19" s="1"/>
  <c r="L148" i="19"/>
  <c r="C175" i="19" s="1"/>
  <c r="C177" i="19" s="1"/>
  <c r="G145" i="19" l="1"/>
  <c r="G142" i="19"/>
  <c r="G140" i="19"/>
  <c r="G139" i="19"/>
  <c r="G134" i="19"/>
  <c r="G132" i="19"/>
  <c r="G130" i="19"/>
  <c r="G129" i="19"/>
  <c r="G128" i="19"/>
  <c r="G127" i="19"/>
  <c r="G122" i="19"/>
  <c r="G117" i="19"/>
  <c r="G91" i="19"/>
  <c r="G41" i="10"/>
  <c r="G42" i="10"/>
  <c r="G44" i="10"/>
  <c r="G37" i="10"/>
  <c r="G25" i="2"/>
  <c r="J25" i="2" s="1"/>
  <c r="E31" i="13" s="1"/>
  <c r="G80" i="19"/>
  <c r="G72" i="19"/>
  <c r="E39" i="13" s="1"/>
  <c r="G70" i="19"/>
  <c r="G69" i="19"/>
  <c r="G68" i="19"/>
  <c r="G30" i="19"/>
  <c r="G29" i="19"/>
  <c r="G7" i="19"/>
  <c r="E3" i="19"/>
  <c r="F3" i="19" s="1"/>
  <c r="G18" i="19" l="1"/>
  <c r="G104" i="6"/>
  <c r="G11" i="2" s="1"/>
  <c r="G94" i="19"/>
  <c r="G77" i="10"/>
  <c r="G21" i="2" s="1"/>
  <c r="AF47" i="10"/>
  <c r="AF69" i="10"/>
  <c r="G99" i="19"/>
  <c r="G126" i="19"/>
  <c r="G98" i="19"/>
  <c r="G123" i="19"/>
  <c r="G23" i="2"/>
  <c r="J23" i="2" s="1"/>
  <c r="E29" i="13" s="1"/>
  <c r="G39" i="10"/>
  <c r="AF71" i="10" s="1"/>
  <c r="L161" i="11"/>
  <c r="L162" i="11" s="1"/>
  <c r="L163" i="11" s="1"/>
  <c r="L164" i="11"/>
  <c r="G14" i="2"/>
  <c r="G102" i="19"/>
  <c r="G144" i="19"/>
  <c r="G28" i="19"/>
  <c r="J22" i="2"/>
  <c r="E28" i="13" s="1"/>
  <c r="G138" i="19"/>
  <c r="G136" i="19"/>
  <c r="G63" i="19"/>
  <c r="G64" i="19"/>
  <c r="H7" i="15"/>
  <c r="F7" i="15"/>
  <c r="A3" i="15"/>
  <c r="F6" i="15"/>
  <c r="E6" i="18" s="1"/>
  <c r="E5" i="13" s="1"/>
  <c r="A3" i="18" l="1"/>
  <c r="A3" i="13" s="1"/>
  <c r="A3" i="6" s="1"/>
  <c r="AG43" i="10"/>
  <c r="E12" i="3"/>
  <c r="G13" i="2"/>
  <c r="J13" i="2" s="1"/>
  <c r="E20" i="13" s="1"/>
  <c r="G47" i="10"/>
  <c r="G26" i="2" s="1"/>
  <c r="J14" i="2"/>
  <c r="E21" i="13" s="1"/>
  <c r="AG65" i="10"/>
  <c r="T49" i="13"/>
  <c r="J11" i="2"/>
  <c r="G123" i="6"/>
  <c r="J21" i="2"/>
  <c r="E27" i="13" s="1"/>
  <c r="S22" i="18"/>
  <c r="G27" i="2" l="1"/>
  <c r="K27" i="2" s="1"/>
  <c r="G12" i="2"/>
  <c r="E37" i="3"/>
  <c r="N38" i="18"/>
  <c r="F36" i="18"/>
  <c r="F38" i="18" s="1"/>
  <c r="F24" i="18"/>
  <c r="H37" i="3" l="1"/>
  <c r="I42" i="3"/>
  <c r="U15" i="18"/>
  <c r="E15" i="18" s="1"/>
  <c r="T21" i="18"/>
  <c r="H15" i="18" l="1"/>
  <c r="V15" i="18"/>
  <c r="E16" i="18" s="1"/>
  <c r="U21" i="18"/>
  <c r="L35" i="17"/>
  <c r="E21" i="18" l="1"/>
  <c r="H21" i="18" s="1"/>
  <c r="V21" i="18"/>
  <c r="E23" i="18" s="1"/>
  <c r="H16" i="18"/>
  <c r="H17" i="18" s="1"/>
  <c r="A56" i="17"/>
  <c r="K44" i="17"/>
  <c r="K58" i="17" s="1"/>
  <c r="F44" i="17"/>
  <c r="L37" i="17"/>
  <c r="L39" i="17" s="1"/>
  <c r="J37" i="17"/>
  <c r="E37" i="17"/>
  <c r="M36" i="17"/>
  <c r="H36" i="17"/>
  <c r="G30" i="17"/>
  <c r="H28" i="17"/>
  <c r="E25" i="17"/>
  <c r="H25" i="17" s="1"/>
  <c r="G21" i="17"/>
  <c r="F21" i="17"/>
  <c r="E19" i="17"/>
  <c r="J14" i="17"/>
  <c r="J39" i="17" s="1"/>
  <c r="H23" i="18" l="1"/>
  <c r="H24" i="18" s="1"/>
  <c r="R27" i="18" s="1"/>
  <c r="E17" i="18"/>
  <c r="E20" i="17"/>
  <c r="H20" i="17" s="1"/>
  <c r="H19" i="17"/>
  <c r="E29" i="17"/>
  <c r="H29" i="17" s="1"/>
  <c r="E24" i="18" l="1"/>
  <c r="E31" i="18" s="1"/>
  <c r="E42" i="13"/>
  <c r="H21" i="17"/>
  <c r="F13" i="4"/>
  <c r="V8" i="4" l="1"/>
  <c r="V11" i="4" l="1"/>
  <c r="F35" i="4" l="1"/>
  <c r="H35" i="4"/>
  <c r="F14" i="4"/>
  <c r="H15" i="4"/>
  <c r="H22" i="4"/>
  <c r="F15" i="4" l="1"/>
  <c r="F22" i="4" l="1"/>
  <c r="G29" i="18"/>
  <c r="G35" i="17"/>
  <c r="G37" i="17" s="1"/>
  <c r="G39" i="17" s="1"/>
  <c r="D25" i="14"/>
  <c r="A1" i="15"/>
  <c r="B22" i="14"/>
  <c r="C8" i="14"/>
  <c r="I21" i="13" s="1"/>
  <c r="B13" i="14"/>
  <c r="B14" i="14"/>
  <c r="B16" i="14"/>
  <c r="B17" i="14"/>
  <c r="B12" i="14"/>
  <c r="B8" i="14"/>
  <c r="B7" i="14"/>
  <c r="B10" i="14" l="1"/>
  <c r="B18" i="14"/>
  <c r="D8" i="14"/>
  <c r="J68" i="8" l="1"/>
  <c r="I68" i="8"/>
  <c r="G33" i="10" l="1"/>
  <c r="K68" i="8"/>
  <c r="K33" i="13" l="1"/>
  <c r="K23" i="13"/>
  <c r="K15" i="13"/>
  <c r="F54" i="18" l="1"/>
  <c r="H55" i="3"/>
  <c r="H57" i="3" s="1"/>
  <c r="E18" i="3"/>
  <c r="C13" i="14"/>
  <c r="C7" i="14"/>
  <c r="H18" i="3" l="1"/>
  <c r="H19" i="3" s="1"/>
  <c r="E39" i="3"/>
  <c r="E44" i="3" s="1"/>
  <c r="I28" i="13"/>
  <c r="D13" i="14"/>
  <c r="I20" i="13"/>
  <c r="D7" i="14"/>
  <c r="I67" i="13" l="1"/>
  <c r="F20" i="10" l="1"/>
  <c r="I40" i="13" l="1"/>
  <c r="I39" i="13"/>
  <c r="I42" i="13" l="1"/>
  <c r="AG52" i="10" l="1"/>
  <c r="C10" i="14" l="1"/>
  <c r="C16" i="14"/>
  <c r="C14" i="14"/>
  <c r="D14" i="14" l="1"/>
  <c r="I29" i="13"/>
  <c r="I31" i="13"/>
  <c r="D16" i="14"/>
  <c r="D15" i="14"/>
  <c r="I30" i="13"/>
  <c r="D9" i="14"/>
  <c r="C12" i="14"/>
  <c r="J26" i="2" l="1"/>
  <c r="E32" i="13" s="1"/>
  <c r="D10" i="14"/>
  <c r="I27" i="13"/>
  <c r="D12" i="14"/>
  <c r="C17" i="14"/>
  <c r="C18" i="14" s="1"/>
  <c r="L47" i="13"/>
  <c r="L39" i="13"/>
  <c r="L42" i="13" s="1"/>
  <c r="L30" i="13"/>
  <c r="L33" i="13" s="1"/>
  <c r="H23" i="13"/>
  <c r="F23" i="13"/>
  <c r="L21" i="13"/>
  <c r="L23" i="13" s="1"/>
  <c r="F15" i="13"/>
  <c r="L10" i="13"/>
  <c r="L15" i="13" s="1"/>
  <c r="I5" i="13"/>
  <c r="X118" i="10"/>
  <c r="N113" i="10"/>
  <c r="Q62" i="10"/>
  <c r="N62" i="10"/>
  <c r="Q63" i="10"/>
  <c r="V46" i="10"/>
  <c r="U46" i="10"/>
  <c r="W43" i="10"/>
  <c r="W42" i="10"/>
  <c r="J39" i="6"/>
  <c r="A39" i="6" s="1"/>
  <c r="A41" i="6" s="1"/>
  <c r="A8" i="6"/>
  <c r="A14" i="6" s="1"/>
  <c r="A19" i="6" s="1"/>
  <c r="A24" i="6" s="1"/>
  <c r="A27" i="6" s="1"/>
  <c r="A29" i="6" s="1"/>
  <c r="M15" i="4"/>
  <c r="E33" i="13" l="1"/>
  <c r="D17" i="14"/>
  <c r="D18" i="14" s="1"/>
  <c r="I32" i="13"/>
  <c r="L35" i="13"/>
  <c r="L45" i="13" s="1"/>
  <c r="L49" i="13" s="1"/>
  <c r="J93" i="6"/>
  <c r="J113" i="6" s="1"/>
  <c r="L48" i="10"/>
  <c r="N63" i="10"/>
  <c r="J35" i="4"/>
  <c r="J15" i="4"/>
  <c r="J11" i="4"/>
  <c r="W46" i="10"/>
  <c r="H17" i="4" l="1"/>
  <c r="H19" i="4" s="1"/>
  <c r="H24" i="4" s="1"/>
  <c r="H14" i="17"/>
  <c r="E14" i="17" s="1"/>
  <c r="E39" i="17" s="1"/>
  <c r="F11" i="4"/>
  <c r="A93" i="6"/>
  <c r="I18" i="10"/>
  <c r="K10" i="13"/>
  <c r="K35" i="13" s="1"/>
  <c r="K45" i="13" s="1"/>
  <c r="K49" i="13" s="1"/>
  <c r="I41" i="2"/>
  <c r="H40" i="4"/>
  <c r="H47" i="4" s="1"/>
  <c r="H52" i="4" s="1"/>
  <c r="H50" i="4" s="1"/>
  <c r="I33" i="13"/>
  <c r="A71" i="6" l="1"/>
  <c r="A74" i="6" s="1"/>
  <c r="A106" i="6"/>
  <c r="F26" i="4"/>
  <c r="H59" i="18"/>
  <c r="Q7" i="8"/>
  <c r="H10" i="15"/>
  <c r="H15" i="15" s="1"/>
  <c r="N49" i="13"/>
  <c r="E102" i="6" l="1"/>
  <c r="A109" i="6"/>
  <c r="E103" i="6" s="1"/>
  <c r="A116" i="6"/>
  <c r="E12" i="2" s="1"/>
  <c r="E11" i="2"/>
  <c r="K35" i="17"/>
  <c r="M35" i="17" s="1"/>
  <c r="M37" i="17" s="1"/>
  <c r="M39" i="17" s="1"/>
  <c r="J33" i="10"/>
  <c r="J12" i="2" l="1"/>
  <c r="G16" i="2"/>
  <c r="J16" i="2" s="1"/>
  <c r="A35" i="10"/>
  <c r="K37" i="17"/>
  <c r="K39" i="17" s="1"/>
  <c r="O56" i="17" s="1"/>
  <c r="F62" i="17"/>
  <c r="H51" i="3"/>
  <c r="C22" i="14"/>
  <c r="F51" i="4"/>
  <c r="D24" i="14"/>
  <c r="E14" i="13"/>
  <c r="E19" i="13" s="1"/>
  <c r="A62" i="10"/>
  <c r="E26" i="2" l="1"/>
  <c r="A70" i="10"/>
  <c r="A2" i="11" s="1"/>
  <c r="I55" i="3"/>
  <c r="I57" i="3" s="1"/>
  <c r="G30" i="2"/>
  <c r="J51" i="3"/>
  <c r="E48" i="3"/>
  <c r="E54" i="3" s="1"/>
  <c r="E60" i="3" s="1"/>
  <c r="D22" i="14"/>
  <c r="D26" i="14" s="1"/>
  <c r="I14" i="13"/>
  <c r="I15" i="13" s="1"/>
  <c r="E15" i="13"/>
  <c r="E57" i="3" l="1"/>
  <c r="E58" i="3" s="1"/>
  <c r="F42" i="18" s="1"/>
  <c r="E21" i="2"/>
  <c r="H48" i="3"/>
  <c r="AF65" i="10"/>
  <c r="AH65" i="10" s="1"/>
  <c r="AI65" i="10" s="1"/>
  <c r="R31" i="18"/>
  <c r="F7" i="10"/>
  <c r="G7" i="10" s="1"/>
  <c r="G18" i="10"/>
  <c r="I48" i="3"/>
  <c r="AF52" i="10"/>
  <c r="AH52" i="10" s="1"/>
  <c r="AI52" i="10" s="1"/>
  <c r="Q6" i="8"/>
  <c r="L66" i="8" s="1"/>
  <c r="G41" i="2"/>
  <c r="F54" i="17"/>
  <c r="F58" i="17" s="1"/>
  <c r="F63" i="17" s="1"/>
  <c r="F61" i="17" s="1"/>
  <c r="I51" i="3"/>
  <c r="E10" i="13"/>
  <c r="F10" i="15"/>
  <c r="F15" i="15" s="1"/>
  <c r="F45" i="18" s="1"/>
  <c r="I19" i="13"/>
  <c r="I23" i="13" s="1"/>
  <c r="E23" i="13"/>
  <c r="F32" i="10"/>
  <c r="AJ65" i="10" l="1"/>
  <c r="AK65" i="10" s="1"/>
  <c r="I7" i="10"/>
  <c r="F9" i="10"/>
  <c r="F41" i="18"/>
  <c r="AJ52" i="10"/>
  <c r="AK52" i="10" s="1"/>
  <c r="H61" i="18"/>
  <c r="F28" i="4"/>
  <c r="F27" i="17"/>
  <c r="H27" i="17" s="1"/>
  <c r="H30" i="17" s="1"/>
  <c r="F18" i="4"/>
  <c r="F27" i="18"/>
  <c r="F35" i="17"/>
  <c r="E35" i="13"/>
  <c r="E45" i="13" s="1"/>
  <c r="F17" i="4"/>
  <c r="E34" i="2" l="1"/>
  <c r="A7" i="11"/>
  <c r="A17" i="11" s="1"/>
  <c r="A25" i="11"/>
  <c r="F30" i="17"/>
  <c r="F19" i="4"/>
  <c r="F24" i="4" s="1"/>
  <c r="I10" i="13"/>
  <c r="I35" i="13" s="1"/>
  <c r="I45" i="13" s="1"/>
  <c r="I49" i="13" s="1"/>
  <c r="I68" i="13" s="1"/>
  <c r="F37" i="17"/>
  <c r="H35" i="17"/>
  <c r="H37" i="17" s="1"/>
  <c r="H39" i="17" s="1"/>
  <c r="Q33" i="17" s="1"/>
  <c r="H27" i="18"/>
  <c r="H29" i="18" s="1"/>
  <c r="H31" i="18" s="1"/>
  <c r="F29" i="18"/>
  <c r="F31" i="18" s="1"/>
  <c r="M45" i="13"/>
  <c r="E49" i="13"/>
  <c r="T50" i="13" s="1"/>
  <c r="F38" i="4"/>
  <c r="A30" i="11" l="1"/>
  <c r="A60" i="11" s="1"/>
  <c r="A68" i="11" s="1"/>
  <c r="A77" i="11" s="1"/>
  <c r="G32" i="2"/>
  <c r="J32" i="2" s="1"/>
  <c r="F39" i="17"/>
  <c r="F48" i="17"/>
  <c r="F49" i="17" s="1"/>
  <c r="F43" i="18"/>
  <c r="F50" i="18" s="1"/>
  <c r="M49" i="13"/>
  <c r="F39" i="4"/>
  <c r="F40" i="4" s="1"/>
  <c r="F47" i="4" s="1"/>
  <c r="F52" i="4" s="1"/>
  <c r="F50" i="4" s="1"/>
  <c r="D46" i="3" l="1"/>
  <c r="D62" i="3"/>
  <c r="A81" i="11"/>
  <c r="A223" i="11" s="1"/>
  <c r="F55" i="18"/>
  <c r="F53" i="18" s="1"/>
  <c r="G57" i="2"/>
  <c r="A98" i="11" l="1"/>
  <c r="A156" i="11" s="1"/>
  <c r="A194" i="11" s="1"/>
  <c r="A231" i="11" l="1"/>
  <c r="A233" i="11" s="1"/>
  <c r="A225" i="11"/>
  <c r="A227" i="11" s="1"/>
  <c r="N60" i="21" l="1"/>
  <c r="N72" i="21"/>
  <c r="N116" i="21"/>
  <c r="N40" i="21"/>
  <c r="N76" i="21"/>
  <c r="N89" i="21"/>
  <c r="N101" i="21"/>
  <c r="N106" i="21"/>
  <c r="N111" i="21"/>
  <c r="N67" i="21"/>
  <c r="N16" i="21"/>
  <c r="N23" i="21" l="1"/>
  <c r="N35" i="21"/>
  <c r="N51" i="21"/>
  <c r="N94" i="21"/>
  <c r="N82" i="21"/>
  <c r="M20" i="21" l="1"/>
  <c r="M21" i="21"/>
  <c r="M22" i="21"/>
  <c r="M33" i="21"/>
  <c r="M39" i="21"/>
  <c r="M40" i="21" s="1"/>
  <c r="M43" i="21"/>
  <c r="M50" i="21"/>
  <c r="M55" i="21"/>
  <c r="M56" i="21" s="1"/>
  <c r="M65" i="21"/>
  <c r="M75" i="21"/>
  <c r="M76" i="21" s="1"/>
  <c r="M80" i="21"/>
  <c r="M87" i="21"/>
  <c r="M88" i="21"/>
  <c r="M98" i="21"/>
  <c r="M99" i="21"/>
  <c r="M100" i="21"/>
  <c r="M105" i="21"/>
  <c r="M106" i="21" s="1"/>
  <c r="M110" i="21"/>
  <c r="M111" i="21" s="1"/>
  <c r="M13" i="21"/>
  <c r="M14" i="21"/>
  <c r="M15" i="21"/>
  <c r="M28" i="21"/>
  <c r="M29" i="21"/>
  <c r="M30" i="21"/>
  <c r="M31" i="21"/>
  <c r="M32" i="21"/>
  <c r="M34" i="21"/>
  <c r="M44" i="21"/>
  <c r="M45" i="21"/>
  <c r="M46" i="21"/>
  <c r="M47" i="21"/>
  <c r="M48" i="21"/>
  <c r="M49" i="21"/>
  <c r="M59" i="21"/>
  <c r="M60" i="21" s="1"/>
  <c r="M64" i="21"/>
  <c r="M66" i="21"/>
  <c r="M70" i="21"/>
  <c r="M71" i="21"/>
  <c r="M81" i="21"/>
  <c r="M92" i="21"/>
  <c r="M93" i="21"/>
  <c r="M115" i="21"/>
  <c r="M116" i="21" s="1"/>
  <c r="M94" i="21" l="1"/>
  <c r="M72" i="21"/>
  <c r="M16" i="21"/>
  <c r="M89" i="21"/>
  <c r="M23" i="21"/>
  <c r="M67" i="21"/>
  <c r="M82" i="21"/>
  <c r="M35" i="21"/>
  <c r="M101" i="21"/>
  <c r="M51" i="21"/>
</calcChain>
</file>

<file path=xl/sharedStrings.xml><?xml version="1.0" encoding="utf-8"?>
<sst xmlns="http://schemas.openxmlformats.org/spreadsheetml/2006/main" count="1198" uniqueCount="756">
  <si>
    <t>Difference</t>
  </si>
  <si>
    <t>BANK BALANCES - ALLIED BANK LIMITED - FOREIGN EXCHANGE BRANCH</t>
  </si>
  <si>
    <t>BANK BALANCES - BANK AL FALAH LIMITED  - KSE BRANCH</t>
  </si>
  <si>
    <t>BANK BALANCES - HABIB METROPOLITAN BANK LIMITED - KARACHI STOCK EXCHANGE BRANCH</t>
  </si>
  <si>
    <t>BANK BALANCES - MCB BANK LIMITED - UNI TOWER BRANCH</t>
  </si>
  <si>
    <t>BANK BALANCES - MCB BANK LIMITED - GLOBAL TRANSACTION - SHAHEEN COMPLEX BRANCH</t>
  </si>
  <si>
    <t>BANK BALANCES - NIB BANK LIMITED - MAIN BRANCH</t>
  </si>
  <si>
    <t>BANK BALANCES - STANDARD CHARTERED BANK LIMITED - DIVIDEND - 1 - MAIN BRANCH</t>
  </si>
  <si>
    <t>BANK BALANCES - STANDARD CHARTERED BANK LIMITED - DIVIDEND - 2 - MAIN BRANCH</t>
  </si>
  <si>
    <t>BANK BALANCES - UNITED BANK LIMITED - CORPORATE BRANCH</t>
  </si>
  <si>
    <t>Bank Balances - Bank Al-Habib Limited - DIVIDEND - 1 - KSE BRANCH</t>
  </si>
  <si>
    <t>Bank Balances - Mcb Bank Limited - Shaheen Complex Branch</t>
  </si>
  <si>
    <t>Bank Balances - Bank Al Habib Limited - Main Branch</t>
  </si>
  <si>
    <t>Bank Balances - Zarai Taraqiati Bank Limited - Shafi Court Branch</t>
  </si>
  <si>
    <t>Bank Balances - Habib Bank Limited - Kse Branch</t>
  </si>
  <si>
    <t>INVESTMENT IN EQYUITY TRANSACTION  AFS</t>
  </si>
  <si>
    <t>EQUITY TRANSACTION  APPRECIATION / DIMINUTION  AFS</t>
  </si>
  <si>
    <t>INVESTMENTS IN TFC FACE VALUE HFT</t>
  </si>
  <si>
    <t>APPRECIATION / DIMINUTION - TFC - HFT</t>
  </si>
  <si>
    <t>PREMIUM / DISCOUNT ON TFC - HFT</t>
  </si>
  <si>
    <t>INVESTMENT IN EQUITY TRANSACTION  HFT</t>
  </si>
  <si>
    <t>TREASURY BILLS  APPRECIATION / DIMINUTION  HFT</t>
  </si>
  <si>
    <t>TREASURY BILLS  DISCOUNT / AMORTISATION  HFT</t>
  </si>
  <si>
    <t>RECEIVABLE AGAINST SALE  OF EQUITY SECURITIES</t>
  </si>
  <si>
    <t>DIVIDEND RECEIVABLES  EQUITY INVESTMENTS</t>
  </si>
  <si>
    <t>PROFIT RECEIVABLE - ALLIED BANK LIMITED - FOREIGN EXCHANGE BRANCH</t>
  </si>
  <si>
    <t>PROFIT RECEIVABLE - BANK AL FALAH LIMITED  - KSE BRANCH</t>
  </si>
  <si>
    <t>PROFIT RECEIVABLE - HABIB METROPOLITAN BANK LIMITED - KARACHI STOCK EXCHANGE BRANCH</t>
  </si>
  <si>
    <t>PROFIT RECEIVABLE - MCB BANK LIMITED - UNI TOWER BRANCH</t>
  </si>
  <si>
    <t>PROFIT RECEIVABLE - UNITED BANK LIMITED - CORPORATE BRANCH</t>
  </si>
  <si>
    <t>Profit Receivable - Zarai Taraqiati Bank Limited - Shafi Court Branch</t>
  </si>
  <si>
    <t>ACCRUED PROFIT ON GOVT SECTY  PIB</t>
  </si>
  <si>
    <t>ACCRUED PROFIT ON TFC</t>
  </si>
  <si>
    <t>ACCRUED PROFIT ON SUKKUK</t>
  </si>
  <si>
    <t>SECURITY DEPOSITS NCCPL AGAINST KATS</t>
  </si>
  <si>
    <t>SECURITY DEPOSITS NCCPL AGAINST MTS</t>
  </si>
  <si>
    <t>Security Deposits Other</t>
  </si>
  <si>
    <t>SECURITY DEPOSITS  CDC</t>
  </si>
  <si>
    <t>PREPAYMENT OF LSE AGAINST ANNUAL LISTING FEE</t>
  </si>
  <si>
    <t>PREPAYMENT OF PACRA AGAINST ANNUAL PACRA RATING FEE</t>
  </si>
  <si>
    <t>Prepayment Of KSE Against Annual Listing Fee</t>
  </si>
  <si>
    <t>Prepayment Of Ise Against Annual Listing Fee</t>
  </si>
  <si>
    <t>Prepayment Of Psx Against Annual Listing Fee</t>
  </si>
  <si>
    <t>OTHER RECEIVABLE</t>
  </si>
  <si>
    <t>ADVANCES AGAINST TAX DEDUCTED AGAINST BANK PROFIT</t>
  </si>
  <si>
    <t>ADVANCES AGAINST TAX DEDUCTED AGAINST DIVIDEND INCOME</t>
  </si>
  <si>
    <t>Advances Against Tax Deducted Against Cot</t>
  </si>
  <si>
    <t>Advances Tax Against- Sale Of Shares</t>
  </si>
  <si>
    <t>MANAGEMENT FEE PAYABLE</t>
  </si>
  <si>
    <t>SALE LOAD PAYABLE</t>
  </si>
  <si>
    <t>PAYABLE TO LEGAL ADVISOR</t>
  </si>
  <si>
    <t>SALES TAX PAYABLE AGAINST MANAGEMENT FEE</t>
  </si>
  <si>
    <t>TRUSTEE REMUNERATION PAYABLE</t>
  </si>
  <si>
    <t>PAYABLE TO SECP  ANNUAL FEE</t>
  </si>
  <si>
    <t>Dividend Payable - Div Ac # 4 Final 2004</t>
  </si>
  <si>
    <t>Dividend Payable - Div  Ac # 5 Final 2005</t>
  </si>
  <si>
    <t>PAYABLE AGAINST PURCHASE OF EQUITY SECURITIES</t>
  </si>
  <si>
    <t>PAYABLE AGAINST REDEMPTION OF UNITS</t>
  </si>
  <si>
    <t>FED TAX PAYABLE AGAINST MANAGEMENT FEE</t>
  </si>
  <si>
    <t>Fed Tax Payable Against Sales Load</t>
  </si>
  <si>
    <t>ZAKAT PAYABLE</t>
  </si>
  <si>
    <t>Back Office Operation Payable</t>
  </si>
  <si>
    <t>Sales Tax Payable On Trustee Fee</t>
  </si>
  <si>
    <t>BROKERAGE PAYABLE  EQUITY INVESTMENT</t>
  </si>
  <si>
    <t>BROKERAGE PAYABLE MONEY MARKET</t>
  </si>
  <si>
    <t>WORKER'S WELFARE FUND PAYABLE</t>
  </si>
  <si>
    <t>AUDIT FEE PAYABLE</t>
  </si>
  <si>
    <t>PRINTING CHARGES PAYABLE</t>
  </si>
  <si>
    <t>WITHHOLDING TAX PAYABLE  CGT U/S 37A</t>
  </si>
  <si>
    <t>SETTLEMENT CHARGES PAYABLE TO NCCPL</t>
  </si>
  <si>
    <t>ISSUED OF UNITS AGAINST SALE OF UNITS</t>
  </si>
  <si>
    <t>REDEMPTION OF UNITS  NORMAL</t>
  </si>
  <si>
    <t>CONVERSION IN UNITS</t>
  </si>
  <si>
    <t>CONVERSION OUT UNITS</t>
  </si>
  <si>
    <t>BALANCE ACCOUNT</t>
  </si>
  <si>
    <t>ELEMENT OF INCOME  REALIZED</t>
  </si>
  <si>
    <t>ELEMENT OF INCOME  UNREALIZED</t>
  </si>
  <si>
    <t>UNREALIZED GAIN / (LOSS) EQUITY - AFS</t>
  </si>
  <si>
    <t>CAPITAL GAIN / (LOSS) ON SALE OF EQUITY SECURITIES</t>
  </si>
  <si>
    <t>CAPITAL GAIN / (LOSS) ON SALE OF T-BILLS</t>
  </si>
  <si>
    <t>DIVIDEND INCOME ON EQUITY SECURITIES</t>
  </si>
  <si>
    <t>AMORTIZATION / DISCOUNT ON GOVT SEC BILLSS</t>
  </si>
  <si>
    <t>INCOME ON TFC</t>
  </si>
  <si>
    <t>PROFIT ON - ALLIED BANK LIMITED - FOREIGN EXCHANGE BRANCH</t>
  </si>
  <si>
    <t>PROFIT ON - BANK AL FALAH LIMITED  - KSE BRANCH</t>
  </si>
  <si>
    <t>Profit On - Habib Metropolitan Bank Limited - Karachi Stock Exchange Branch</t>
  </si>
  <si>
    <t>Profit On - Mcb Bank Limited - Uni Tower Branch</t>
  </si>
  <si>
    <t>Profit On - Mcb Bank Limited - Shaheen Complex Branch</t>
  </si>
  <si>
    <t>Profit On - Nib Bank Limited - Main Branch</t>
  </si>
  <si>
    <t>Profit On - United Bank Limited - Corporate Branch</t>
  </si>
  <si>
    <t>Profit On - Bank Al Habib Limited - Main Branch</t>
  </si>
  <si>
    <t>Profit On - Zarai Taraqiati Bank Limited - Shafi Court Branch</t>
  </si>
  <si>
    <t>RETURN ON TERM DEPOSIT ACCOUNTS</t>
  </si>
  <si>
    <t>INCOME ON NCCPL DEPOSIT AGAINST EXPOSURE MARGIN</t>
  </si>
  <si>
    <t>URG / LOSS HFT EQUITY INVESTMENTS</t>
  </si>
  <si>
    <t>URG / LOSS INVESTMENT IN DEBT SECURITIES</t>
  </si>
  <si>
    <t>URG/LOSS INVESTMENTS IN TBILLS</t>
  </si>
  <si>
    <t>MANAGEMENT COMPANY REMUNERATION</t>
  </si>
  <si>
    <t>SALES TAX ON MANAGEMENT COMPANY REMUNERATION</t>
  </si>
  <si>
    <t>TRUSTEE REMUNERATION</t>
  </si>
  <si>
    <t>Sales Tax On Trustee Fee</t>
  </si>
  <si>
    <t>SECP ANNUAL FEE</t>
  </si>
  <si>
    <t>BROKERAGE EXPENSE ON EQUITY INVESTMENT</t>
  </si>
  <si>
    <t>BROKERAGE EXPENSE  MONEY MARKET TRANSACTIONS</t>
  </si>
  <si>
    <t>SETT CHG  TRUSTEE</t>
  </si>
  <si>
    <t>SETT CHG  NCCPL  EQUITY TRANSACTIONS</t>
  </si>
  <si>
    <t>TAXATIONWORKERS WELFARE FUND (WWF)</t>
  </si>
  <si>
    <t>AUDIT FEE EXPENSE</t>
  </si>
  <si>
    <t>Back Office Operation Expenses</t>
  </si>
  <si>
    <t>SST on Back Office Operation Expenses</t>
  </si>
  <si>
    <t>LEGAL AND PROFESSIONAL CHARGES</t>
  </si>
  <si>
    <t>FEE &amp; SUBSCRIPANNUAL PACRA FEE</t>
  </si>
  <si>
    <t>Fee &amp; Subscription Annual Listing Fee Psx</t>
  </si>
  <si>
    <t>PRINTING OF ACCOUNTS CHARGES</t>
  </si>
  <si>
    <t>BANK CHARGES - ALLIED BANK LIMITED</t>
  </si>
  <si>
    <t>BANK CHARGES - BANK AL FALAH LIMITED</t>
  </si>
  <si>
    <t>BANK CHARGES - HABIB METROPOLITAN BANK LIMITED</t>
  </si>
  <si>
    <t>BANK CHARGES - MCB BANK LIMITED</t>
  </si>
  <si>
    <t>BANK CHARGES - UNITED BANK LIMITED</t>
  </si>
  <si>
    <t>Bank Charges - Bank Al-Habib Limited</t>
  </si>
  <si>
    <t>Impairment On Impairment Losses - Equity Investment - Afs</t>
  </si>
  <si>
    <t>ELEMENT OF INCOME - REALIZED</t>
  </si>
  <si>
    <t>ELEMENT OF INCOME - UNREALIZED</t>
  </si>
  <si>
    <t>PAKISTAN CAPITAL MARKET FUND</t>
  </si>
  <si>
    <t>(Un-Audited)</t>
  </si>
  <si>
    <t>(Audited)</t>
  </si>
  <si>
    <t>December 31,</t>
  </si>
  <si>
    <t>June 30,</t>
  </si>
  <si>
    <t>2016</t>
  </si>
  <si>
    <t>Note</t>
  </si>
  <si>
    <t xml:space="preserve"> -------- (Rupees in '000) --------</t>
  </si>
  <si>
    <t>ASSETS</t>
  </si>
  <si>
    <t>Balances with banks</t>
  </si>
  <si>
    <t>Investments</t>
  </si>
  <si>
    <t>Dividend and profit receivables</t>
  </si>
  <si>
    <t>Advances, deposits and prepayments</t>
  </si>
  <si>
    <t>Receivable against sale of investment</t>
  </si>
  <si>
    <t>Total assets</t>
  </si>
  <si>
    <t>LIABILITIES</t>
  </si>
  <si>
    <t>Payable to the Management Company</t>
  </si>
  <si>
    <t>Payable to the Central Depository Company of Pakistan Limited - Trustee</t>
  </si>
  <si>
    <t>Payable to the Securities and Exchange Commission of Pakistan</t>
  </si>
  <si>
    <t>Payable against purchase of investment</t>
  </si>
  <si>
    <t>Payable against redemption of units</t>
  </si>
  <si>
    <t>Accrued expenses and other liabilities</t>
  </si>
  <si>
    <t>Total liabilities</t>
  </si>
  <si>
    <t>NET ASSETS</t>
  </si>
  <si>
    <t>Contingencies and commitments</t>
  </si>
  <si>
    <t>(Number of units)</t>
  </si>
  <si>
    <t>NUMBER OF UNITS IN ISSUE</t>
  </si>
  <si>
    <t xml:space="preserve"> -------- (Rupees) --------</t>
  </si>
  <si>
    <t>NET ASSETS VALUE PER UNIT</t>
  </si>
  <si>
    <t>MCB-Arif Habib Savings and Investments Limited</t>
  </si>
  <si>
    <t>CONDENSED INTERIM INCOME STATEMENT (UN-AUDITED)</t>
  </si>
  <si>
    <t>Half year ended</t>
  </si>
  <si>
    <t>Quarter ended</t>
  </si>
  <si>
    <t xml:space="preserve"> --------------- (Rupees in '000) ---------------</t>
  </si>
  <si>
    <t>INCOME</t>
  </si>
  <si>
    <t>Dividend income</t>
  </si>
  <si>
    <t>Income from government securities</t>
  </si>
  <si>
    <t>Income from term finance certificate</t>
  </si>
  <si>
    <t>Income on NCCPL deposit against exposure margin</t>
  </si>
  <si>
    <t>classified as 'at fair value through profit or loss' - net</t>
  </si>
  <si>
    <t/>
  </si>
  <si>
    <t>EXPENSES</t>
  </si>
  <si>
    <t>Remuneration of the Management Company</t>
  </si>
  <si>
    <t>of the Management Company.</t>
  </si>
  <si>
    <t>Remuneration of the Central Depository Company of Pakistan</t>
  </si>
  <si>
    <t>Limited - Trustee</t>
  </si>
  <si>
    <t>Securities and Exchange Commission of Pakistan - fee</t>
  </si>
  <si>
    <t>Allocated expense</t>
  </si>
  <si>
    <t>Securities transaction cost</t>
  </si>
  <si>
    <t>Fees and subscription</t>
  </si>
  <si>
    <t>Auditors' remuneration</t>
  </si>
  <si>
    <t>Printing and related cost</t>
  </si>
  <si>
    <t>Legal and professional charges</t>
  </si>
  <si>
    <t>Total expenses</t>
  </si>
  <si>
    <t>Taxation</t>
  </si>
  <si>
    <t>Net income for the period after taxation</t>
  </si>
  <si>
    <t xml:space="preserve"> </t>
  </si>
  <si>
    <t>CONDENSED INTERIM MOVEMENT IN UNIT HOLDERS' FUNDS (UN-AUDITED)</t>
  </si>
  <si>
    <t>Op</t>
  </si>
  <si>
    <t>-------------------(Rupees in '000)-------------------</t>
  </si>
  <si>
    <t>Issue</t>
  </si>
  <si>
    <t>Redemption</t>
  </si>
  <si>
    <t>Net assets at beginning of the period</t>
  </si>
  <si>
    <t>Closing</t>
  </si>
  <si>
    <t>(Management Company)</t>
  </si>
  <si>
    <t>NOTES TO THE CONDENSED INTERIM FINANCIAL INFORMATION (UN-AUDITED)</t>
  </si>
  <si>
    <t>1.</t>
  </si>
  <si>
    <t>LEGAL STATUS AND NATURE OF BUSINESS</t>
  </si>
  <si>
    <t>The Fund primarily invests in a mix of listed equity and debt securities, unlisted government securities and secured debt securities, money market transactions and reverse repurchase transactions.</t>
  </si>
  <si>
    <t xml:space="preserve">FINANCIAL RISK MANAGEMENT </t>
  </si>
  <si>
    <t>(Unaudited)</t>
  </si>
  <si>
    <t xml:space="preserve">June 30, </t>
  </si>
  <si>
    <t>---- (Rupees in '000) ----</t>
  </si>
  <si>
    <t>INVESTMENTS</t>
  </si>
  <si>
    <t xml:space="preserve">At fair value through profit or loss </t>
  </si>
  <si>
    <t>Listed equity securities</t>
  </si>
  <si>
    <t>Government securities</t>
  </si>
  <si>
    <t>Name of the investee company</t>
  </si>
  <si>
    <t>Purchases during the period</t>
  </si>
  <si>
    <t>Sales during the period</t>
  </si>
  <si>
    <t xml:space="preserve">  Market value as a percentage of total investments</t>
  </si>
  <si>
    <t>Carrying Value</t>
  </si>
  <si>
    <t xml:space="preserve"> Appreciation / (diminution)</t>
  </si>
  <si>
    <t>Net Assets</t>
  </si>
  <si>
    <t>Total investment</t>
  </si>
  <si>
    <t>-------------------- % -------------------</t>
  </si>
  <si>
    <t>Refinery</t>
  </si>
  <si>
    <t>Government securities - 'at fair value through profit or loss'</t>
  </si>
  <si>
    <t>Issue date</t>
  </si>
  <si>
    <t>Market
value as a
percentage
of net
assets</t>
  </si>
  <si>
    <t>Market
value as a
percentage
of total
investments</t>
  </si>
  <si>
    <t>Purchased
during
the
period</t>
  </si>
  <si>
    <t>Disposed during the period</t>
  </si>
  <si>
    <t>Matured
during the
period</t>
  </si>
  <si>
    <t>Carrying
value</t>
  </si>
  <si>
    <t>Market
value</t>
  </si>
  <si>
    <t>Appreciation / (Diminution)</t>
  </si>
  <si>
    <t>--------- (Rupees in '000) ---------</t>
  </si>
  <si>
    <t>-------------%-------------</t>
  </si>
  <si>
    <t>Market value as a percentage of total paid up capital of the investee company</t>
  </si>
  <si>
    <t>Chemicals</t>
  </si>
  <si>
    <t>Unrealised appreciation / (diminution) in value of investments</t>
  </si>
  <si>
    <t xml:space="preserve">   at fair value through profit or loss - net</t>
  </si>
  <si>
    <t>Market value of investments</t>
  </si>
  <si>
    <t>Carrying value of investments</t>
  </si>
  <si>
    <t>ACCRUED EXPENSES AND OTHER LIABILITIES</t>
  </si>
  <si>
    <t>Provision for Federal Excise Duty and related tax</t>
  </si>
  <si>
    <t>As per FS</t>
  </si>
  <si>
    <t>As per GL</t>
  </si>
  <si>
    <t>- On management fee</t>
  </si>
  <si>
    <t>- Sales load</t>
  </si>
  <si>
    <t>For FED on Sales Load:</t>
  </si>
  <si>
    <t>Sales Load</t>
  </si>
  <si>
    <t>FED</t>
  </si>
  <si>
    <t>Total</t>
  </si>
  <si>
    <t>Withholding tax payable</t>
  </si>
  <si>
    <t>Opening Balance</t>
  </si>
  <si>
    <t>Dividend payable</t>
  </si>
  <si>
    <t>Liability created on behalf of management company during the period December 2015 GL</t>
  </si>
  <si>
    <t xml:space="preserve">Brokerage </t>
  </si>
  <si>
    <t>Other</t>
  </si>
  <si>
    <t>Closing Balance of Sales Load for December 31, 2015</t>
  </si>
  <si>
    <t>The Finance Act, 2008 introduced an amendment to the Workers' Welfare Fund Ordinance, 1971 (WWF Ordinance), as a result of which all Collective Investment Schemes / mutual funds (CISs) whose income exceeded Rs 0.5 million in a tax year, were brought within the scope of the WWF Ordinance, rendering them liable to pay contribution to WWF at the rate of two percent of their accounting or taxable income, whichever was higher. In this regard, a Constitutional Petition was filed by certain CISs through their trustees in the High Court of Sindh, which is pending for adjudication.</t>
  </si>
  <si>
    <t>Nav unit</t>
  </si>
  <si>
    <t>TNA</t>
  </si>
  <si>
    <t>OU</t>
  </si>
  <si>
    <t>SWWF</t>
  </si>
  <si>
    <t>WWF impact</t>
  </si>
  <si>
    <t>SWWF Impact</t>
  </si>
  <si>
    <t xml:space="preserve">On July 08, 2010, a clarification was issued by the Ministry of Labour and Manpower (the Ministry) which stated that mutual funds are not liable to contribute to WWF on the basis of their income. However on December 14, 2010, the Ministry filed its response against the Constitutional Petition requesting the court to dismiss the petition. According to the legal counsel who is handling the case, there is a contradiction between the aforementioned clarification issued and the Court response filed by the Ministry. </t>
  </si>
  <si>
    <t>The Finance Act, 2015 incorporated an amendment in WWF Ordinance by excluding CISs from the definition of 'Industrial Establishment', and consequently CIS were no longer liable to pay contribution to WWF with effect from July 01, 2015.</t>
  </si>
  <si>
    <t>4% TER Cap maximum</t>
  </si>
  <si>
    <t>2% management company</t>
  </si>
  <si>
    <t>Subsequent to the year ended June 30, 2010, a clarification was issued by the Ministry of Labour andManpower (the Ministry) which stated that mutual funds are not liable to contribute to WWF on thebasis of their income. However on December 14, 2010, the Ministry filed its response against theConstitutional Petition requesting the court to dismiss the petition. According to the legal counsel who ishandling the case, there is a contradiction between the aforementioned clarification issued by theMinistry and the response filed by the Ministry in Court.</t>
  </si>
  <si>
    <t>However, as per advice of legal counsel the stay granted to CIS remains intact and the constitution</t>
  </si>
  <si>
    <t>petitions filed by the CIS to challenge the WWF contribution have not been affected by the SHC</t>
  </si>
  <si>
    <t>However, as per advice of legal counsel the stay granted to CIS remains intact and the constitutionpetitions filed by the CIS to challenge the WWF contribution have not been affected by the SHCjudgment. In view of the afore mentioned developments and uncertainties created by the decision ofSHC, management company, as a matter of abundant precaution, has decided to charge the entireprovision for WWF in these financial statements.</t>
  </si>
  <si>
    <t>judgment. In view of the afore mentioned developments and uncertainties created by the decision of</t>
  </si>
  <si>
    <t>SHC, management company, as a matter of abundant precaution, has decided to charge the entire</t>
  </si>
  <si>
    <t>provision for WWF in these financial statements.</t>
  </si>
  <si>
    <t>CONTINGENCIES AND COMMITMENTS</t>
  </si>
  <si>
    <t>SINDH SALES TAX ON REMUNERATION OF THE TRUSTEE</t>
  </si>
  <si>
    <t>ALLOCATED EXPENSES</t>
  </si>
  <si>
    <t>TAXATION</t>
  </si>
  <si>
    <t>TRANSACTIONS WITH CONNECTED PERSONS</t>
  </si>
  <si>
    <t>Details of transactions with connected</t>
  </si>
  <si>
    <t xml:space="preserve">persons are as follows: </t>
  </si>
  <si>
    <t xml:space="preserve"> ------------------- (Rupees in '000) -------------------</t>
  </si>
  <si>
    <t>MCB-Arif Habib Savings and Investment Limited</t>
  </si>
  <si>
    <t>- Management Company</t>
  </si>
  <si>
    <t>Remuneration for the period including indirect taxes</t>
  </si>
  <si>
    <t>Arif Habib Limited - Brokerage house</t>
  </si>
  <si>
    <t>Brokerage*</t>
  </si>
  <si>
    <t>MCB Bank Limited</t>
  </si>
  <si>
    <t>Bank charges</t>
  </si>
  <si>
    <t>Central Depository Company of</t>
  </si>
  <si>
    <t>Pakistan Limited - Trustee</t>
  </si>
  <si>
    <t>Remuneration for the period</t>
  </si>
  <si>
    <t>CDS charges</t>
  </si>
  <si>
    <t>----(Rupees in '000)----</t>
  </si>
  <si>
    <t>Amounts outstanding as at period / year end:</t>
  </si>
  <si>
    <t>Remuneration payable</t>
  </si>
  <si>
    <t>Sales tax payable on management fee</t>
  </si>
  <si>
    <t>Sales load payable</t>
  </si>
  <si>
    <t>Central Depository Company of Pakistan Limited - Trustee</t>
  </si>
  <si>
    <t>Security deposit</t>
  </si>
  <si>
    <t>Sales tax payable on trustee fee</t>
  </si>
  <si>
    <t xml:space="preserve">Bank balance </t>
  </si>
  <si>
    <t>Profit receivable on bank deposits</t>
  </si>
  <si>
    <t>Arif Habib Limited - Brokerage House</t>
  </si>
  <si>
    <t>Brokerage payable</t>
  </si>
  <si>
    <t>DATE OF AUTHORISATION FOR ISSUE</t>
  </si>
  <si>
    <t>CONDENSED INTERIM CASHFLOW STATEMENT (UN-AUDITED)</t>
  </si>
  <si>
    <t>Net income for the period</t>
  </si>
  <si>
    <t>Adjustments for:</t>
  </si>
  <si>
    <t>value through profit or loss - net</t>
  </si>
  <si>
    <t>Cash received from units sold</t>
  </si>
  <si>
    <t>Cash paid on units redeemed</t>
  </si>
  <si>
    <t>during the period</t>
  </si>
  <si>
    <t>Cash and cash equivalents at beginning of the period</t>
  </si>
  <si>
    <t>Cash and cash equivalents at end of the period</t>
  </si>
  <si>
    <t>2017</t>
  </si>
  <si>
    <t>SST</t>
  </si>
  <si>
    <t>Back office Payable</t>
  </si>
  <si>
    <t>Bank Balances - National Bank Of Pakistan - Main Branch</t>
  </si>
  <si>
    <t>EQUITY TRANSACTION  APPRECIATION / DIMINUTION  HFT</t>
  </si>
  <si>
    <t>Particluars</t>
  </si>
  <si>
    <t>Profit / mark-up rates</t>
  </si>
  <si>
    <t>Maturity date</t>
  </si>
  <si>
    <t>Carrying value as a
percentage of net assets</t>
  </si>
  <si>
    <t>Market Value</t>
  </si>
  <si>
    <t xml:space="preserve">     Chief Executive Officer                                        Chief Financial Officer                                                     Director</t>
  </si>
  <si>
    <t>Net assets</t>
  </si>
  <si>
    <t>FED Provision</t>
  </si>
  <si>
    <t>Net assets before provision</t>
  </si>
  <si>
    <t>Nav per unit before provision</t>
  </si>
  <si>
    <t>Nav per unit after provision</t>
  </si>
  <si>
    <t>Decrease per unit</t>
  </si>
  <si>
    <t>CONDENSED INTERIM STATEMENT OF ASSETS AND LIABILITIES</t>
  </si>
  <si>
    <t xml:space="preserve">Listed Equity Securities - 'At fair value through profit or loss' </t>
  </si>
  <si>
    <t>Carrying value as a
percentage of total
investments</t>
  </si>
  <si>
    <t>Name of investee company</t>
  </si>
  <si>
    <t>Number of certificates</t>
  </si>
  <si>
    <t>Purchased during the period</t>
  </si>
  <si>
    <t>Matured during the period</t>
  </si>
  <si>
    <t>Appreciation / (diminution)</t>
  </si>
  <si>
    <t>------------ % ------------</t>
  </si>
  <si>
    <t xml:space="preserve">Byco Petroleum Pakistan Limited </t>
  </si>
  <si>
    <t xml:space="preserve"> ( 18-01-2017 issue)</t>
  </si>
  <si>
    <t>Market value as a percentage of net assets</t>
  </si>
  <si>
    <t>Market value as a percentage of total investment</t>
  </si>
  <si>
    <t>Unlisted debt security -  'at fair value through profit or loss'</t>
  </si>
  <si>
    <t>Unlisted debt security</t>
  </si>
  <si>
    <t>Provision</t>
  </si>
  <si>
    <t>Cash Flow Working</t>
  </si>
  <si>
    <t>Opening</t>
  </si>
  <si>
    <t>Assets</t>
  </si>
  <si>
    <t>Liabilities</t>
  </si>
  <si>
    <t>Investments - net</t>
  </si>
  <si>
    <t>Provision for the period</t>
  </si>
  <si>
    <t>Unrealised Gain-HFT</t>
  </si>
  <si>
    <t>Unrealised Gain-AFS</t>
  </si>
  <si>
    <t>CONDENSED INTERIM STATEMENT OF COMPREHENSIVE INCOME (UN-AUDITED)</t>
  </si>
  <si>
    <t>---------------Rupees In '000-----------------</t>
  </si>
  <si>
    <t>---------- (Rupees in '000) ----------</t>
  </si>
  <si>
    <t>------------------------------------- (Rupees in '000) ---------------------------------------</t>
  </si>
  <si>
    <t>Accounting income available for distribution</t>
  </si>
  <si>
    <t xml:space="preserve">Net assets as at the end of the period </t>
  </si>
  <si>
    <t>Net assets value per unit as at beginning of the period</t>
  </si>
  <si>
    <t>Net assets value per unit as at end of the period</t>
  </si>
  <si>
    <t>Distribution for the period:</t>
  </si>
  <si>
    <t>Undistributed income brought forward comprises of:</t>
  </si>
  <si>
    <t>- Realised gain</t>
  </si>
  <si>
    <t>Accounting income available for distribution:</t>
  </si>
  <si>
    <t>Net element of income / (loss)and capital gains / (losses)</t>
  </si>
  <si>
    <t xml:space="preserve">included in the prices of units issued less those in units </t>
  </si>
  <si>
    <t>redeemed</t>
  </si>
  <si>
    <t>Distributions during the period</t>
  </si>
  <si>
    <t xml:space="preserve">Undistributed income carried forward </t>
  </si>
  <si>
    <t>Undistributed income carried forward comprises of:</t>
  </si>
  <si>
    <t>- Unrealised (loss)/ gain</t>
  </si>
  <si>
    <t>Unrealised diminution in value of investments classified as at fair</t>
  </si>
  <si>
    <t xml:space="preserve">Sales Tax on remuneration of the trustee </t>
  </si>
  <si>
    <t>Unit holders' fund (as per statement attached)</t>
  </si>
  <si>
    <t>Issue of 3,637,372 units (2016: 10,685,657 units)</t>
  </si>
  <si>
    <t>Redemption of 6,380,696 units (2016: 16,098,929 units)</t>
  </si>
  <si>
    <t>FOR THE HALF YEAR ENDED DECEMBER 31, 2017</t>
  </si>
  <si>
    <t>Loss already shared on units redeemed</t>
  </si>
  <si>
    <t>Net unrealised (diminution) / appreciation on re-measurement on</t>
  </si>
  <si>
    <t xml:space="preserve"> investments classified as available for sale</t>
  </si>
  <si>
    <t>- Realised gain / (loss)</t>
  </si>
  <si>
    <t>- Unrealised (loss) / gain</t>
  </si>
  <si>
    <t>- Relating to capital loss</t>
  </si>
  <si>
    <t>- Excluding capital loss</t>
  </si>
  <si>
    <t>----------------------- Number of Shares ------------------------</t>
  </si>
  <si>
    <t>Bonus / Right Issue during the period</t>
  </si>
  <si>
    <t>Carrying value</t>
  </si>
  <si>
    <t>Provision for Sindh Workers' Welfare Fund</t>
  </si>
  <si>
    <t>EXPENSE RATIO</t>
  </si>
  <si>
    <t>OGDC</t>
  </si>
  <si>
    <t>BAFL</t>
  </si>
  <si>
    <t xml:space="preserve"> ------- (Rupees in '000) --------</t>
  </si>
  <si>
    <t>Unit Holders' Fund:</t>
  </si>
  <si>
    <t>As at 
July 01, 2017</t>
  </si>
  <si>
    <t>Issued
 for cash</t>
  </si>
  <si>
    <t>Bonus</t>
  </si>
  <si>
    <t>Redeemed</t>
  </si>
  <si>
    <t>------------------------------------- Units ----------------------------------</t>
  </si>
  <si>
    <t>--------------------------------- (Rupees in '000) ---------------------------------</t>
  </si>
  <si>
    <t>Key management personnel</t>
  </si>
  <si>
    <t>As at December 30, 2016</t>
  </si>
  <si>
    <t>As at December 30, 2017</t>
  </si>
  <si>
    <t>As at June 30, 2017 (Audited)</t>
  </si>
  <si>
    <t>The annexed notes from 1 to 15 form an integral part of this condensed interim financial information.</t>
  </si>
  <si>
    <t>CONDENSED INTERIM STATEMENT OF MOVEMENT IN UNITHOLDERS’ FUND</t>
  </si>
  <si>
    <t>FOR THE HALF YEAR ENDED DECEMBER 31, 2017 (UNAUDITED)</t>
  </si>
  <si>
    <t xml:space="preserve">For presentation of prior period amounts </t>
  </si>
  <si>
    <t>Additional disclosures / presentation requirements due to amendments in NBFC Regulations</t>
  </si>
  <si>
    <t xml:space="preserve"> (Rupees in '000) </t>
  </si>
  <si>
    <t>Capital Value</t>
  </si>
  <si>
    <t>Undistributed income</t>
  </si>
  <si>
    <t>Unrealised appreciation / (diminution)  'available for sale' investments</t>
  </si>
  <si>
    <t>Issuance of 3,637,372  units (2016: 10,685,657  units)</t>
  </si>
  <si>
    <t xml:space="preserve">- Capital value (at net asset value per unit at the </t>
  </si>
  <si>
    <t>beginning of the period)</t>
  </si>
  <si>
    <t>- Element of income</t>
  </si>
  <si>
    <t>Total proceeds on issuance of units</t>
  </si>
  <si>
    <t xml:space="preserve">Redemption of 6,380,696  units (2016: 16,098,929  units) </t>
  </si>
  <si>
    <t>- Amount paid out of element of income</t>
  </si>
  <si>
    <t>- Relating to 'Net income for the period after taxation'</t>
  </si>
  <si>
    <t>- Relating to 'Other comprehensive income for the period'</t>
  </si>
  <si>
    <t>- Refund / (adjustment) on units as element of income</t>
  </si>
  <si>
    <t>Total payments on redemption of units</t>
  </si>
  <si>
    <t xml:space="preserve">Element of income / loss and capital gains / losses included </t>
  </si>
  <si>
    <t>in prices of units issued less those in units redeemed - net</t>
  </si>
  <si>
    <t xml:space="preserve">Total comprehensive income for the period </t>
  </si>
  <si>
    <t>Distribution during the period</t>
  </si>
  <si>
    <t>Net income / (loss) for the period less distribution</t>
  </si>
  <si>
    <t>Net assets at end of the period</t>
  </si>
  <si>
    <t>Undistributed income brought forward</t>
  </si>
  <si>
    <t xml:space="preserve"> - Realised</t>
  </si>
  <si>
    <t xml:space="preserve"> - Unrealised</t>
  </si>
  <si>
    <t xml:space="preserve"> - Relating to capital gains</t>
  </si>
  <si>
    <t xml:space="preserve"> - Excluding capital gains</t>
  </si>
  <si>
    <t>Undistributed income carried forward</t>
  </si>
  <si>
    <t>(Rupees)</t>
  </si>
  <si>
    <t>Net assets value per unit at beginning of the period</t>
  </si>
  <si>
    <t>Net assets value per unit at end of the period</t>
  </si>
  <si>
    <t>Portion of Element</t>
  </si>
  <si>
    <t>Portion of Capital</t>
  </si>
  <si>
    <t>Ex NAV</t>
  </si>
  <si>
    <t>Amount received against issuance</t>
  </si>
  <si>
    <t>Number of units redeemed</t>
  </si>
  <si>
    <t>Number of units issued</t>
  </si>
  <si>
    <t>Allocation of net (loss) / income for the period:</t>
  </si>
  <si>
    <t>Income already paid on units redeemed</t>
  </si>
  <si>
    <t>- Relating to capital gains</t>
  </si>
  <si>
    <t>- Excluding capital gains</t>
  </si>
  <si>
    <t>2018</t>
  </si>
  <si>
    <t>Trail Balance</t>
  </si>
  <si>
    <t>Account Code</t>
  </si>
  <si>
    <t>Account Name</t>
  </si>
  <si>
    <t>Debit</t>
  </si>
  <si>
    <t>Credit</t>
  </si>
  <si>
    <t>INVESTMENT IN LETTER OF PLACEMENTS</t>
  </si>
  <si>
    <t>PROFIT ON LETTER OF PLACEMENTS</t>
  </si>
  <si>
    <t>Profit On - Habib Bank Limited Kse Branch</t>
  </si>
  <si>
    <t>INCOME ON CLEAN PLACEMENTS</t>
  </si>
  <si>
    <t>BANK CHARGES - HABIB BANK LIMITED</t>
  </si>
  <si>
    <t>Net</t>
  </si>
  <si>
    <t>000</t>
  </si>
  <si>
    <t>Quarter - Mar 2018</t>
  </si>
  <si>
    <t>Values use for A/Cs</t>
  </si>
  <si>
    <t>Letter of placement - Loans and receivables</t>
  </si>
  <si>
    <t>-</t>
  </si>
  <si>
    <t>Pak Oman Investment Limited</t>
  </si>
  <si>
    <t>Automobile Assembler</t>
  </si>
  <si>
    <t>Indus Motors Company Limited</t>
  </si>
  <si>
    <t>Commercial Banks</t>
  </si>
  <si>
    <t>Habib Bank Limited</t>
  </si>
  <si>
    <t>Food &amp; Personal Care Products</t>
  </si>
  <si>
    <t>Power Generation &amp; Distribution</t>
  </si>
  <si>
    <t>Textile Composite</t>
  </si>
  <si>
    <t>Cement</t>
  </si>
  <si>
    <t>Bank Al Habib Limited</t>
  </si>
  <si>
    <t>Faysal Bank Limited</t>
  </si>
  <si>
    <t>Engineering</t>
  </si>
  <si>
    <t>Fertilizer</t>
  </si>
  <si>
    <t>Leather &amp; Tanneries</t>
  </si>
  <si>
    <t>Pakistan Oilfields Limited</t>
  </si>
  <si>
    <t>Oil And Gas Marketing Companies</t>
  </si>
  <si>
    <t>The SECP via its SRO 1160 dated November 25, 2015 has amended clause 60 of NBFC Regulations, 2008. The said clause  entitled the Management Company to reimbursement of fees and expenses related to registrar services, accounting, operation and valuation services related to CIS upto a maximum of 0.1% of average annual net assets of the scheme or actual whichever is less. Accordingly, the Fund has made an accrual of Rs. 0.531 million since July 1, 2017 at the maximum rate of 0.1% of average annual net assets which is less than the actual expenses allocable to the fund.</t>
  </si>
  <si>
    <t>For Nine Months Ended March 31, 2018</t>
  </si>
  <si>
    <t>For Nine Months Ended March 31, 2017</t>
  </si>
  <si>
    <t>--------- ('000) ---------</t>
  </si>
  <si>
    <t>As at March 31, 2018 (Un-audited)</t>
  </si>
  <si>
    <t>BASIS OF PREPARATION</t>
  </si>
  <si>
    <t>This condensed interim financial statements have been prepared in accordance with the accounting and reporting standards as applicable in Pakistan which comprises of:</t>
  </si>
  <si>
    <t>Term Deposit Receipt - Loans and receivables</t>
  </si>
  <si>
    <t>GENERAL</t>
  </si>
  <si>
    <t>*The amount disclosed represents the amount of brokerage paid / payable to connected persons and not the purchase or sale value of securities transacted through them. The purchase or sale value has not been treated as transactions with connected persons as the ultimate counter-parties are not connected persons.</t>
  </si>
  <si>
    <t>Form 7</t>
  </si>
  <si>
    <t>The General Manager</t>
  </si>
  <si>
    <t>Pakistan Stock Exchange Limited,</t>
  </si>
  <si>
    <t>Stock Exchange Road,</t>
  </si>
  <si>
    <t>Karachi.</t>
  </si>
  <si>
    <t>Subject:</t>
  </si>
  <si>
    <t>Earnings per unit (EPU) is not disclosed as the management is of the opinion that calculation of weighted average number of units is impracticable.</t>
  </si>
  <si>
    <t>We will be sending you the requisite number of copies of printed accounts for distribution amongst the members of exchange.</t>
  </si>
  <si>
    <t>Yours truly,</t>
  </si>
  <si>
    <t>Company Secretary</t>
  </si>
  <si>
    <t>The Fund's risk management policies are consistent with those disclosed in the financial statements of the Fund as at and for the year ended June 30, 2018.</t>
  </si>
  <si>
    <t>At March 31, 2019</t>
  </si>
  <si>
    <t>The Sindh Revenue Board through Circular No. SRB 3-4/TP/01/2015/86554 dated June 13th 2015 has amended the definition of services of shares, securities and derivatives and included the custodianship services as well. Accordingly, Sindh Sales Tax of 13% on such services is also chargeable on Trustee fee which is now covered under the section 2(79A) of the Sindh Finance Bill 2010 amended upto 2016. Accordingly, the Fund has made an accrual of Rs. ---- million on account of Sindh Sales Tax on services chargeable on custodianship services for the nine months ended March 31, 2019.</t>
  </si>
  <si>
    <t xml:space="preserve">Remuneration payable </t>
  </si>
  <si>
    <t>Allocated expense payable</t>
  </si>
  <si>
    <t>Dolmen City REIT</t>
  </si>
  <si>
    <t>Marketing and selling expense</t>
  </si>
  <si>
    <t>Bank Balances - Js Bank Limited - Ocean Tower, Clifton Branch</t>
  </si>
  <si>
    <t>Profit Receivable - Js Bank Limited - Ocean Tower, Clifton Branch</t>
  </si>
  <si>
    <t>Profit Receivable - Habib Bank Limited Kse Branch</t>
  </si>
  <si>
    <t>Prepayment Of Legal Charges</t>
  </si>
  <si>
    <t>Other Receivable Against Collection Account -Mcb</t>
  </si>
  <si>
    <t>Other Receivable Against Collection Account- Faysal Bank</t>
  </si>
  <si>
    <t>Capital Gains/(Losses)-FVOCI</t>
  </si>
  <si>
    <t>Marketing And Selling Payable</t>
  </si>
  <si>
    <t>Profit On - Js Bank Limited - Ocean Tower, Clifton Branch</t>
  </si>
  <si>
    <t>Profit On Habib Bank Limited Kse Branch</t>
  </si>
  <si>
    <t>Profit On - National Bank Of Pakistan - Main Branch</t>
  </si>
  <si>
    <t>Marketing And Selling Expense</t>
  </si>
  <si>
    <t>Bank Charges - JS Bank Limited</t>
  </si>
  <si>
    <t>Advance Against Bookbuilding</t>
  </si>
  <si>
    <t>OUT OF POCKET EXPENSES</t>
  </si>
  <si>
    <t>Issued for cash / conversion in transferred in</t>
  </si>
  <si>
    <t>Redeemed / conversion out / transfer out</t>
  </si>
  <si>
    <t>Issued for cash / conversion in / transferred in</t>
  </si>
  <si>
    <t>Amount outstanding as at December 31, 2018</t>
  </si>
  <si>
    <t>---------------------------------------- (Units) ------------------------------------------------</t>
  </si>
  <si>
    <t>--------------------------------------------- (Rupees in  '000) -------------------------------------------</t>
  </si>
  <si>
    <t xml:space="preserve">Directors and executives of </t>
  </si>
  <si>
    <t>the Management Company</t>
  </si>
  <si>
    <t xml:space="preserve"> ------ (Rupees in '000) -----</t>
  </si>
  <si>
    <t>Total  income</t>
  </si>
  <si>
    <t>Net (Loss) / income for the period after taxation</t>
  </si>
  <si>
    <t>Other comprehensive loss for the period</t>
  </si>
  <si>
    <t>Total comprehensive (Loss) / income for the period</t>
  </si>
  <si>
    <t>CASH FLOWS FROM FINANCING ACTIVITIES</t>
  </si>
  <si>
    <t>CASH FLOWS FROM OPERATING ACTIVITIES</t>
  </si>
  <si>
    <t>Habib Metropolitan Bank Limited</t>
  </si>
  <si>
    <t>Shezan International Limited</t>
  </si>
  <si>
    <t>Pharmaceuticals</t>
  </si>
  <si>
    <t>The Searle Company Limited</t>
  </si>
  <si>
    <t>Kohinoor Textile Mills Limited</t>
  </si>
  <si>
    <t>3-Months</t>
  </si>
  <si>
    <t>Issue Date</t>
  </si>
  <si>
    <t>Tenor</t>
  </si>
  <si>
    <t>Advances Against IPO Investment Equity Security</t>
  </si>
  <si>
    <t>Statement of compliance</t>
  </si>
  <si>
    <t>2.1.1</t>
  </si>
  <si>
    <t>2.1.2</t>
  </si>
  <si>
    <t>2.1.3</t>
  </si>
  <si>
    <t>2.1.4</t>
  </si>
  <si>
    <t>2.1.5</t>
  </si>
  <si>
    <t>The disclosures made in this condensed interim financial information have, however, been limited based on the requirements of the International Accounting Standard 34: 'Interim Financial Reporting'. This condensed interim financial information is unaudited.</t>
  </si>
  <si>
    <t>BALANCES WITH BANKS</t>
  </si>
  <si>
    <t>Current accounts</t>
  </si>
  <si>
    <t>Savings accounts</t>
  </si>
  <si>
    <t>Related parties / connected persons of the Fund include the Management Company, other collective investment schemes managed by the Management Company, MCB Bank Limited being the holding company of the Management Company, the Trustee, directors and key management personnel, other associated undertakings and unit holders holding more than 10% units of the Fund.</t>
  </si>
  <si>
    <t>Remuneration payable to the Management Company and the Trustee is determined in accordance with the provision of the NBFC Regulations 2008 and Constitutive documents of the Fund.</t>
  </si>
  <si>
    <t>The transactions with connected persons / related parties are in the normal course of business and are carried out on agreed terms at contracted rates.</t>
  </si>
  <si>
    <t>Details of transactions and balances at period end with related parties / connected persons, other than those which have been disclosed elsewhere in these financial statements, are as follows:</t>
  </si>
  <si>
    <t>Figures have been rounded off to the nearest thousand rupees, unless otherwise specified.</t>
  </si>
  <si>
    <t>Corresponding figures have been reclassified and rearranged in these condensed interim financial statements, wherever necessary, for the purpose of better presentation. However, no significant rearrangements or reclassifications were made in these condensed interim financial statements to report.</t>
  </si>
  <si>
    <t>Associated Companies</t>
  </si>
  <si>
    <t>Asghari Beg Memorial Trust</t>
  </si>
  <si>
    <t>Marketing and selling Expense</t>
  </si>
  <si>
    <t>Net loss for the period after taxation</t>
  </si>
  <si>
    <t>Change in Accounting policy-Note 3.3</t>
  </si>
  <si>
    <t>Transfer from 'Available for sale' category upon adoption of IFRS 9- Note 3.3</t>
  </si>
  <si>
    <t>Sindh Sales Tax on remuneration</t>
  </si>
  <si>
    <t xml:space="preserve">Settlement, bank charges </t>
  </si>
  <si>
    <t>Treasury Bills</t>
  </si>
  <si>
    <t>Certificates have a face value of Rs 100,000 each</t>
  </si>
  <si>
    <t>Net (loss) / Income for the period</t>
  </si>
  <si>
    <t>International Accounting Standard (IAS) 34, Interim Financial Reporting, issued by  the International Accounting Standards Board (IASB) as notified under the Companies Act, 2017 (the Act);</t>
  </si>
  <si>
    <t>Where provisions of and directives issued under the Companies Act, 2017, Part VIIIA of the repealed Companies Ordinance, 1984, the NBFC rules, the  NBFC Regulations and requirements of the Trust Deed differ from the International Accounting Standard (IAS) 34, Interim Financial Reporting,  the provisions of and directives issued under the Companies Act, 2017, Part VIIIA of the repealed Companies Ordinance, 1984,  the NBFC Rules, the NBFC Regulations and requirements of the Trust Deed have been followed.</t>
  </si>
  <si>
    <t>Unit Holders' Fund</t>
  </si>
  <si>
    <t xml:space="preserve">(Loss) / Earnings per unit based on cumulative weighted average units for the period has not been disclosed as in the opinion of the Management Company, the determination of the same is not practicable </t>
  </si>
  <si>
    <t>September 30,</t>
  </si>
  <si>
    <t>Receivable against sale of investments</t>
  </si>
  <si>
    <t>Profit on bank deposits</t>
  </si>
  <si>
    <t>Mark-up income</t>
  </si>
  <si>
    <t>PAKISTAN INVESTMENT BONDS  APPRECIATION / DIMINUTION  HFT</t>
  </si>
  <si>
    <t>PAKISTAN INVESTMENT BONDS  DISCOUNT / AMORTISATION  HFT</t>
  </si>
  <si>
    <t>CAPITAL GAIN / (LOSS) ON SALE OF PIBS</t>
  </si>
  <si>
    <t>URG/LOSS INVESTMENTS IN PIBS</t>
  </si>
  <si>
    <t>INCOME ON GOVT SECTY PIBS</t>
  </si>
  <si>
    <t>AMORTIZATION / DISCOUNT ON DEBT SECURITIES - TFC</t>
  </si>
  <si>
    <t>Discount Income On Govt Security Pibs</t>
  </si>
  <si>
    <t>BANK CHARGES - STANDARD BANK PAKISTAN LIMITED</t>
  </si>
  <si>
    <t>Service Industries</t>
  </si>
  <si>
    <t>Miscellaneous</t>
  </si>
  <si>
    <t>Mari Petroleum Company Limited</t>
  </si>
  <si>
    <t>- Element of loss</t>
  </si>
  <si>
    <t>Total expense ratio of the Fund is 0.94% as on September 30, 2019 (30 September 2018: 0.91%) and this includes 0.07% (30 September 2018: 0.1%)  representing government Levy on the Fund such as Sales tax, Sindh Workers’ Welfare Fund, SECP fee, etc. This ratio is within the maximum limit of 4 % prescribed under the NBFC Regulations for a collective investment scheme categorized as a Balanced Scheme.</t>
  </si>
  <si>
    <t>Mandate Under Discretionary Portfolio</t>
  </si>
  <si>
    <t>Pakistan Capital Market Fund (the Fund) was established under a Trust Deed executed between Arif Habib Investments Limited (now MCB - Arif Habib Savings and Investments Limited) as “Management Company” and Central Depository Company of Pakistan Limited (CDC) . The draft Trust Deed was approved by the Securities and Exchange Commission of Pakistan (SECP) vide its letter dated September 30, 2003 consequent to which the Trust Deed was executed on October 27, 2003 in accordance with the Asset Management Companies Rules, 1995 (AMC Rules) repealed by Non-Banking Finance Companies (Establishment and Regulation) Rules, 2003 (NBFC Rules).</t>
  </si>
  <si>
    <t>Pakistan Capital Market Fund as a closed-end scheme was authorized by SECP on November 5, 2003. During the year 2005, the Fund was converted from a closed-end scheme to an open-end scheme. The Fund has been categorised as "Balanced Scheme" and offers units for public subscription on continuous basis. The units of the Fund are transferable and can also be redeemed by surrendering to the Fund. The Fund is listed on Pakistan Stock Exchange Limited.</t>
  </si>
  <si>
    <t xml:space="preserve">Title to the assets of the Fund is held in the name of the Central Depository Company of Pakistan Limited as Trustee of the Fund.  </t>
  </si>
  <si>
    <t xml:space="preserve">Provisions of and directives issued under the Companies Act, 2017 along with part VIIIA of the repealed Companies Ordinance, 1984; and </t>
  </si>
  <si>
    <t>Non-Banking Finance Companies (Establishment and Regulations) Rules, 2003 (The NBFC Rules), Non-Banking Finance Companies and Notified Entities Regulations, 2008 (The NBFC Regulations) and requirement of the Trust Deed.</t>
  </si>
  <si>
    <t xml:space="preserve">In compliance with schedule V of the NBFC Regulations the Directors of the Management Company, hereby declare that this condensed interim financial statement give a true and fair view of the Fund.
</t>
  </si>
  <si>
    <t>SIGNIFICANT ACCOUNTING POLICIES</t>
  </si>
  <si>
    <t>Estimates and Judgements</t>
  </si>
  <si>
    <t xml:space="preserve">Financial Risk Management </t>
  </si>
  <si>
    <t>7.1, 7.2, 7.3</t>
  </si>
  <si>
    <t xml:space="preserve">PAYABLE TO THE MCB-ARIF HABIB SAVINGS AND </t>
  </si>
  <si>
    <t>INVESTMENTS LIMITED - MANAGEMENT COMPANY</t>
  </si>
  <si>
    <t>Management fee payable</t>
  </si>
  <si>
    <t>Sindh sales tax on management fee</t>
  </si>
  <si>
    <t>Payable against allocated expenses</t>
  </si>
  <si>
    <t>(Rupees in '000)</t>
  </si>
  <si>
    <t>For the Quarter Ended</t>
  </si>
  <si>
    <t>Standards, amendments and interpretations to existing standards not yet effective and not applicable/ relevant to the Fund</t>
  </si>
  <si>
    <t>2020</t>
  </si>
  <si>
    <t>The Management Company of the Fund has been licensed to act as an Asset Management Company under the Non Banking Finance Companies (Establishment and Regulations) Rules 2003 through a certificate of registration issued by the SECP. The registered office of the Management Company is situated at 2nd Floor, Adamjee House, I.I Chundrigar Road, Karachi, Pakistan.</t>
  </si>
  <si>
    <t>Pakistan Investment Bonds</t>
  </si>
  <si>
    <t>Adamjee Insurance Company Limited</t>
  </si>
  <si>
    <t>September 30, 2020 (Un-Audited)</t>
  </si>
  <si>
    <t>As at July 01,
2020</t>
  </si>
  <si>
    <t>As at
September
30, 2020</t>
  </si>
  <si>
    <t>Amount outstanding as at September 30, 2020</t>
  </si>
  <si>
    <t>This condensed interim financial information was authorised for issue on ______________ by the Board of Directors of the Management Company.</t>
  </si>
  <si>
    <t>BANK BALANCES - ALLIED BANK LIMITED FX Current A/C</t>
  </si>
  <si>
    <t>APPRECIAION/DIMUNITION ON PIB FRB -HFT</t>
  </si>
  <si>
    <t>DISCOUNT/AMORTIZATION ON PIB FRB- HFT</t>
  </si>
  <si>
    <t>ACCRUED PROFIT ON PIB - FRB</t>
  </si>
  <si>
    <t>DIVIDEND PAYABLE</t>
  </si>
  <si>
    <t>CAPITAL GAIN / (LOSS) ON SALE OF GOP IJARA</t>
  </si>
  <si>
    <t>URG / LOSS INVESTMENT IN PIB FRB -HFT</t>
  </si>
  <si>
    <t>CAPITAL GAIN / (LOSS) ON SALE OF PIB FRB -HFT</t>
  </si>
  <si>
    <t>INCOME ON GOVERNMENT SECURITIES  GOP IJARA SUKUK</t>
  </si>
  <si>
    <t>INCOME ON GOVT SECTY PIBS FRB</t>
  </si>
  <si>
    <t>AMORTIZATION / DISCOUNT ON GOVT SEC PIBS FRB</t>
  </si>
  <si>
    <t>TFC difference 2</t>
  </si>
  <si>
    <t>Automobile Parts &amp; Accessories</t>
  </si>
  <si>
    <t>Thal Limited</t>
  </si>
  <si>
    <t>Lucky Cement Limited</t>
  </si>
  <si>
    <t>Pioneer Cement Limited</t>
  </si>
  <si>
    <t>Murree Brewery Company</t>
  </si>
  <si>
    <t>Synthetic Products Limited</t>
  </si>
  <si>
    <t>REAL ESTATE INVESTMENT TRUST</t>
  </si>
  <si>
    <t>6-Months</t>
  </si>
  <si>
    <t>3-Year</t>
  </si>
  <si>
    <t>5-Year</t>
  </si>
  <si>
    <t>Highnoon Laboratories Limited</t>
  </si>
  <si>
    <t>Oil &amp; Gas Exploration Companies</t>
  </si>
  <si>
    <t>*These have face value of Rs 3.5 per share.</t>
  </si>
  <si>
    <t>D.G Khan Cement Company Limited</t>
  </si>
  <si>
    <t>CONDENSED INTERIM STATEMENT OF MOVEMENT IN UNITHOLDERS’ FUND (Un-Audited)</t>
  </si>
  <si>
    <t xml:space="preserve">Decrease / (Increase)  in assets </t>
  </si>
  <si>
    <t>Net cash  generated from / (used in) operating activities</t>
  </si>
  <si>
    <t>Net cash generated from / (used in) financing activities</t>
  </si>
  <si>
    <t xml:space="preserve">The Fund's income is exempt from income tax as per clause (99) of part I of the Second Schedule to the Income Tax Ordinance, 2001 subject to the condition that not less than 90% of the accounting income available for distribution for the year as reduced by capital gains whether realized or unrealized is distributed amongst the unit holders by way of cash dividend. Furthermore, as per regulation 63 of the Non-Banking Finance Companies and Notified Entities Regulation, 2008, the Fund is required to distribute 90% of the net accounting income available for distribution other than capital gains to the unit holders in cash. The Fund is also exempt from the provision of Section 113 (minimum tax) under clause 11A of Part IV of the Second Schedule to the Income Tax Ordinance, 2001. The management intends to distribute at least 90% of income to be earned during current year to the unit holders, therefore, no provision for taxation has been recorded in this condensed interim financial information. </t>
  </si>
  <si>
    <t>Capital gain  / (loss) on sale of investments - net</t>
  </si>
  <si>
    <t>Unrealised appreciation / (diminution) on re-measurement of investments</t>
  </si>
  <si>
    <t xml:space="preserve">Earning per unit </t>
  </si>
  <si>
    <t>Net income /(loss)   for the period before taxation</t>
  </si>
  <si>
    <t>Net income / (loss)  from operating activities</t>
  </si>
  <si>
    <t xml:space="preserve">Earnings / (Loss)  per unit </t>
  </si>
  <si>
    <t>2021</t>
  </si>
  <si>
    <t>AS AT SEPTEMBER 30, 2021</t>
  </si>
  <si>
    <t>FOR THE QUARTER ENDED SEPTEMBER 30, 2021</t>
  </si>
  <si>
    <t>The accounting policies adopted for the preparation of these condensed interim financial statements are the same as those applied in the preparation of the annual published financial statements of the Fund for the period ended June 30, 2021.</t>
  </si>
  <si>
    <t>There are certain standards, amendments to the approved accounting standards and interpretations that are mandatory for the Fund’s accounting periods beginning on or after July 1, 2020 but are considered not to be relevant or do not have any significant effect on the Fund's operations and are, therefore, not detailed in these condensed interim financial statements.</t>
  </si>
  <si>
    <t>The preparation of condensed interim financial information requires management to make judgments, estimates and assumptions that affect the application of accounting policies and the reported amounts of assets and liabilities, income and expenses. Actual results may differ from these estimates. In preparing this condensed interim financial information, the significant judgments made by management in applying accounting policies and the key sources of estimation uncertainty were the same as those that applied to financial statements as at and for the year ended 30 June 2021.</t>
  </si>
  <si>
    <t>The Fund's financial risk management objectives and policies are consistent with that disclosed in the financial statements as at and for the year ended 30 June 2021.</t>
  </si>
  <si>
    <t>As at July 01,
2021</t>
  </si>
  <si>
    <t>As at
September
30, 2021</t>
  </si>
  <si>
    <t>Amount outstanding as at September 30, 2021</t>
  </si>
  <si>
    <t>There were no contingencies and commitments as at September 30, 2021 and June 30, 2021.</t>
  </si>
  <si>
    <t>Bank Balances - Bank Al Habib Limited - DIVIDEND - 1 - KSE BRANCH</t>
  </si>
  <si>
    <t>BANK BALANCES - ALLIED BANK LIMITED - FX Current A/C</t>
  </si>
  <si>
    <t>INVESTMENT IN PIB  FACE VALUE  HFT</t>
  </si>
  <si>
    <t>PROFIT RECEIVABLE - BANK AL FALAH LIMITED  - KSE</t>
  </si>
  <si>
    <t>Recievable Against Bonus Shares Withheld</t>
  </si>
  <si>
    <t>PAYABLE AGAINST PURCHASE OF INV. MM</t>
  </si>
  <si>
    <t>Profit On - United Bank Limited - Avari Tower Branch</t>
  </si>
  <si>
    <t>Taxationworkers Welfare Fund (Wwf) - Reversal</t>
  </si>
  <si>
    <t>BANK CHARGES - NATIONAL BANK LIMITED</t>
  </si>
  <si>
    <t>Reversal of Provision for Workers' Welfare Fund</t>
  </si>
  <si>
    <t>As at July 1, 2021</t>
  </si>
  <si>
    <t>As at September 30, 2021</t>
  </si>
  <si>
    <t>Total ar September 30, 2021 (Unaudited)</t>
  </si>
  <si>
    <t>Total at June 30, 2021 (Audited)</t>
  </si>
  <si>
    <t>Total as at September 30, 2021 (Un-audited)</t>
  </si>
  <si>
    <t>Total as at June 30, 2021 (Audited)</t>
  </si>
  <si>
    <t>September 30, 2021 (Un-Audited)</t>
  </si>
  <si>
    <t>Pakistan Credit Rating Agency Limited (PACRA) has assigned an asset manager rating of 'AM1' dated October 06, 2020 to the Management Company .</t>
  </si>
  <si>
    <t>The Trust Act, 1882 has been repealed due to promulgation of Provincial Trust Act “Sindh Act 2020” as empowered under the Eighteenth Amendment to the Constitution of Pakistan. Various new requirements including registration under the Trust Act have been introduced. The Management Company to fulfil the requirement for registration of Trust Deed under Sindh Trusts Act 2020, has submitted the Collective Investment Scheme Trust Deed to the Registrar (acting under Sindh Trusts Act 2020).</t>
  </si>
  <si>
    <t>This condensed interim financial information does not include all the information and disclosures required for full annual financial statements and should be read in conjunction with the financial statements for the year ended 30 June 2021.</t>
  </si>
  <si>
    <t>RECEIVABLE AGAINST SALE OF MONEY MARKET INVESTMENTS</t>
  </si>
  <si>
    <t>Hub Power Company Limited</t>
  </si>
  <si>
    <t>Abbott Laboratories (Pakistan)</t>
  </si>
  <si>
    <t>Packages Limited</t>
  </si>
  <si>
    <t>Cherat Packaging Limited</t>
  </si>
  <si>
    <t>Paper And Board</t>
  </si>
  <si>
    <t>Pakistan State Oil Company Limited</t>
  </si>
  <si>
    <t>Attock Petroleum Limited</t>
  </si>
  <si>
    <t>Service Global Footwear Limited</t>
  </si>
  <si>
    <t>The Organic Meat Company Limited</t>
  </si>
  <si>
    <t>Engro Corporation Limited</t>
  </si>
  <si>
    <t>Amreli Steels Limited</t>
  </si>
  <si>
    <t>Samba Bank Limited</t>
  </si>
  <si>
    <t>Meezan Bank Limited</t>
  </si>
  <si>
    <t>Bank AlFalah Limited</t>
  </si>
  <si>
    <t>Archroma Pakistan Limited</t>
  </si>
  <si>
    <t>Power Cement Limited</t>
  </si>
  <si>
    <t>Kohat Cement Company Limited</t>
  </si>
  <si>
    <t>Cherat Cement Company Limited</t>
  </si>
  <si>
    <t>Panther Tyres Limited</t>
  </si>
  <si>
    <t>Agriauto Industires Limited</t>
  </si>
  <si>
    <t>Pak Suzuki Motors Company Limited</t>
  </si>
  <si>
    <t>Honda Atlas Cars(Pakistan) Limited</t>
  </si>
  <si>
    <t>Sale of  NIl (2020: 95,000) shares</t>
  </si>
  <si>
    <t>Nil (2021: 38,000) shares held</t>
  </si>
  <si>
    <t>These include Rs. 0.0008 million (2021: Rs 3.218 million) maintained with MCB Bank Limited, a connected person / related party</t>
  </si>
  <si>
    <t xml:space="preserve">These carry profit at the rates ranging between 5.5% to  8.85% (2021: 5.50% to 7.6% ) per annum  and include Rs.0.47  million maintained with MCB Bank Limited, (a related party) which carries profit at the rate of 5.75% per annum </t>
  </si>
  <si>
    <t>Purchase of Nil (2020: 27,038) shares</t>
  </si>
  <si>
    <t>Sale of NIl (2020: 83,000) shares</t>
  </si>
  <si>
    <t>Purchase of Nil (2020: 132,000) shares</t>
  </si>
  <si>
    <t>Sale of  38,000 (2020: 45,000) shares</t>
  </si>
  <si>
    <t>Sale of  450,000 (2020: ) shares</t>
  </si>
  <si>
    <t>Nil (2021: 450,000) shares held</t>
  </si>
  <si>
    <t xml:space="preserve">Sindh Revenue Board (SRB) through its letter dated August 12, 2021 received on August 13, 2021 has intimated Mutual Funds Association of Pakistan's (MUFAP) that the mutual funds do not qualify as Financial Institutions / Industrial Establishments and are therefore, not liable to pay the Sindh Workers’ Welfare Fund (SWWF) contributions. This development was discussed at MUFAP level and was also been taken up with the the Securities and Exchange Commission of Pakistan (SECP). All the Asset Management Companies, in consultation with SECP, have reversed the cumulative provision for SWWF recognised in the financial statements of the Funds till August 12, 2021 on August 13, 2021. </t>
  </si>
  <si>
    <t>SECP has also given its concurrence for recording reversal of provision of SWWF on the day letter was received by MUFAP. This reversal of provision has contributed towards an unusual increase in NAV of the Fund on August 13, 2021. This is one-off event and is not likely to be repeated in the future.</t>
  </si>
  <si>
    <t xml:space="preserve">Going forward, no provision for SWWF would be recognised in the financial statements of the Fund. </t>
  </si>
  <si>
    <t>FAIR VALUE MEASUREMENTS</t>
  </si>
  <si>
    <t>Fair value is the price that would be received to sell an asset or paid to transfer a liability in an orderly transaction between market participants at the measurement date. Consequently, differences can arise between carrying values and the fair value estimates.</t>
  </si>
  <si>
    <t>Underlying the definition of fair value is the presumption that the Fund is a going concern without any intention or requirement to curtail materially the scale of its operations or to undertake a transaction on adverse terms.</t>
  </si>
  <si>
    <t>Financial assets which are tradable in an open market are revalued at the market prices prevailing on the statement of assets and liabilities date. The estimated fair value of all other financial assets and liabilities is considered not to be significantly different from the respective book values.</t>
  </si>
  <si>
    <t>Fair value hierarchy</t>
  </si>
  <si>
    <t>International Financial Reporting Standard 13, 'Fair Value Measurement' requires the Fund to classify assets using a fair value hierarchy that reflects the significance of the inputs used in making the measurements. The fair value hierarchy has the following levels:</t>
  </si>
  <si>
    <t>Level 1: quoted prices (unadjusted) in active markets for identical assets or liabilities;</t>
  </si>
  <si>
    <t>Level 2: inputs other than quoted prices included within level 1 that are observable for the asset or liability either directly (i.e. as prices) or indirectly (i.e. derived from prices); and</t>
  </si>
  <si>
    <t>Level 3: inputs for the asset or liability that are not based on observable market data (i.e. unobservable inputs).</t>
  </si>
  <si>
    <t>Impact of COVID-19</t>
  </si>
  <si>
    <t xml:space="preserve">A novel strain of coronavirus (COVID-19) was classified as a pandemic by the World Health Organization on March 11, 2020, impacting countries globally. Measures taken to contain the spread of the virus, including lock-downs, travel bans, quarantines, social distancing, and closures of non-essential services and factories triggered significant disruptions to businesses worldwide and in Pakistan, resulting in an economic slowdown. During the lockdown that lasted from March to May 2020, the funds continued their activity, as the Pakistan Stock Exchange and the money markets continued trading. Management Company is of the view that while COVID-19 and its resulting containment measures have affected the economy, investors’ confidence and adequate steps from the government and regulators have spearheaded recovery and subsequent events reflect that in due course, things would be normalised.
</t>
  </si>
  <si>
    <t>The annexed notes from 1 to 18 form an integral part of this condensed interim financial information.</t>
  </si>
  <si>
    <t>Net (loss) / income  for the period</t>
  </si>
  <si>
    <t>The comparative in the statement of assets and liabilities presented in the condensed interim financial information as at 30 September 2021 have been extracted from the audited financial statements of the Fund for the year ended 30 June 2021, whereas the comparatives in the condensed interim income statement, condensed interim cash flow statement, condensed interim distribution statement and condensed interim statement of movement in unit holders' funds are stated from unaudited condensed interim financial information for the quarter ended 30 September 2020.</t>
  </si>
  <si>
    <t>Maple Leaf Cement Factory Limited**</t>
  </si>
  <si>
    <t>United Bank Limited**</t>
  </si>
  <si>
    <t>**The above include shares with a market value aggregating to Rs. 18.90 million ( June 30 2021:  23.608 million) which have been pledged with National Clearing Company of Pakistan Limited for guaranteeing settlement of the Fund's trades in accordance with Circular no. 11 dated October 23, 2007 issued by the Securities and Exchange Commission of Pakistan.</t>
  </si>
  <si>
    <t>*** These include transactions with related party.</t>
  </si>
  <si>
    <t>D.G. Khan Cement Company Limited***</t>
  </si>
  <si>
    <t xml:space="preserve">Redemption of 1,701,219 units (2020: 2,624,281 units) </t>
  </si>
  <si>
    <t>Issuance of 933,420 units (2020: 3,338,818 units)</t>
  </si>
  <si>
    <t>Increase/  (Decrease)  in liabilities</t>
  </si>
  <si>
    <t>Net decrease in cash and cash equivalents</t>
  </si>
  <si>
    <t>Dividend Income</t>
  </si>
  <si>
    <t>Dolmen City RIET Limited</t>
  </si>
  <si>
    <t>423,500 (2021: Nil) shares held</t>
  </si>
  <si>
    <t>Under Sealed Cover</t>
  </si>
  <si>
    <t xml:space="preserve">Stock Exchange Building, </t>
  </si>
  <si>
    <t>Financial results for the Quarter ended September 30, 2021</t>
  </si>
  <si>
    <t xml:space="preserve">Dear Sir, </t>
  </si>
  <si>
    <t xml:space="preserve">  Un-Audited</t>
  </si>
  <si>
    <t>Altaf Ahmed Faisal</t>
  </si>
  <si>
    <t>We have to inform you that the Board of Directors of MCB-Arif Habib Savings &amp; Investments Limited, the management company of Pakistan Capital Market  Fund, in their meeting held at Head Office, Karachi, on Friday, October 22, 2021 at 3:00 p.m, approved the financial results of Pakistan Capital Market Fund for the quarter ended September 30, 2021 as follows:</t>
  </si>
  <si>
    <t>Total comprehensive (Loss) / Income for the period</t>
  </si>
  <si>
    <t>There is no change in the status of the appeal filed by the Federal Board of Revenue in the Honorable Supreme Court of Pakistan in respect of levy of Federal Excise Duty as reported in the annual financial statements of the Fund for the period ended June 30, 2021. Had the said provision for FED not been recorded in the condensed interim financial information of the Fund, the net asset value of the Fund as at September 30, 2021 would have been higher by Re.0.16 per unit (June 30, 2021: Re. 0.16 per unit).</t>
  </si>
  <si>
    <t xml:space="preserve">The annualized total expense ratio of the Fund based on the current period results is 5.12% (September 30, 2020: 5.83%) and this includes 0.48% (September 30, 2020: 1.15%) representing government levy, SECP fee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</si>
</sst>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1" formatCode="_(* #,##0_);_(* \(#,##0\);_(* &quot;-&quot;_);_(@_)"/>
    <numFmt numFmtId="43" formatCode="_(* #,##0.00_);_(* \(#,##0.00\);_(* &quot;-&quot;??_);_(@_)"/>
    <numFmt numFmtId="164" formatCode="_-* #,##0.00_-;\-* #,##0.00_-;_-* &quot;-&quot;??_-;_-@_-"/>
    <numFmt numFmtId="165" formatCode="_-* #,##0_-;\-* #,##0_-;_-* &quot;-&quot;??_-;_-@_-"/>
    <numFmt numFmtId="166" formatCode="_(* #,##0_);_(* \(#,##0\);_(* &quot;-&quot;??_);_(@_)"/>
    <numFmt numFmtId="167" formatCode="[$-409]mmm\-yy;@"/>
    <numFmt numFmtId="168" formatCode="_(* #,##0.000_);_(* \(#,##0.000\);_(* &quot;-&quot;??_);_(@_)"/>
    <numFmt numFmtId="169" formatCode="0.0"/>
    <numFmt numFmtId="170" formatCode="&quot;$&quot;\ #,##0.00;&quot;$&quot;\ \-#,##0.00"/>
    <numFmt numFmtId="171" formatCode="#,##0_);\(#,##0\);_(* &quot;-&quot;?_);_(@_)"/>
    <numFmt numFmtId="172" formatCode="_(* #,##0.0000_);_(* \(#,##0.0000\);_(* &quot;-&quot;??_);_(@_)"/>
    <numFmt numFmtId="173" formatCode="_([$€-2]* #,##0.00_);_([$€-2]* \(#,##0.00\);_([$€-2]* &quot;-&quot;??_)"/>
    <numFmt numFmtId="174" formatCode="_(* #,##0_);_(* \(#,##0\);_(* &quot;-&quot;?_);_(@_)"/>
    <numFmt numFmtId="175" formatCode="[$-409]mmmm\ d\,\ yyyy;@"/>
    <numFmt numFmtId="176" formatCode="\ mmmm\ dd\,\ yyyy"/>
    <numFmt numFmtId="177" formatCode="[$-409]d\-mmm\-yy;@"/>
    <numFmt numFmtId="178" formatCode="[$-409]dddd\,\ mmmm\ dd\,\ yyyy"/>
    <numFmt numFmtId="179" formatCode="#,##0_);\(#,##0\);_(* &quot;-&quot;??_);_(@_)"/>
    <numFmt numFmtId="180" formatCode="#,##0.00_);\(#,##0.00\);_(* &quot;-&quot;??_);_(@_)"/>
    <numFmt numFmtId="181" formatCode="#,##0.0000_);\(#,##0.0000\);_(* &quot;-&quot;??_);_(@_)"/>
    <numFmt numFmtId="182" formatCode="_(* #,##0.00_);_(* \(#,##0.00\);_(* \-??_);_(@_)"/>
    <numFmt numFmtId="183" formatCode="_(* #,##0.00000_);_(* \(#,##0.00000\);_(* &quot;-&quot;??_);_(@_)"/>
  </numFmts>
  <fonts count="52">
    <font>
      <sz val="11"/>
      <color theme="1"/>
      <name val="Calibri"/>
      <family val="2"/>
      <scheme val="minor"/>
    </font>
    <font>
      <b/>
      <sz val="11"/>
      <color theme="1"/>
      <name val="Calibri"/>
      <family val="2"/>
      <scheme val="minor"/>
    </font>
    <font>
      <sz val="11"/>
      <name val="Times New Roman"/>
      <family val="1"/>
    </font>
    <font>
      <b/>
      <sz val="10"/>
      <name val="Arial"/>
      <family val="2"/>
    </font>
    <font>
      <i/>
      <sz val="10"/>
      <name val="Arial"/>
      <family val="2"/>
    </font>
    <font>
      <sz val="10"/>
      <name val="Arial"/>
      <family val="2"/>
    </font>
    <font>
      <b/>
      <i/>
      <sz val="10"/>
      <name val="Arial"/>
      <family val="2"/>
    </font>
    <font>
      <sz val="12"/>
      <name val="Times New Roman"/>
      <family val="1"/>
    </font>
    <font>
      <sz val="10"/>
      <color theme="1"/>
      <name val="Arial"/>
      <family val="2"/>
    </font>
    <font>
      <sz val="10"/>
      <color rgb="FFFF0000"/>
      <name val="Arial"/>
      <family val="2"/>
    </font>
    <font>
      <sz val="10"/>
      <color indexed="8"/>
      <name val="Arial"/>
      <family val="2"/>
    </font>
    <font>
      <sz val="10"/>
      <color theme="0"/>
      <name val="Arial"/>
      <family val="2"/>
    </font>
    <font>
      <b/>
      <sz val="10"/>
      <color rgb="FFFF0000"/>
      <name val="Arial"/>
      <family val="2"/>
    </font>
    <font>
      <b/>
      <sz val="10"/>
      <color theme="1"/>
      <name val="Arial"/>
      <family val="2"/>
    </font>
    <font>
      <sz val="10"/>
      <name val="Times New Roman"/>
      <family val="1"/>
    </font>
    <font>
      <sz val="10"/>
      <name val="CG Omega"/>
      <family val="2"/>
    </font>
    <font>
      <b/>
      <sz val="10"/>
      <color theme="0"/>
      <name val="Arial"/>
      <family val="2"/>
    </font>
    <font>
      <sz val="10"/>
      <color indexed="8"/>
      <name val="匠牥晩††††††††††"/>
    </font>
    <font>
      <i/>
      <sz val="10"/>
      <color rgb="FFFF0000"/>
      <name val="Arial"/>
      <family val="2"/>
    </font>
    <font>
      <sz val="11"/>
      <color theme="1"/>
      <name val="Arial"/>
      <family val="2"/>
    </font>
    <font>
      <sz val="11"/>
      <color theme="1"/>
      <name val="Calibri"/>
      <family val="2"/>
      <scheme val="minor"/>
    </font>
    <font>
      <b/>
      <sz val="10"/>
      <name val="Verdana"/>
      <family val="2"/>
    </font>
    <font>
      <sz val="10"/>
      <name val="Verdana"/>
      <family val="2"/>
    </font>
    <font>
      <sz val="10"/>
      <color rgb="FFFFFF00"/>
      <name val="Arial"/>
      <family val="2"/>
    </font>
    <font>
      <sz val="10"/>
      <color theme="1"/>
      <name val="Verdana"/>
      <family val="2"/>
    </font>
    <font>
      <sz val="9"/>
      <color theme="1"/>
      <name val="Verdana"/>
      <family val="2"/>
    </font>
    <font>
      <sz val="11"/>
      <color indexed="8"/>
      <name val="Times New Roman"/>
      <family val="1"/>
    </font>
    <font>
      <b/>
      <sz val="11"/>
      <name val="Times New Roman"/>
      <family val="1"/>
    </font>
    <font>
      <b/>
      <sz val="11"/>
      <color theme="1"/>
      <name val="Times New Roman"/>
      <family val="1"/>
    </font>
    <font>
      <sz val="11"/>
      <color theme="1"/>
      <name val="Times New Roman"/>
      <family val="1"/>
    </font>
    <font>
      <sz val="12"/>
      <name val="Times New Roman"/>
      <family val="1"/>
    </font>
    <font>
      <b/>
      <sz val="11"/>
      <color theme="0"/>
      <name val="Times New Roman"/>
      <family val="1"/>
    </font>
    <font>
      <sz val="11"/>
      <color theme="3"/>
      <name val="Times New Roman"/>
      <family val="1"/>
    </font>
    <font>
      <sz val="9"/>
      <name val="Arial"/>
      <family val="2"/>
    </font>
    <font>
      <b/>
      <u/>
      <sz val="9"/>
      <name val="Arial"/>
      <family val="2"/>
    </font>
    <font>
      <sz val="9"/>
      <color theme="1"/>
      <name val="Arial"/>
      <family val="2"/>
    </font>
    <font>
      <b/>
      <sz val="9"/>
      <color theme="1"/>
      <name val="Arial"/>
      <family val="2"/>
    </font>
    <font>
      <b/>
      <sz val="9"/>
      <name val="Arial"/>
      <family val="2"/>
    </font>
    <font>
      <b/>
      <sz val="9"/>
      <color rgb="FF000000"/>
      <name val="Arial"/>
      <family val="2"/>
    </font>
    <font>
      <sz val="10"/>
      <color rgb="FF000000"/>
      <name val="Arial"/>
      <family val="2"/>
    </font>
    <font>
      <b/>
      <u/>
      <sz val="10"/>
      <color theme="1"/>
      <name val="Arial"/>
      <family val="2"/>
    </font>
    <font>
      <b/>
      <u/>
      <sz val="9"/>
      <color theme="1"/>
      <name val="Arial"/>
      <family val="2"/>
    </font>
    <font>
      <b/>
      <sz val="9"/>
      <color theme="1"/>
      <name val="Times New Roman"/>
      <family val="1"/>
    </font>
    <font>
      <sz val="9"/>
      <color theme="1"/>
      <name val="Times New Roman"/>
      <family val="1"/>
    </font>
    <font>
      <sz val="9"/>
      <name val="Times New Roman"/>
      <family val="1"/>
    </font>
    <font>
      <b/>
      <sz val="9"/>
      <name val="Times New Roman"/>
      <family val="1"/>
    </font>
    <font>
      <b/>
      <sz val="10"/>
      <name val="Times New Roman"/>
      <family val="1"/>
    </font>
    <font>
      <b/>
      <u/>
      <sz val="10"/>
      <color theme="1"/>
      <name val="Times New Roman"/>
      <family val="1"/>
    </font>
    <font>
      <sz val="10"/>
      <color theme="1"/>
      <name val="Times New Roman"/>
      <family val="1"/>
    </font>
    <font>
      <i/>
      <sz val="10"/>
      <name val="Times New Roman"/>
      <family val="1"/>
    </font>
    <font>
      <b/>
      <sz val="10"/>
      <color theme="1"/>
      <name val="Times New Roman"/>
      <family val="1"/>
    </font>
    <font>
      <sz val="8"/>
      <name val="Times New Roman"/>
      <family val="1"/>
    </font>
  </fonts>
  <fills count="8">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0" tint="-0.14999847407452621"/>
        <bgColor indexed="64"/>
      </patternFill>
    </fill>
  </fills>
  <borders count="23">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top/>
      <bottom style="thin">
        <color theme="4" tint="0.39997558519241921"/>
      </bottom>
      <diagonal/>
    </border>
  </borders>
  <cellStyleXfs count="86">
    <xf numFmtId="0" fontId="0" fillId="0" borderId="0"/>
    <xf numFmtId="164" fontId="2" fillId="0" borderId="0" applyFill="0" applyBorder="0" applyAlignment="0">
      <protection locked="0"/>
    </xf>
    <xf numFmtId="0" fontId="5" fillId="0" borderId="0"/>
    <xf numFmtId="0" fontId="2" fillId="0" borderId="0">
      <alignment vertical="top"/>
    </xf>
    <xf numFmtId="0" fontId="7" fillId="0" borderId="0"/>
    <xf numFmtId="0" fontId="7" fillId="0" borderId="0"/>
    <xf numFmtId="43" fontId="5" fillId="0" borderId="0" applyFont="0" applyFill="0" applyBorder="0" applyAlignment="0" applyProtection="0"/>
    <xf numFmtId="0" fontId="7" fillId="0" borderId="0"/>
    <xf numFmtId="0" fontId="5" fillId="0" borderId="0"/>
    <xf numFmtId="43" fontId="7" fillId="0" borderId="0" applyFont="0" applyFill="0" applyBorder="0" applyAlignment="0" applyProtection="0"/>
    <xf numFmtId="0" fontId="7" fillId="0" borderId="0"/>
    <xf numFmtId="0" fontId="7" fillId="0" borderId="0"/>
    <xf numFmtId="0" fontId="5" fillId="0" borderId="0"/>
    <xf numFmtId="0" fontId="7" fillId="0" borderId="0"/>
    <xf numFmtId="0" fontId="14" fillId="0" borderId="0"/>
    <xf numFmtId="170" fontId="5" fillId="0" borderId="0" applyFont="0" applyFill="0" applyBorder="0" applyAlignment="0" applyProtection="0"/>
    <xf numFmtId="9" fontId="5" fillId="0" borderId="0" applyFont="0" applyFill="0" applyBorder="0" applyAlignment="0" applyProtection="0"/>
    <xf numFmtId="0" fontId="7" fillId="0" borderId="0">
      <alignment vertical="top"/>
    </xf>
    <xf numFmtId="43" fontId="7" fillId="0" borderId="0" applyFont="0" applyFill="0" applyBorder="0" applyAlignment="0" applyProtection="0"/>
    <xf numFmtId="0" fontId="7" fillId="0" borderId="0"/>
    <xf numFmtId="0" fontId="7" fillId="0" borderId="0"/>
    <xf numFmtId="164" fontId="15"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2" fillId="0" borderId="0">
      <alignment vertical="top"/>
    </xf>
    <xf numFmtId="0" fontId="2" fillId="0" borderId="0"/>
    <xf numFmtId="0" fontId="17" fillId="0" borderId="0"/>
    <xf numFmtId="0" fontId="7" fillId="0" borderId="0"/>
    <xf numFmtId="43" fontId="7" fillId="0" borderId="0" applyFont="0" applyFill="0" applyBorder="0" applyAlignment="0" applyProtection="0"/>
    <xf numFmtId="9" fontId="20" fillId="0" borderId="0" applyFont="0" applyFill="0" applyBorder="0" applyAlignment="0" applyProtection="0"/>
    <xf numFmtId="0" fontId="7" fillId="0" borderId="0">
      <alignment vertical="top"/>
    </xf>
    <xf numFmtId="43" fontId="20" fillId="0" borderId="0" applyFont="0" applyFill="0" applyBorder="0" applyAlignment="0" applyProtection="0"/>
    <xf numFmtId="173" fontId="5" fillId="0" borderId="0"/>
    <xf numFmtId="178" fontId="7" fillId="0" borderId="0"/>
    <xf numFmtId="43" fontId="5" fillId="0" borderId="0" applyFont="0" applyFill="0" applyBorder="0" applyAlignment="0" applyProtection="0"/>
    <xf numFmtId="164" fontId="2" fillId="0" borderId="0" applyFill="0" applyBorder="0" applyAlignment="0">
      <protection locked="0"/>
    </xf>
    <xf numFmtId="43" fontId="5" fillId="0" borderId="0" applyFont="0" applyFill="0" applyBorder="0" applyAlignment="0" applyProtection="0"/>
    <xf numFmtId="0" fontId="5" fillId="0" borderId="0"/>
    <xf numFmtId="0" fontId="7" fillId="0" borderId="0"/>
    <xf numFmtId="0" fontId="7" fillId="0" borderId="0"/>
    <xf numFmtId="0" fontId="7" fillId="0" borderId="0"/>
    <xf numFmtId="0" fontId="5" fillId="0" borderId="0"/>
    <xf numFmtId="43" fontId="7"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7" fillId="0" borderId="0"/>
    <xf numFmtId="0" fontId="2" fillId="0" borderId="0">
      <protection locked="0"/>
    </xf>
    <xf numFmtId="0" fontId="20" fillId="0" borderId="0"/>
    <xf numFmtId="0" fontId="20" fillId="0" borderId="0"/>
    <xf numFmtId="0" fontId="26" fillId="0" borderId="0">
      <protection locked="0"/>
    </xf>
    <xf numFmtId="0" fontId="20" fillId="0" borderId="0"/>
    <xf numFmtId="0" fontId="10" fillId="0" borderId="0">
      <alignment vertical="top"/>
    </xf>
    <xf numFmtId="0" fontId="10" fillId="0" borderId="0">
      <alignment vertical="top"/>
    </xf>
    <xf numFmtId="0" fontId="7" fillId="0" borderId="0"/>
    <xf numFmtId="0" fontId="30" fillId="0" borderId="0"/>
    <xf numFmtId="179" fontId="7" fillId="0" borderId="0" applyFont="0" applyFill="0" applyBorder="0" applyProtection="0"/>
    <xf numFmtId="43" fontId="7" fillId="0" borderId="0" applyFont="0" applyFill="0" applyBorder="0" applyAlignment="0" applyProtection="0"/>
    <xf numFmtId="0" fontId="7" fillId="0" borderId="0">
      <protection locked="0"/>
    </xf>
    <xf numFmtId="0" fontId="7" fillId="0" borderId="0"/>
    <xf numFmtId="0" fontId="5" fillId="0" borderId="0"/>
    <xf numFmtId="0" fontId="5" fillId="0" borderId="0"/>
    <xf numFmtId="0" fontId="7" fillId="0" borderId="0"/>
    <xf numFmtId="43" fontId="7" fillId="0" borderId="0" applyFont="0" applyFill="0" applyBorder="0" applyAlignment="0" applyProtection="0"/>
    <xf numFmtId="182" fontId="5" fillId="0" borderId="0" applyFill="0" applyBorder="0" applyAlignment="0" applyProtection="0"/>
    <xf numFmtId="43" fontId="7" fillId="0" borderId="0" applyFont="0" applyFill="0" applyBorder="0" applyAlignment="0" applyProtection="0"/>
    <xf numFmtId="0" fontId="7" fillId="0" borderId="0"/>
    <xf numFmtId="0" fontId="20" fillId="0" borderId="0"/>
    <xf numFmtId="0" fontId="7" fillId="0" borderId="0"/>
    <xf numFmtId="0" fontId="10" fillId="0" borderId="0">
      <alignment vertical="top"/>
    </xf>
    <xf numFmtId="164" fontId="5" fillId="0" borderId="0" applyFont="0" applyFill="0" applyBorder="0" applyAlignment="0" applyProtection="0"/>
    <xf numFmtId="0" fontId="5" fillId="0" borderId="0"/>
    <xf numFmtId="0" fontId="5" fillId="0" borderId="0"/>
    <xf numFmtId="0" fontId="2" fillId="0" borderId="0">
      <alignment vertical="top"/>
      <protection locked="0"/>
    </xf>
    <xf numFmtId="164" fontId="20" fillId="0" borderId="0" applyFont="0" applyFill="0" applyBorder="0" applyAlignment="0" applyProtection="0"/>
    <xf numFmtId="0" fontId="7" fillId="0" borderId="0"/>
    <xf numFmtId="43" fontId="7" fillId="0" borderId="0" applyFont="0" applyFill="0" applyBorder="0" applyAlignment="0" applyProtection="0"/>
  </cellStyleXfs>
  <cellXfs count="1453">
    <xf numFmtId="0" fontId="0" fillId="0" borderId="0" xfId="0"/>
    <xf numFmtId="0" fontId="3" fillId="0" borderId="0" xfId="1" applyNumberFormat="1" applyFont="1" applyFill="1" applyAlignment="1">
      <protection locked="0"/>
    </xf>
    <xf numFmtId="0" fontId="4" fillId="0" borderId="0" xfId="1" applyNumberFormat="1" applyFont="1" applyFill="1" applyAlignment="1">
      <protection locked="0"/>
    </xf>
    <xf numFmtId="0" fontId="6" fillId="0" borderId="0" xfId="1" applyNumberFormat="1" applyFont="1" applyFill="1" applyAlignment="1">
      <protection locked="0"/>
    </xf>
    <xf numFmtId="0" fontId="4" fillId="0" borderId="0" xfId="1" applyNumberFormat="1" applyFont="1" applyFill="1" applyAlignment="1">
      <alignment horizontal="center"/>
      <protection locked="0"/>
    </xf>
    <xf numFmtId="49" fontId="3" fillId="0" borderId="0" xfId="3" quotePrefix="1" applyNumberFormat="1" applyFont="1" applyFill="1" applyAlignment="1" applyProtection="1">
      <alignment horizontal="center"/>
    </xf>
    <xf numFmtId="0" fontId="4" fillId="0" borderId="0" xfId="3" applyFont="1" applyFill="1" applyAlignment="1"/>
    <xf numFmtId="0" fontId="3" fillId="0" borderId="0" xfId="3" quotePrefix="1" applyFont="1" applyFill="1" applyAlignment="1" applyProtection="1">
      <alignment horizontal="center"/>
    </xf>
    <xf numFmtId="0" fontId="3" fillId="0" borderId="0" xfId="3" applyFont="1" applyFill="1" applyBorder="1" applyAlignment="1" applyProtection="1">
      <alignment horizontal="center"/>
    </xf>
    <xf numFmtId="0" fontId="3" fillId="0" borderId="0" xfId="4" applyFont="1" applyFill="1" applyAlignment="1">
      <alignment vertical="center"/>
    </xf>
    <xf numFmtId="0" fontId="4" fillId="0" borderId="0" xfId="3" applyFont="1" applyFill="1" applyAlignment="1">
      <alignment vertical="center"/>
    </xf>
    <xf numFmtId="0" fontId="3" fillId="0" borderId="0" xfId="3" applyNumberFormat="1" applyFont="1" applyFill="1" applyAlignment="1">
      <alignment vertical="center"/>
    </xf>
    <xf numFmtId="166" fontId="3" fillId="0" borderId="3" xfId="1" applyNumberFormat="1" applyFont="1" applyFill="1" applyBorder="1" applyAlignment="1">
      <alignment vertical="center"/>
      <protection locked="0"/>
    </xf>
    <xf numFmtId="0" fontId="4" fillId="0" borderId="0" xfId="3" applyFont="1" applyFill="1" applyAlignment="1">
      <alignment horizontal="center" vertical="center"/>
    </xf>
    <xf numFmtId="166" fontId="3" fillId="0" borderId="0" xfId="1" applyNumberFormat="1" applyFont="1" applyFill="1" applyAlignment="1">
      <alignment vertical="center"/>
      <protection locked="0"/>
    </xf>
    <xf numFmtId="0" fontId="4" fillId="0" borderId="0" xfId="3" quotePrefix="1" applyFont="1" applyFill="1" applyAlignment="1">
      <alignment horizontal="center" vertical="center"/>
    </xf>
    <xf numFmtId="166" fontId="3" fillId="0" borderId="7" xfId="1" applyNumberFormat="1" applyFont="1" applyFill="1" applyBorder="1" applyAlignment="1">
      <alignment vertical="center"/>
      <protection locked="0"/>
    </xf>
    <xf numFmtId="0" fontId="4" fillId="0" borderId="0"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horizontal="center" vertical="center" wrapText="1"/>
    </xf>
    <xf numFmtId="166" fontId="3" fillId="0" borderId="1" xfId="1" applyNumberFormat="1" applyFont="1" applyFill="1" applyBorder="1" applyAlignment="1">
      <alignment horizontal="right" vertical="center"/>
      <protection locked="0"/>
    </xf>
    <xf numFmtId="2" fontId="3" fillId="0" borderId="1" xfId="1" applyNumberFormat="1" applyFont="1" applyFill="1" applyBorder="1" applyAlignment="1">
      <alignment horizontal="right" vertical="center"/>
      <protection locked="0"/>
    </xf>
    <xf numFmtId="0" fontId="4" fillId="0" borderId="0" xfId="3" applyFont="1" applyFill="1" applyAlignment="1">
      <alignment horizontal="center"/>
    </xf>
    <xf numFmtId="0" fontId="3" fillId="0" borderId="0" xfId="3" applyFont="1" applyFill="1" applyAlignment="1"/>
    <xf numFmtId="0" fontId="3" fillId="0" borderId="0" xfId="3" applyFont="1" applyFill="1" applyAlignment="1">
      <alignment vertical="center"/>
    </xf>
    <xf numFmtId="0" fontId="6" fillId="0" borderId="0" xfId="3" applyFont="1" applyFill="1" applyAlignment="1">
      <alignment vertical="center"/>
    </xf>
    <xf numFmtId="0" fontId="3" fillId="0" borderId="0" xfId="3" applyFont="1" applyFill="1" applyBorder="1" applyAlignment="1">
      <alignment vertical="center"/>
    </xf>
    <xf numFmtId="0" fontId="3" fillId="0" borderId="0" xfId="3" applyFont="1" applyFill="1" applyBorder="1" applyAlignment="1"/>
    <xf numFmtId="0" fontId="3" fillId="0" borderId="0" xfId="3" applyFont="1" applyFill="1" applyBorder="1" applyAlignment="1">
      <alignment horizontal="center" vertical="top"/>
    </xf>
    <xf numFmtId="0" fontId="6" fillId="0" borderId="0" xfId="3" applyFont="1" applyFill="1" applyBorder="1" applyAlignment="1"/>
    <xf numFmtId="0" fontId="3" fillId="0" borderId="0" xfId="1" applyNumberFormat="1" applyFont="1" applyFill="1" applyAlignment="1">
      <alignment vertical="top"/>
      <protection locked="0"/>
    </xf>
    <xf numFmtId="0" fontId="4" fillId="0" borderId="0" xfId="1" applyNumberFormat="1" applyFont="1" applyFill="1" applyAlignment="1">
      <alignment vertical="top"/>
      <protection locked="0"/>
    </xf>
    <xf numFmtId="166" fontId="3" fillId="0" borderId="0" xfId="1" applyNumberFormat="1" applyFont="1" applyFill="1" applyAlignment="1">
      <alignment vertical="top"/>
      <protection locked="0"/>
    </xf>
    <xf numFmtId="0" fontId="3" fillId="0" borderId="0" xfId="1" applyNumberFormat="1" applyFont="1" applyFill="1" applyAlignment="1">
      <alignment vertical="center"/>
      <protection locked="0"/>
    </xf>
    <xf numFmtId="0" fontId="4" fillId="0" borderId="0" xfId="3" applyFont="1" applyFill="1" applyAlignment="1">
      <alignment vertical="top"/>
    </xf>
    <xf numFmtId="16" fontId="3" fillId="0" borderId="0" xfId="1" quotePrefix="1" applyNumberFormat="1" applyFont="1" applyFill="1" applyBorder="1" applyAlignment="1">
      <alignment horizontal="center" vertical="top"/>
      <protection locked="0"/>
    </xf>
    <xf numFmtId="166" fontId="3" fillId="0" borderId="0" xfId="1" quotePrefix="1" applyNumberFormat="1" applyFont="1" applyFill="1" applyBorder="1" applyAlignment="1">
      <alignment horizontal="center" vertical="top"/>
      <protection locked="0"/>
    </xf>
    <xf numFmtId="0" fontId="3" fillId="0" borderId="0" xfId="1" applyNumberFormat="1" applyFont="1" applyFill="1" applyBorder="1" applyAlignment="1">
      <alignment vertical="top"/>
      <protection locked="0"/>
    </xf>
    <xf numFmtId="167" fontId="3" fillId="0" borderId="0" xfId="3" applyNumberFormat="1" applyFont="1" applyFill="1" applyAlignment="1">
      <alignment vertical="top"/>
    </xf>
    <xf numFmtId="166" fontId="3" fillId="0" borderId="0" xfId="3" applyNumberFormat="1" applyFont="1" applyFill="1" applyAlignment="1">
      <alignment vertical="top"/>
    </xf>
    <xf numFmtId="0" fontId="4" fillId="0" borderId="0" xfId="3" applyFont="1" applyFill="1" applyAlignment="1">
      <alignment horizontal="center" vertical="top"/>
    </xf>
    <xf numFmtId="166" fontId="4" fillId="0" borderId="0" xfId="1" applyNumberFormat="1" applyFont="1" applyFill="1" applyAlignment="1">
      <alignment horizontal="right" vertical="top"/>
      <protection locked="0"/>
    </xf>
    <xf numFmtId="166" fontId="3" fillId="0" borderId="0" xfId="1" applyNumberFormat="1" applyFont="1" applyFill="1" applyAlignment="1">
      <alignment horizontal="right" vertical="top"/>
      <protection locked="0"/>
    </xf>
    <xf numFmtId="166" fontId="3" fillId="0" borderId="0" xfId="1" applyNumberFormat="1" applyFont="1" applyFill="1" applyBorder="1" applyAlignment="1">
      <alignment horizontal="right" vertical="top"/>
      <protection locked="0"/>
    </xf>
    <xf numFmtId="166" fontId="8" fillId="0" borderId="0" xfId="1" quotePrefix="1" applyNumberFormat="1" applyFont="1" applyFill="1" applyAlignment="1">
      <alignment vertical="top"/>
      <protection locked="0"/>
    </xf>
    <xf numFmtId="166" fontId="3" fillId="0" borderId="3" xfId="1" applyNumberFormat="1" applyFont="1" applyFill="1" applyBorder="1" applyAlignment="1">
      <alignment horizontal="right" vertical="top"/>
      <protection locked="0"/>
    </xf>
    <xf numFmtId="166" fontId="4" fillId="0" borderId="0" xfId="1" applyNumberFormat="1" applyFont="1" applyFill="1" applyBorder="1" applyAlignment="1">
      <alignment horizontal="right" vertical="top"/>
      <protection locked="0"/>
    </xf>
    <xf numFmtId="166" fontId="3" fillId="0" borderId="0" xfId="1" applyNumberFormat="1" applyFont="1" applyFill="1" applyBorder="1" applyAlignment="1">
      <alignment vertical="top"/>
      <protection locked="0"/>
    </xf>
    <xf numFmtId="0" fontId="3" fillId="0" borderId="0" xfId="3" applyFont="1" applyFill="1" applyAlignment="1">
      <alignment vertical="top"/>
    </xf>
    <xf numFmtId="166" fontId="4" fillId="0" borderId="0" xfId="3" applyNumberFormat="1" applyFont="1" applyFill="1" applyAlignment="1">
      <alignment vertical="top"/>
    </xf>
    <xf numFmtId="0" fontId="3" fillId="0" borderId="0" xfId="3" applyFont="1" applyFill="1" applyAlignment="1" applyProtection="1">
      <alignment vertical="top"/>
      <protection locked="0"/>
    </xf>
    <xf numFmtId="3" fontId="4" fillId="0" borderId="0" xfId="1" applyNumberFormat="1" applyFont="1" applyFill="1" applyBorder="1" applyAlignment="1">
      <alignment vertical="top"/>
      <protection locked="0"/>
    </xf>
    <xf numFmtId="0" fontId="4" fillId="0" borderId="0" xfId="3" applyFont="1" applyFill="1" applyAlignment="1" applyProtection="1">
      <alignment horizontal="center" vertical="top"/>
      <protection locked="0"/>
    </xf>
    <xf numFmtId="0" fontId="3" fillId="0" borderId="0" xfId="3" applyNumberFormat="1" applyFont="1" applyFill="1" applyAlignment="1" applyProtection="1">
      <alignment vertical="top"/>
      <protection locked="0"/>
    </xf>
    <xf numFmtId="166" fontId="3" fillId="0" borderId="0" xfId="3" applyNumberFormat="1" applyFont="1" applyFill="1" applyBorder="1" applyAlignment="1" applyProtection="1">
      <alignment horizontal="center" vertical="top"/>
      <protection locked="0"/>
    </xf>
    <xf numFmtId="3" fontId="3" fillId="0" borderId="0" xfId="1" applyNumberFormat="1" applyFont="1" applyFill="1" applyAlignment="1">
      <alignment vertical="top"/>
      <protection locked="0"/>
    </xf>
    <xf numFmtId="166" fontId="3" fillId="0" borderId="0" xfId="3" applyNumberFormat="1" applyFont="1" applyFill="1" applyAlignment="1">
      <alignment horizontal="center" vertical="top"/>
    </xf>
    <xf numFmtId="0" fontId="3" fillId="0" borderId="0" xfId="3" applyFont="1" applyFill="1" applyBorder="1" applyAlignment="1">
      <alignment vertical="top"/>
    </xf>
    <xf numFmtId="0" fontId="4" fillId="0" borderId="0" xfId="3" applyFont="1" applyFill="1" applyBorder="1" applyAlignment="1">
      <alignment vertical="top"/>
    </xf>
    <xf numFmtId="0" fontId="3" fillId="0" borderId="0" xfId="7" applyFont="1" applyFill="1" applyAlignment="1"/>
    <xf numFmtId="17" fontId="3" fillId="0" borderId="0" xfId="7" applyNumberFormat="1" applyFont="1" applyFill="1" applyAlignment="1">
      <alignment horizontal="center"/>
    </xf>
    <xf numFmtId="16" fontId="3" fillId="0" borderId="0" xfId="7" quotePrefix="1" applyNumberFormat="1" applyFont="1" applyFill="1" applyAlignment="1">
      <alignment horizontal="center" vertical="center" wrapText="1"/>
    </xf>
    <xf numFmtId="16" fontId="3" fillId="0" borderId="0" xfId="7" quotePrefix="1" applyNumberFormat="1" applyFont="1" applyFill="1" applyAlignment="1">
      <alignment vertical="center"/>
    </xf>
    <xf numFmtId="0" fontId="3" fillId="0" borderId="0" xfId="7" applyFont="1" applyFill="1"/>
    <xf numFmtId="166" fontId="3" fillId="0" borderId="0" xfId="9" applyNumberFormat="1" applyFont="1" applyFill="1"/>
    <xf numFmtId="166" fontId="3" fillId="0" borderId="0" xfId="9" applyNumberFormat="1" applyFont="1" applyFill="1" applyAlignment="1">
      <alignment horizontal="center"/>
    </xf>
    <xf numFmtId="166" fontId="3" fillId="0" borderId="0" xfId="9" applyNumberFormat="1" applyFont="1" applyFill="1" applyBorder="1" applyAlignment="1">
      <alignment horizontal="center"/>
    </xf>
    <xf numFmtId="166" fontId="3" fillId="0" borderId="0" xfId="7" applyNumberFormat="1" applyFont="1" applyFill="1" applyAlignment="1">
      <alignment horizontal="center"/>
    </xf>
    <xf numFmtId="0" fontId="8" fillId="0" borderId="0" xfId="3" quotePrefix="1" applyFont="1" applyFill="1" applyAlignment="1"/>
    <xf numFmtId="166" fontId="9" fillId="0" borderId="0" xfId="8" applyNumberFormat="1" applyFont="1" applyFill="1"/>
    <xf numFmtId="0" fontId="10" fillId="0" borderId="0" xfId="7" applyFont="1" applyFill="1" applyAlignment="1">
      <alignment horizontal="left"/>
    </xf>
    <xf numFmtId="166" fontId="3" fillId="0" borderId="6" xfId="9" applyNumberFormat="1" applyFont="1" applyFill="1" applyBorder="1" applyAlignment="1">
      <alignment horizontal="center"/>
    </xf>
    <xf numFmtId="166" fontId="3" fillId="0" borderId="0" xfId="9" applyNumberFormat="1" applyFont="1" applyFill="1" applyBorder="1" applyAlignment="1"/>
    <xf numFmtId="166" fontId="8" fillId="0" borderId="4" xfId="6" applyNumberFormat="1" applyFont="1" applyFill="1" applyBorder="1"/>
    <xf numFmtId="0" fontId="9" fillId="0" borderId="0" xfId="8" applyFont="1" applyFill="1"/>
    <xf numFmtId="166" fontId="8" fillId="0" borderId="5" xfId="6" applyNumberFormat="1" applyFont="1" applyFill="1" applyBorder="1"/>
    <xf numFmtId="0" fontId="3" fillId="0" borderId="0" xfId="7" applyFont="1" applyFill="1" applyAlignment="1">
      <alignment horizontal="left"/>
    </xf>
    <xf numFmtId="0" fontId="3" fillId="0" borderId="0" xfId="7" applyFont="1" applyFill="1" applyAlignment="1">
      <alignment vertical="center"/>
    </xf>
    <xf numFmtId="166" fontId="9" fillId="0" borderId="0" xfId="8" applyNumberFormat="1" applyFont="1" applyFill="1" applyAlignment="1">
      <alignment vertical="center"/>
    </xf>
    <xf numFmtId="43" fontId="9" fillId="0" borderId="0" xfId="6" applyFont="1" applyFill="1" applyAlignment="1">
      <alignment vertical="center"/>
    </xf>
    <xf numFmtId="166" fontId="11" fillId="0" borderId="0" xfId="9" applyNumberFormat="1" applyFont="1" applyFill="1"/>
    <xf numFmtId="166" fontId="11" fillId="0" borderId="0" xfId="1" applyNumberFormat="1" applyFont="1" applyFill="1" applyProtection="1"/>
    <xf numFmtId="0" fontId="3" fillId="0" borderId="0" xfId="7" applyNumberFormat="1" applyFont="1" applyFill="1" applyAlignment="1">
      <alignment horizontal="center"/>
    </xf>
    <xf numFmtId="0" fontId="3" fillId="0" borderId="0" xfId="3" applyFont="1" applyFill="1" applyBorder="1" applyAlignment="1">
      <alignment horizontal="left" vertical="top"/>
    </xf>
    <xf numFmtId="0" fontId="3" fillId="0" borderId="0" xfId="7" applyNumberFormat="1" applyFont="1" applyFill="1" applyBorder="1" applyAlignment="1">
      <alignment horizontal="center"/>
    </xf>
    <xf numFmtId="166" fontId="12" fillId="0" borderId="0" xfId="8" applyNumberFormat="1" applyFont="1" applyFill="1" applyBorder="1"/>
    <xf numFmtId="0" fontId="12" fillId="0" borderId="0" xfId="8" applyFont="1" applyFill="1"/>
    <xf numFmtId="0" fontId="12" fillId="0" borderId="0" xfId="8" applyFont="1" applyFill="1" applyBorder="1"/>
    <xf numFmtId="166" fontId="12" fillId="0" borderId="0" xfId="8" applyNumberFormat="1" applyFont="1" applyFill="1"/>
    <xf numFmtId="0" fontId="3" fillId="0" borderId="0" xfId="8" applyFont="1" applyFill="1"/>
    <xf numFmtId="0" fontId="5" fillId="0" borderId="0" xfId="8" applyFont="1" applyFill="1"/>
    <xf numFmtId="0" fontId="5" fillId="0" borderId="0" xfId="8" applyFont="1" applyFill="1" applyAlignment="1">
      <alignment vertical="top" wrapText="1"/>
    </xf>
    <xf numFmtId="0" fontId="5" fillId="0" borderId="0" xfId="8" applyFont="1" applyFill="1" applyAlignment="1">
      <alignment horizontal="justify" vertical="top"/>
    </xf>
    <xf numFmtId="0" fontId="5" fillId="0" borderId="0" xfId="8" applyFont="1" applyFill="1" applyAlignment="1">
      <alignment vertical="top"/>
    </xf>
    <xf numFmtId="0" fontId="3" fillId="0" borderId="0" xfId="3" applyFont="1" applyFill="1" applyAlignment="1" applyProtection="1">
      <alignment horizontal="center" vertical="center"/>
    </xf>
    <xf numFmtId="49" fontId="3" fillId="0" borderId="0" xfId="3" quotePrefix="1" applyNumberFormat="1" applyFont="1" applyFill="1" applyAlignment="1" applyProtection="1">
      <alignment horizontal="center" vertical="center"/>
    </xf>
    <xf numFmtId="0" fontId="6" fillId="0" borderId="0" xfId="3" applyFont="1" applyFill="1" applyAlignment="1"/>
    <xf numFmtId="0" fontId="5" fillId="0" borderId="0" xfId="8" applyFont="1" applyFill="1" applyAlignment="1">
      <alignment vertical="center"/>
    </xf>
    <xf numFmtId="166" fontId="3" fillId="0" borderId="0" xfId="3" applyNumberFormat="1" applyFont="1" applyFill="1" applyBorder="1" applyAlignment="1">
      <alignment vertical="center"/>
    </xf>
    <xf numFmtId="0" fontId="3" fillId="0" borderId="8" xfId="8" applyFont="1" applyFill="1" applyBorder="1" applyAlignment="1">
      <alignment vertical="center"/>
    </xf>
    <xf numFmtId="0" fontId="3" fillId="0" borderId="15" xfId="8" applyFont="1" applyFill="1" applyBorder="1" applyAlignment="1">
      <alignment vertical="center"/>
    </xf>
    <xf numFmtId="0" fontId="3" fillId="0" borderId="0" xfId="14" applyFont="1" applyFill="1" applyBorder="1" applyAlignment="1">
      <alignment vertical="center"/>
    </xf>
    <xf numFmtId="169" fontId="3" fillId="0" borderId="0" xfId="17" quotePrefix="1" applyNumberFormat="1" applyFont="1" applyFill="1" applyBorder="1" applyAlignment="1">
      <alignment horizontal="left"/>
    </xf>
    <xf numFmtId="0" fontId="3" fillId="0" borderId="0" xfId="19" applyNumberFormat="1" applyFont="1" applyFill="1" applyBorder="1" applyAlignment="1">
      <alignment vertical="top"/>
    </xf>
    <xf numFmtId="173" fontId="3" fillId="0" borderId="17" xfId="18" applyNumberFormat="1" applyFont="1" applyFill="1" applyBorder="1" applyAlignment="1" applyProtection="1">
      <alignment horizontal="center" vertical="center" wrapText="1"/>
    </xf>
    <xf numFmtId="0" fontId="3" fillId="0" borderId="0" xfId="21" quotePrefix="1" applyNumberFormat="1" applyFont="1" applyFill="1" applyBorder="1" applyAlignment="1">
      <alignment horizontal="center" vertical="center" wrapText="1"/>
    </xf>
    <xf numFmtId="0" fontId="3" fillId="0" borderId="0" xfId="17" applyFont="1" applyFill="1" applyAlignment="1">
      <alignment horizontal="center"/>
    </xf>
    <xf numFmtId="176" fontId="3" fillId="0" borderId="0" xfId="17" applyNumberFormat="1" applyFont="1" applyFill="1" applyAlignment="1">
      <alignment horizontal="left"/>
    </xf>
    <xf numFmtId="41" fontId="3" fillId="0" borderId="0" xfId="21" applyNumberFormat="1" applyFont="1" applyFill="1" applyBorder="1" applyAlignment="1"/>
    <xf numFmtId="175" fontId="3" fillId="0" borderId="0" xfId="17" applyNumberFormat="1" applyFont="1" applyFill="1" applyBorder="1" applyAlignment="1">
      <alignment horizontal="left" vertical="center"/>
    </xf>
    <xf numFmtId="41" fontId="3" fillId="0" borderId="7" xfId="21" applyNumberFormat="1" applyFont="1" applyFill="1" applyBorder="1" applyAlignment="1">
      <alignment vertical="center"/>
    </xf>
    <xf numFmtId="166" fontId="3" fillId="0" borderId="0" xfId="18" applyNumberFormat="1" applyFont="1" applyFill="1" applyBorder="1" applyAlignment="1">
      <alignment horizontal="center" vertical="center"/>
    </xf>
    <xf numFmtId="43" fontId="3" fillId="0" borderId="0" xfId="6" applyFont="1" applyFill="1" applyBorder="1" applyAlignment="1">
      <alignment horizontal="center" vertical="center"/>
    </xf>
    <xf numFmtId="0" fontId="3" fillId="0" borderId="0" xfId="3" applyNumberFormat="1" applyFont="1" applyFill="1" applyAlignment="1">
      <alignment horizontal="center" vertical="top"/>
    </xf>
    <xf numFmtId="0" fontId="3" fillId="0" borderId="0" xfId="3" quotePrefix="1" applyNumberFormat="1" applyFont="1" applyFill="1" applyAlignment="1">
      <alignment horizontal="left" vertical="center"/>
    </xf>
    <xf numFmtId="0" fontId="3" fillId="0" borderId="0" xfId="3" applyNumberFormat="1" applyFont="1" applyFill="1" applyAlignment="1">
      <alignment vertical="top"/>
    </xf>
    <xf numFmtId="41" fontId="3" fillId="0" borderId="0" xfId="3" applyNumberFormat="1" applyFont="1" applyFill="1" applyAlignment="1">
      <alignment vertical="center"/>
    </xf>
    <xf numFmtId="41" fontId="3" fillId="0" borderId="7" xfId="3" applyNumberFormat="1" applyFont="1" applyFill="1" applyBorder="1" applyAlignment="1">
      <alignment vertical="center"/>
    </xf>
    <xf numFmtId="0" fontId="3" fillId="0" borderId="0" xfId="7" quotePrefix="1" applyNumberFormat="1" applyFont="1" applyFill="1" applyAlignment="1">
      <alignment horizontal="left" vertical="center"/>
    </xf>
    <xf numFmtId="0" fontId="3" fillId="0" borderId="0" xfId="3" applyNumberFormat="1" applyFont="1" applyFill="1" applyAlignment="1"/>
    <xf numFmtId="166" fontId="3" fillId="0" borderId="0" xfId="22" applyNumberFormat="1" applyFont="1" applyFill="1" applyBorder="1" applyAlignment="1">
      <alignment horizontal="center"/>
    </xf>
    <xf numFmtId="166" fontId="3" fillId="0" borderId="0" xfId="6" applyNumberFormat="1" applyFont="1" applyFill="1" applyAlignment="1">
      <alignment vertical="center"/>
    </xf>
    <xf numFmtId="37" fontId="5" fillId="0" borderId="0" xfId="8" applyNumberFormat="1" applyFont="1" applyFill="1"/>
    <xf numFmtId="0" fontId="16" fillId="3" borderId="0" xfId="8" applyFont="1" applyFill="1" applyBorder="1" applyAlignment="1">
      <alignment horizontal="center" vertical="center"/>
    </xf>
    <xf numFmtId="0" fontId="3" fillId="0" borderId="0" xfId="8" applyFont="1" applyBorder="1"/>
    <xf numFmtId="0" fontId="5" fillId="0" borderId="0" xfId="8" applyFont="1" applyBorder="1"/>
    <xf numFmtId="0" fontId="3" fillId="0" borderId="0" xfId="8" applyFont="1" applyFill="1" applyBorder="1"/>
    <xf numFmtId="166" fontId="3" fillId="0" borderId="18" xfId="6" applyNumberFormat="1" applyFont="1" applyFill="1" applyBorder="1" applyAlignment="1">
      <alignment horizontal="left" indent="2"/>
    </xf>
    <xf numFmtId="166" fontId="3" fillId="0" borderId="18" xfId="6" applyNumberFormat="1" applyFont="1" applyFill="1" applyBorder="1"/>
    <xf numFmtId="37" fontId="3" fillId="0" borderId="0" xfId="3" applyNumberFormat="1" applyFont="1" applyFill="1" applyBorder="1" applyAlignment="1"/>
    <xf numFmtId="43" fontId="5" fillId="0" borderId="0" xfId="8" applyNumberFormat="1" applyFont="1" applyFill="1" applyAlignment="1">
      <alignment horizontal="left" vertical="top" wrapText="1"/>
    </xf>
    <xf numFmtId="16" fontId="3" fillId="0" borderId="0" xfId="3" applyNumberFormat="1" applyFont="1" applyFill="1" applyAlignment="1" applyProtection="1">
      <alignment horizontal="left" vertical="top" wrapText="1"/>
      <protection locked="0"/>
    </xf>
    <xf numFmtId="0" fontId="3" fillId="0" borderId="8" xfId="3" applyNumberFormat="1" applyFont="1" applyFill="1" applyBorder="1" applyAlignment="1" applyProtection="1">
      <alignment horizontal="left" vertical="top" wrapText="1"/>
      <protection locked="0"/>
    </xf>
    <xf numFmtId="0" fontId="5" fillId="0" borderId="9" xfId="3" applyNumberFormat="1" applyFont="1" applyFill="1" applyBorder="1" applyAlignment="1" applyProtection="1">
      <alignment horizontal="left" vertical="top" wrapText="1"/>
      <protection locked="0"/>
    </xf>
    <xf numFmtId="0" fontId="5" fillId="0" borderId="0" xfId="8" applyFont="1" applyFill="1" applyAlignment="1">
      <alignment vertical="center" wrapText="1"/>
    </xf>
    <xf numFmtId="0" fontId="3" fillId="0" borderId="0" xfId="8" applyFont="1" applyFill="1" applyAlignment="1">
      <alignment horizontal="left" vertical="center" wrapText="1"/>
    </xf>
    <xf numFmtId="0" fontId="3" fillId="0" borderId="0" xfId="3" quotePrefix="1" applyNumberFormat="1" applyFont="1" applyFill="1" applyAlignment="1">
      <alignment vertical="center"/>
    </xf>
    <xf numFmtId="0" fontId="3" fillId="0" borderId="0" xfId="3" quotePrefix="1" applyFont="1" applyFill="1" applyAlignment="1">
      <alignment horizontal="left"/>
    </xf>
    <xf numFmtId="0" fontId="3" fillId="0" borderId="0" xfId="3" quotePrefix="1" applyFont="1" applyFill="1" applyAlignment="1">
      <alignment wrapText="1"/>
    </xf>
    <xf numFmtId="166" fontId="3" fillId="0" borderId="0" xfId="1" applyNumberFormat="1" applyFont="1" applyFill="1" applyBorder="1">
      <protection locked="0"/>
    </xf>
    <xf numFmtId="49" fontId="3" fillId="0" borderId="0" xfId="3" quotePrefix="1" applyNumberFormat="1" applyFont="1" applyFill="1" applyBorder="1" applyAlignment="1" applyProtection="1">
      <alignment horizontal="center"/>
    </xf>
    <xf numFmtId="0" fontId="3" fillId="0" borderId="0" xfId="3" applyNumberFormat="1" applyFont="1" applyFill="1" applyBorder="1" applyAlignment="1">
      <alignment vertical="top"/>
    </xf>
    <xf numFmtId="0" fontId="3" fillId="0" borderId="0" xfId="3" quotePrefix="1" applyFont="1" applyFill="1" applyBorder="1" applyAlignment="1">
      <alignment horizontal="left"/>
    </xf>
    <xf numFmtId="165" fontId="3" fillId="0" borderId="0" xfId="1" applyNumberFormat="1" applyFont="1" applyFill="1" applyBorder="1" applyAlignment="1">
      <alignment horizontal="center" vertical="center" wrapText="1"/>
      <protection locked="0"/>
    </xf>
    <xf numFmtId="0" fontId="6" fillId="0" borderId="0" xfId="3" applyFont="1" applyFill="1" applyBorder="1" applyAlignment="1">
      <alignment vertical="center"/>
    </xf>
    <xf numFmtId="41" fontId="3" fillId="0" borderId="0" xfId="1" applyNumberFormat="1" applyFont="1" applyFill="1" applyBorder="1">
      <protection locked="0"/>
    </xf>
    <xf numFmtId="41" fontId="3" fillId="0" borderId="0" xfId="3" applyNumberFormat="1" applyFont="1" applyFill="1" applyBorder="1" applyAlignment="1">
      <alignment vertical="top" wrapText="1"/>
    </xf>
    <xf numFmtId="41" fontId="3" fillId="0" borderId="0" xfId="1" applyNumberFormat="1" applyFont="1" applyFill="1" applyBorder="1" applyAlignment="1">
      <protection locked="0"/>
    </xf>
    <xf numFmtId="166" fontId="3" fillId="0" borderId="0" xfId="3" applyNumberFormat="1" applyFont="1" applyFill="1" applyBorder="1" applyAlignment="1"/>
    <xf numFmtId="166" fontId="3" fillId="0" borderId="0" xfId="1" applyNumberFormat="1" applyFont="1" applyFill="1" applyBorder="1" applyAlignment="1">
      <alignment horizontal="centerContinuous"/>
      <protection locked="0"/>
    </xf>
    <xf numFmtId="0" fontId="3" fillId="0" borderId="0" xfId="3" applyFont="1" applyFill="1" applyBorder="1" applyAlignment="1" applyProtection="1">
      <alignment horizontal="centerContinuous"/>
    </xf>
    <xf numFmtId="0" fontId="3" fillId="0" borderId="0" xfId="5" applyFont="1" applyFill="1" applyAlignment="1">
      <alignment vertical="top"/>
    </xf>
    <xf numFmtId="0" fontId="3" fillId="0" borderId="0" xfId="28" applyFont="1" applyFill="1"/>
    <xf numFmtId="0" fontId="3" fillId="0" borderId="0" xfId="28" applyFont="1" applyFill="1" applyAlignment="1">
      <alignment horizontal="center"/>
    </xf>
    <xf numFmtId="166" fontId="3" fillId="0" borderId="3" xfId="1" quotePrefix="1" applyNumberFormat="1" applyFont="1" applyFill="1" applyBorder="1" applyAlignment="1">
      <alignment horizontal="center" vertical="center"/>
      <protection locked="0"/>
    </xf>
    <xf numFmtId="0" fontId="3" fillId="0" borderId="3" xfId="1" applyNumberFormat="1" applyFont="1" applyFill="1" applyBorder="1" applyAlignment="1">
      <protection locked="0"/>
    </xf>
    <xf numFmtId="0" fontId="3" fillId="0" borderId="0" xfId="1" applyNumberFormat="1" applyFont="1" applyFill="1" applyBorder="1" applyAlignment="1">
      <alignment horizontal="center" vertical="center" wrapText="1"/>
      <protection locked="0"/>
    </xf>
    <xf numFmtId="0" fontId="3" fillId="0" borderId="0" xfId="28" applyFont="1" applyFill="1" applyAlignment="1">
      <alignment horizontal="center" vertical="center"/>
    </xf>
    <xf numFmtId="41" fontId="3" fillId="0" borderId="0" xfId="28" applyNumberFormat="1" applyFont="1" applyFill="1" applyAlignment="1">
      <alignment horizontal="center" vertical="center"/>
    </xf>
    <xf numFmtId="41" fontId="3" fillId="0" borderId="0" xfId="29" applyNumberFormat="1" applyFont="1" applyFill="1" applyBorder="1"/>
    <xf numFmtId="0" fontId="6" fillId="0" borderId="0" xfId="28" applyFont="1" applyFill="1"/>
    <xf numFmtId="41" fontId="4" fillId="0" borderId="0" xfId="3" applyNumberFormat="1" applyFont="1" applyFill="1" applyAlignment="1"/>
    <xf numFmtId="41" fontId="3" fillId="0" borderId="3" xfId="29" applyNumberFormat="1" applyFont="1" applyFill="1" applyBorder="1"/>
    <xf numFmtId="41" fontId="5" fillId="0" borderId="3" xfId="29" applyNumberFormat="1" applyFont="1" applyFill="1" applyBorder="1"/>
    <xf numFmtId="0" fontId="3" fillId="0" borderId="0" xfId="28" applyFont="1" applyFill="1" applyAlignment="1">
      <alignment horizontal="left"/>
    </xf>
    <xf numFmtId="41" fontId="3" fillId="0" borderId="4" xfId="29" applyNumberFormat="1" applyFont="1" applyFill="1" applyBorder="1"/>
    <xf numFmtId="41" fontId="3" fillId="0" borderId="4" xfId="29" applyNumberFormat="1" applyFont="1" applyFill="1" applyBorder="1" applyAlignment="1">
      <alignment horizontal="center"/>
    </xf>
    <xf numFmtId="41" fontId="3" fillId="0" borderId="5" xfId="29" applyNumberFormat="1" applyFont="1" applyFill="1" applyBorder="1" applyAlignment="1">
      <alignment horizontal="center"/>
    </xf>
    <xf numFmtId="41" fontId="3" fillId="0" borderId="5" xfId="29" applyNumberFormat="1" applyFont="1" applyFill="1" applyBorder="1"/>
    <xf numFmtId="41" fontId="3" fillId="0" borderId="6" xfId="29" applyNumberFormat="1" applyFont="1" applyFill="1" applyBorder="1"/>
    <xf numFmtId="166" fontId="4" fillId="0" borderId="0" xfId="3" applyNumberFormat="1" applyFont="1" applyFill="1" applyAlignment="1"/>
    <xf numFmtId="0" fontId="4" fillId="0" borderId="0" xfId="3" applyFont="1" applyFill="1" applyBorder="1" applyAlignment="1"/>
    <xf numFmtId="41" fontId="3" fillId="0" borderId="3" xfId="28" applyNumberFormat="1" applyFont="1" applyFill="1" applyBorder="1"/>
    <xf numFmtId="41" fontId="3" fillId="0" borderId="0" xfId="28" applyNumberFormat="1" applyFont="1" applyFill="1" applyBorder="1"/>
    <xf numFmtId="0" fontId="3" fillId="0" borderId="0" xfId="3" applyFont="1" applyFill="1" applyAlignment="1">
      <alignment horizontal="left" indent="1"/>
    </xf>
    <xf numFmtId="41" fontId="3" fillId="0" borderId="0" xfId="28" applyNumberFormat="1" applyFont="1" applyFill="1"/>
    <xf numFmtId="41" fontId="3" fillId="0" borderId="7" xfId="28" applyNumberFormat="1" applyFont="1" applyFill="1" applyBorder="1" applyAlignment="1">
      <alignment vertical="center"/>
    </xf>
    <xf numFmtId="41" fontId="18" fillId="0" borderId="0" xfId="3" applyNumberFormat="1" applyFont="1" applyFill="1" applyAlignment="1">
      <alignment vertical="center"/>
    </xf>
    <xf numFmtId="41" fontId="4" fillId="0" borderId="0" xfId="3" applyNumberFormat="1" applyFont="1" applyFill="1" applyAlignment="1">
      <alignment vertical="center"/>
    </xf>
    <xf numFmtId="166" fontId="9" fillId="0" borderId="0" xfId="28" applyNumberFormat="1" applyFont="1" applyFill="1" applyBorder="1"/>
    <xf numFmtId="166" fontId="3" fillId="0" borderId="0" xfId="28" applyNumberFormat="1" applyFont="1" applyFill="1" applyBorder="1"/>
    <xf numFmtId="166" fontId="3" fillId="0" borderId="0" xfId="3" applyNumberFormat="1" applyFont="1" applyFill="1" applyAlignment="1">
      <alignment horizontal="center"/>
    </xf>
    <xf numFmtId="166" fontId="3" fillId="0" borderId="0" xfId="3" applyNumberFormat="1" applyFont="1" applyFill="1" applyAlignment="1">
      <alignment vertical="center"/>
    </xf>
    <xf numFmtId="166" fontId="3" fillId="0" borderId="0" xfId="6" applyNumberFormat="1" applyFont="1" applyFill="1" applyAlignment="1"/>
    <xf numFmtId="166" fontId="12" fillId="0" borderId="0" xfId="6" applyNumberFormat="1" applyFont="1" applyFill="1" applyAlignment="1"/>
    <xf numFmtId="166" fontId="3" fillId="4" borderId="0" xfId="6" applyNumberFormat="1" applyFont="1" applyFill="1" applyAlignment="1">
      <alignment vertical="center"/>
    </xf>
    <xf numFmtId="37" fontId="3" fillId="4" borderId="7" xfId="3" applyNumberFormat="1" applyFont="1" applyFill="1" applyBorder="1" applyAlignment="1">
      <alignment vertical="center"/>
    </xf>
    <xf numFmtId="0" fontId="3" fillId="0" borderId="0" xfId="3" applyFont="1" applyFill="1" applyBorder="1" applyAlignment="1">
      <alignment horizontal="center"/>
    </xf>
    <xf numFmtId="0" fontId="3" fillId="0" borderId="0" xfId="3" applyFont="1" applyFill="1" applyAlignment="1">
      <alignment horizontal="center"/>
    </xf>
    <xf numFmtId="0" fontId="5" fillId="0" borderId="0" xfId="8" applyFont="1" applyFill="1" applyAlignment="1">
      <alignment horizontal="justify" vertical="top" wrapText="1"/>
    </xf>
    <xf numFmtId="0" fontId="3" fillId="0" borderId="0" xfId="3" applyFont="1" applyFill="1" applyBorder="1" applyAlignment="1">
      <alignment horizontal="center" vertical="center"/>
    </xf>
    <xf numFmtId="0" fontId="19" fillId="0" borderId="0" xfId="3" applyNumberFormat="1" applyFont="1" applyFill="1" applyAlignment="1">
      <alignment vertical="center"/>
    </xf>
    <xf numFmtId="0" fontId="19" fillId="0" borderId="0" xfId="3" applyFont="1" applyFill="1" applyAlignment="1">
      <alignment vertical="center"/>
    </xf>
    <xf numFmtId="0" fontId="8" fillId="0" borderId="0" xfId="1" applyNumberFormat="1" applyFont="1" applyFill="1" applyAlignment="1">
      <protection locked="0"/>
    </xf>
    <xf numFmtId="0" fontId="8" fillId="0" borderId="0" xfId="1" applyNumberFormat="1" applyFont="1" applyFill="1" applyBorder="1" applyAlignment="1">
      <protection locked="0"/>
    </xf>
    <xf numFmtId="0" fontId="8" fillId="0" borderId="0" xfId="3" applyFont="1" applyFill="1" applyBorder="1" applyAlignment="1" applyProtection="1"/>
    <xf numFmtId="0" fontId="8" fillId="0" borderId="0" xfId="1" applyNumberFormat="1" applyFont="1" applyFill="1" applyAlignment="1">
      <alignment horizontal="center"/>
      <protection locked="0"/>
    </xf>
    <xf numFmtId="0" fontId="8" fillId="0" borderId="0" xfId="1" applyNumberFormat="1" applyFont="1" applyFill="1" applyBorder="1" applyAlignment="1">
      <alignment horizontal="center"/>
      <protection locked="0"/>
    </xf>
    <xf numFmtId="49" fontId="8" fillId="0" borderId="0" xfId="3" quotePrefix="1" applyNumberFormat="1" applyFont="1" applyFill="1" applyAlignment="1" applyProtection="1">
      <alignment horizontal="center"/>
    </xf>
    <xf numFmtId="0" fontId="8" fillId="0" borderId="0" xfId="3" quotePrefix="1" applyFont="1" applyFill="1" applyAlignment="1" applyProtection="1">
      <alignment horizontal="center"/>
    </xf>
    <xf numFmtId="0" fontId="8" fillId="0" borderId="0" xfId="3" applyNumberFormat="1" applyFont="1" applyFill="1" applyAlignment="1"/>
    <xf numFmtId="0" fontId="8" fillId="0" borderId="0" xfId="3" applyNumberFormat="1" applyFont="1" applyFill="1" applyAlignment="1">
      <alignment vertical="center"/>
    </xf>
    <xf numFmtId="0" fontId="8" fillId="0" borderId="0" xfId="3" applyFont="1" applyFill="1" applyAlignment="1">
      <alignment horizontal="center" vertical="center"/>
    </xf>
    <xf numFmtId="0" fontId="8" fillId="0" borderId="0" xfId="3" applyFont="1" applyFill="1" applyBorder="1" applyAlignment="1">
      <alignment vertical="center"/>
    </xf>
    <xf numFmtId="0" fontId="8" fillId="0" borderId="0" xfId="3" applyFont="1" applyFill="1" applyAlignment="1">
      <alignment vertical="center"/>
    </xf>
    <xf numFmtId="0" fontId="8" fillId="4" borderId="0" xfId="3" applyFont="1" applyFill="1" applyAlignment="1">
      <alignment vertical="center"/>
    </xf>
    <xf numFmtId="0" fontId="8" fillId="0" borderId="0" xfId="3" quotePrefix="1" applyFont="1" applyFill="1" applyAlignment="1">
      <alignment horizontal="center" vertical="center"/>
    </xf>
    <xf numFmtId="0" fontId="8" fillId="0" borderId="0" xfId="3" applyFont="1" applyFill="1" applyAlignment="1"/>
    <xf numFmtId="166" fontId="8" fillId="0" borderId="0" xfId="1" applyNumberFormat="1" applyFont="1" applyFill="1" applyBorder="1" applyAlignment="1">
      <alignment vertical="center"/>
      <protection locked="0"/>
    </xf>
    <xf numFmtId="166" fontId="8" fillId="0" borderId="0" xfId="1" applyNumberFormat="1" applyFont="1" applyFill="1" applyAlignment="1">
      <alignment vertical="center"/>
      <protection locked="0"/>
    </xf>
    <xf numFmtId="166" fontId="8" fillId="0" borderId="0" xfId="3" applyNumberFormat="1" applyFont="1" applyFill="1" applyAlignment="1">
      <alignment vertical="center"/>
    </xf>
    <xf numFmtId="166" fontId="8" fillId="0" borderId="7" xfId="1" applyNumberFormat="1" applyFont="1" applyFill="1" applyBorder="1" applyAlignment="1">
      <alignment vertical="center"/>
      <protection locked="0"/>
    </xf>
    <xf numFmtId="166" fontId="8" fillId="0" borderId="3" xfId="1" applyNumberFormat="1" applyFont="1" applyFill="1" applyBorder="1" applyAlignment="1">
      <alignment vertical="center"/>
      <protection locked="0"/>
    </xf>
    <xf numFmtId="166" fontId="8" fillId="0" borderId="1" xfId="1" applyNumberFormat="1" applyFont="1" applyFill="1" applyBorder="1" applyAlignment="1">
      <alignment vertical="center"/>
      <protection locked="0"/>
    </xf>
    <xf numFmtId="166" fontId="8" fillId="0" borderId="0" xfId="3" applyNumberFormat="1" applyFont="1" applyFill="1" applyBorder="1" applyAlignment="1">
      <alignment horizontal="right" vertical="center"/>
    </xf>
    <xf numFmtId="0" fontId="8" fillId="0" borderId="0" xfId="3" applyNumberFormat="1" applyFont="1" applyFill="1" applyAlignment="1">
      <alignment horizontal="left" vertical="center"/>
    </xf>
    <xf numFmtId="43" fontId="8" fillId="0" borderId="0" xfId="3" applyNumberFormat="1" applyFont="1" applyFill="1" applyBorder="1" applyAlignment="1">
      <alignment horizontal="right" vertical="center"/>
    </xf>
    <xf numFmtId="43" fontId="8" fillId="0" borderId="1" xfId="1" applyNumberFormat="1" applyFont="1" applyFill="1" applyBorder="1" applyAlignment="1">
      <alignment horizontal="right" vertical="center"/>
      <protection locked="0"/>
    </xf>
    <xf numFmtId="0" fontId="8" fillId="0" borderId="0" xfId="3" applyNumberFormat="1" applyFont="1" applyFill="1" applyAlignment="1">
      <alignment vertical="top"/>
    </xf>
    <xf numFmtId="166" fontId="8" fillId="0" borderId="0" xfId="1" applyNumberFormat="1" applyFont="1" applyFill="1" applyBorder="1">
      <protection locked="0"/>
    </xf>
    <xf numFmtId="0" fontId="8" fillId="0" borderId="0" xfId="3" applyFont="1" applyFill="1" applyBorder="1" applyAlignment="1"/>
    <xf numFmtId="166" fontId="8" fillId="0" borderId="0" xfId="1" applyNumberFormat="1" applyFont="1" applyFill="1">
      <protection locked="0"/>
    </xf>
    <xf numFmtId="0" fontId="8" fillId="0" borderId="0" xfId="3" applyNumberFormat="1" applyFont="1" applyFill="1" applyBorder="1" applyAlignment="1"/>
    <xf numFmtId="166" fontId="8" fillId="0" borderId="0" xfId="3" applyNumberFormat="1" applyFont="1" applyFill="1" applyAlignment="1"/>
    <xf numFmtId="0" fontId="8" fillId="0" borderId="0" xfId="5" applyFont="1" applyFill="1" applyAlignment="1">
      <alignment vertical="top"/>
    </xf>
    <xf numFmtId="0" fontId="8" fillId="0" borderId="0" xfId="28" applyFont="1" applyFill="1"/>
    <xf numFmtId="0" fontId="8" fillId="0" borderId="0" xfId="28" applyFont="1" applyFill="1" applyAlignment="1">
      <alignment horizontal="center"/>
    </xf>
    <xf numFmtId="166" fontId="8" fillId="0" borderId="3" xfId="1" quotePrefix="1" applyNumberFormat="1" applyFont="1" applyFill="1" applyBorder="1" applyAlignment="1">
      <alignment horizontal="center" vertical="center"/>
      <protection locked="0"/>
    </xf>
    <xf numFmtId="166" fontId="8" fillId="0" borderId="0" xfId="1" quotePrefix="1" applyNumberFormat="1" applyFont="1" applyFill="1" applyBorder="1" applyAlignment="1">
      <alignment horizontal="center" vertical="center"/>
      <protection locked="0"/>
    </xf>
    <xf numFmtId="0" fontId="8" fillId="0" borderId="0" xfId="28" applyFont="1" applyFill="1" applyAlignment="1">
      <alignment horizontal="center" vertical="center"/>
    </xf>
    <xf numFmtId="3" fontId="8" fillId="0" borderId="0" xfId="28" applyNumberFormat="1" applyFont="1" applyFill="1"/>
    <xf numFmtId="41" fontId="8" fillId="0" borderId="0" xfId="28" applyNumberFormat="1" applyFont="1" applyFill="1" applyBorder="1"/>
    <xf numFmtId="41" fontId="8" fillId="0" borderId="0" xfId="29" applyNumberFormat="1" applyFont="1" applyFill="1" applyBorder="1"/>
    <xf numFmtId="0" fontId="8" fillId="0" borderId="0" xfId="7" applyFont="1" applyFill="1" applyAlignment="1">
      <alignment horizontal="left"/>
    </xf>
    <xf numFmtId="0" fontId="8" fillId="0" borderId="0" xfId="7" applyFont="1" applyFill="1" applyAlignment="1">
      <alignment horizontal="left" indent="1"/>
    </xf>
    <xf numFmtId="41" fontId="8" fillId="0" borderId="4" xfId="29" applyNumberFormat="1" applyFont="1" applyFill="1" applyBorder="1"/>
    <xf numFmtId="41" fontId="8" fillId="0" borderId="5" xfId="29" applyNumberFormat="1" applyFont="1" applyFill="1" applyBorder="1"/>
    <xf numFmtId="0" fontId="8" fillId="0" borderId="0" xfId="3" applyFont="1" applyFill="1" applyAlignment="1">
      <alignment horizontal="left" indent="1"/>
    </xf>
    <xf numFmtId="41" fontId="8" fillId="0" borderId="6" xfId="29" applyNumberFormat="1" applyFont="1" applyFill="1" applyBorder="1"/>
    <xf numFmtId="41" fontId="8" fillId="0" borderId="3" xfId="29" applyNumberFormat="1" applyFont="1" applyFill="1" applyBorder="1"/>
    <xf numFmtId="0" fontId="8" fillId="0" borderId="0" xfId="28" applyFont="1" applyFill="1" applyAlignment="1">
      <alignment horizontal="left"/>
    </xf>
    <xf numFmtId="41" fontId="8" fillId="0" borderId="0" xfId="28" applyNumberFormat="1" applyFont="1" applyFill="1" applyBorder="1" applyAlignment="1">
      <alignment horizontal="center"/>
    </xf>
    <xf numFmtId="41" fontId="8" fillId="0" borderId="5" xfId="29" applyNumberFormat="1" applyFont="1" applyFill="1" applyBorder="1" applyAlignment="1">
      <alignment horizontal="center"/>
    </xf>
    <xf numFmtId="41" fontId="8" fillId="0" borderId="0" xfId="29" applyNumberFormat="1" applyFont="1" applyFill="1" applyBorder="1" applyAlignment="1">
      <alignment horizontal="center"/>
    </xf>
    <xf numFmtId="0" fontId="8" fillId="0" borderId="0" xfId="28" applyFont="1" applyFill="1" applyAlignment="1">
      <alignment horizontal="left" vertical="center"/>
    </xf>
    <xf numFmtId="0" fontId="8" fillId="0" borderId="5" xfId="3" applyFont="1" applyFill="1" applyBorder="1" applyAlignment="1"/>
    <xf numFmtId="166" fontId="8" fillId="0" borderId="5" xfId="6" applyNumberFormat="1" applyFont="1" applyFill="1" applyBorder="1" applyAlignment="1"/>
    <xf numFmtId="0" fontId="8" fillId="0" borderId="0" xfId="28" applyFont="1" applyFill="1" applyAlignment="1">
      <alignment vertical="center"/>
    </xf>
    <xf numFmtId="166" fontId="8" fillId="0" borderId="6" xfId="6" applyNumberFormat="1" applyFont="1" applyFill="1" applyBorder="1"/>
    <xf numFmtId="166" fontId="8" fillId="0" borderId="0" xfId="28" applyNumberFormat="1" applyFont="1" applyFill="1"/>
    <xf numFmtId="41" fontId="8" fillId="0" borderId="3" xfId="28" applyNumberFormat="1" applyFont="1" applyFill="1" applyBorder="1"/>
    <xf numFmtId="41" fontId="8" fillId="0" borderId="0" xfId="28" applyNumberFormat="1" applyFont="1" applyFill="1"/>
    <xf numFmtId="41" fontId="8" fillId="0" borderId="0" xfId="28" applyNumberFormat="1" applyFont="1" applyFill="1" applyAlignment="1">
      <alignment vertical="center"/>
    </xf>
    <xf numFmtId="41" fontId="8" fillId="0" borderId="7" xfId="28" applyNumberFormat="1" applyFont="1" applyFill="1" applyBorder="1" applyAlignment="1">
      <alignment vertical="center"/>
    </xf>
    <xf numFmtId="41" fontId="8" fillId="0" borderId="0" xfId="28" applyNumberFormat="1" applyFont="1" applyFill="1" applyBorder="1" applyAlignment="1">
      <alignment vertical="center"/>
    </xf>
    <xf numFmtId="166" fontId="8" fillId="0" borderId="0" xfId="28" applyNumberFormat="1" applyFont="1" applyFill="1" applyBorder="1"/>
    <xf numFmtId="0" fontId="8" fillId="0" borderId="0" xfId="28" applyFont="1" applyFill="1" applyBorder="1"/>
    <xf numFmtId="0" fontId="8" fillId="0" borderId="0" xfId="3" applyFont="1" applyFill="1" applyAlignment="1">
      <alignment horizontal="center"/>
    </xf>
    <xf numFmtId="166" fontId="8" fillId="0" borderId="0" xfId="3" applyNumberFormat="1" applyFont="1" applyFill="1" applyAlignment="1">
      <alignment horizontal="center"/>
    </xf>
    <xf numFmtId="49" fontId="3" fillId="0" borderId="0" xfId="3" applyNumberFormat="1" applyFont="1" applyFill="1" applyAlignment="1">
      <alignment vertical="center"/>
    </xf>
    <xf numFmtId="0" fontId="3" fillId="0" borderId="0" xfId="3" quotePrefix="1" applyFont="1" applyFill="1" applyAlignment="1">
      <alignment horizontal="left" vertical="center"/>
    </xf>
    <xf numFmtId="0" fontId="3" fillId="0" borderId="0" xfId="8" applyFont="1" applyFill="1" applyAlignment="1">
      <alignment horizontal="center"/>
    </xf>
    <xf numFmtId="0" fontId="19" fillId="0" borderId="0" xfId="3" applyFont="1" applyFill="1" applyAlignment="1">
      <alignment horizontal="left" vertical="center"/>
    </xf>
    <xf numFmtId="0" fontId="3" fillId="0" borderId="0" xfId="7" quotePrefix="1" applyNumberFormat="1" applyFont="1" applyFill="1" applyAlignment="1">
      <alignment horizontal="left" vertical="top"/>
    </xf>
    <xf numFmtId="0" fontId="8" fillId="0" borderId="0" xfId="3" applyFont="1" applyFill="1" applyAlignment="1">
      <alignment horizontal="left" vertical="center"/>
    </xf>
    <xf numFmtId="0" fontId="8" fillId="0" borderId="0" xfId="7" applyFont="1" applyFill="1" applyAlignment="1">
      <alignment horizontal="justify" vertical="top" wrapText="1"/>
    </xf>
    <xf numFmtId="0" fontId="8" fillId="0" borderId="0" xfId="12" applyFont="1" applyFill="1" applyAlignment="1">
      <alignment vertical="center"/>
    </xf>
    <xf numFmtId="0" fontId="5" fillId="0" borderId="0" xfId="8" applyFont="1" applyFill="1" applyAlignment="1"/>
    <xf numFmtId="0" fontId="8" fillId="0" borderId="0" xfId="4" applyFont="1" applyFill="1" applyAlignment="1">
      <alignment horizontal="left" vertical="top" wrapText="1"/>
    </xf>
    <xf numFmtId="0" fontId="8" fillId="0" borderId="0" xfId="4" applyFont="1" applyFill="1" applyAlignment="1">
      <alignment horizontal="center" vertical="top" wrapText="1"/>
    </xf>
    <xf numFmtId="169" fontId="13" fillId="0" borderId="0" xfId="7" quotePrefix="1" applyNumberFormat="1" applyFont="1" applyFill="1" applyAlignment="1">
      <alignment horizontal="left" vertical="top"/>
    </xf>
    <xf numFmtId="0" fontId="3" fillId="0" borderId="0" xfId="7" applyNumberFormat="1" applyFont="1" applyFill="1" applyAlignment="1">
      <alignment vertical="top"/>
    </xf>
    <xf numFmtId="0" fontId="8" fillId="0" borderId="0" xfId="7" applyFont="1" applyFill="1" applyAlignment="1">
      <alignment vertical="top"/>
    </xf>
    <xf numFmtId="0" fontId="3" fillId="0" borderId="0" xfId="7" quotePrefix="1" applyNumberFormat="1" applyFont="1" applyFill="1" applyAlignment="1">
      <alignment vertical="top"/>
    </xf>
    <xf numFmtId="0" fontId="3" fillId="0" borderId="0" xfId="7" applyNumberFormat="1" applyFont="1" applyFill="1" applyAlignment="1"/>
    <xf numFmtId="0" fontId="8" fillId="0" borderId="0" xfId="7" applyNumberFormat="1" applyFont="1" applyFill="1" applyAlignment="1">
      <alignment horizontal="justify" vertical="top" wrapText="1"/>
    </xf>
    <xf numFmtId="0" fontId="3" fillId="0" borderId="0" xfId="7" applyFont="1" applyFill="1" applyAlignment="1">
      <alignment vertical="top"/>
    </xf>
    <xf numFmtId="0" fontId="3" fillId="0" borderId="0" xfId="7" applyFont="1" applyFill="1" applyAlignment="1">
      <alignment horizontal="justify" vertical="top"/>
    </xf>
    <xf numFmtId="0" fontId="8" fillId="0" borderId="0" xfId="7" applyFont="1" applyFill="1" applyAlignment="1">
      <alignment horizontal="justify" vertical="top"/>
    </xf>
    <xf numFmtId="166" fontId="8" fillId="0" borderId="0" xfId="9" applyNumberFormat="1" applyFont="1" applyFill="1" applyAlignment="1">
      <alignment horizontal="justify" vertical="top"/>
    </xf>
    <xf numFmtId="0" fontId="3" fillId="0" borderId="0" xfId="7" applyFont="1" applyFill="1" applyAlignment="1">
      <alignment horizontal="left" vertical="top"/>
    </xf>
    <xf numFmtId="0" fontId="3" fillId="0" borderId="0" xfId="7" applyNumberFormat="1" applyFont="1" applyFill="1" applyAlignment="1">
      <alignment horizontal="left" vertical="top"/>
    </xf>
    <xf numFmtId="0" fontId="3" fillId="0" borderId="0" xfId="8" applyNumberFormat="1" applyFont="1" applyFill="1" applyAlignment="1">
      <alignment horizontal="left" vertical="top"/>
    </xf>
    <xf numFmtId="0" fontId="8" fillId="0" borderId="0" xfId="3" applyFont="1" applyFill="1" applyAlignment="1" applyProtection="1">
      <alignment horizontal="center" vertical="center"/>
    </xf>
    <xf numFmtId="49" fontId="8" fillId="0" borderId="0" xfId="3" quotePrefix="1" applyNumberFormat="1" applyFont="1" applyFill="1" applyAlignment="1" applyProtection="1">
      <alignment horizontal="center" vertical="center"/>
    </xf>
    <xf numFmtId="0" fontId="5" fillId="0" borderId="0" xfId="8" applyFont="1" applyFill="1" applyAlignment="1">
      <alignment horizontal="center"/>
    </xf>
    <xf numFmtId="0" fontId="8" fillId="0" borderId="0" xfId="3" applyFont="1" applyFill="1" applyAlignment="1">
      <alignment horizontal="left" vertical="top" indent="1"/>
    </xf>
    <xf numFmtId="37" fontId="3" fillId="0" borderId="0" xfId="8" applyNumberFormat="1" applyFont="1" applyFill="1"/>
    <xf numFmtId="166" fontId="8" fillId="0" borderId="0" xfId="6" applyNumberFormat="1" applyFont="1" applyFill="1" applyBorder="1"/>
    <xf numFmtId="41" fontId="5" fillId="0" borderId="0" xfId="8" applyNumberFormat="1" applyFont="1" applyFill="1"/>
    <xf numFmtId="166" fontId="8" fillId="0" borderId="0" xfId="6" applyNumberFormat="1" applyFont="1" applyFill="1"/>
    <xf numFmtId="166" fontId="8" fillId="0" borderId="0" xfId="3" applyNumberFormat="1" applyFont="1" applyFill="1" applyBorder="1" applyAlignment="1">
      <alignment vertical="center"/>
    </xf>
    <xf numFmtId="166" fontId="8" fillId="0" borderId="0" xfId="6" applyNumberFormat="1" applyFont="1" applyFill="1" applyAlignment="1">
      <alignment vertical="center"/>
    </xf>
    <xf numFmtId="0" fontId="8" fillId="0" borderId="0" xfId="17" applyFont="1" applyFill="1" applyBorder="1" applyAlignment="1">
      <alignment horizontal="left"/>
    </xf>
    <xf numFmtId="0" fontId="8" fillId="0" borderId="0" xfId="17" applyFont="1" applyFill="1" applyBorder="1" applyAlignment="1"/>
    <xf numFmtId="166" fontId="8" fillId="0" borderId="0" xfId="6" applyNumberFormat="1" applyFont="1" applyFill="1" applyAlignment="1">
      <alignment vertical="top"/>
    </xf>
    <xf numFmtId="0" fontId="8" fillId="0" borderId="0" xfId="17" applyFont="1" applyFill="1" applyAlignment="1">
      <alignment vertical="top"/>
    </xf>
    <xf numFmtId="0" fontId="8" fillId="0" borderId="0" xfId="17" applyFont="1" applyFill="1" applyBorder="1" applyAlignment="1">
      <alignment vertical="top"/>
    </xf>
    <xf numFmtId="166" fontId="8" fillId="0" borderId="0" xfId="6" applyNumberFormat="1" applyFont="1" applyFill="1" applyBorder="1" applyAlignment="1">
      <alignment vertical="top"/>
    </xf>
    <xf numFmtId="0" fontId="8" fillId="0" borderId="0" xfId="17" applyFont="1" applyFill="1" applyAlignment="1"/>
    <xf numFmtId="0" fontId="8" fillId="0" borderId="0" xfId="17" applyFont="1" applyFill="1" applyAlignment="1">
      <alignment horizontal="left"/>
    </xf>
    <xf numFmtId="166" fontId="8" fillId="0" borderId="0" xfId="6" applyNumberFormat="1" applyFont="1" applyFill="1" applyBorder="1" applyAlignment="1"/>
    <xf numFmtId="166" fontId="8" fillId="0" borderId="9" xfId="6" applyNumberFormat="1" applyFont="1" applyFill="1" applyBorder="1"/>
    <xf numFmtId="0" fontId="8" fillId="0" borderId="0" xfId="17" applyFont="1" applyFill="1" applyBorder="1" applyAlignment="1">
      <alignment vertical="center" wrapText="1"/>
    </xf>
    <xf numFmtId="166" fontId="8" fillId="0" borderId="16" xfId="6" applyNumberFormat="1" applyFont="1" applyFill="1" applyBorder="1"/>
    <xf numFmtId="41" fontId="8" fillId="0" borderId="0" xfId="21" applyNumberFormat="1" applyFont="1" applyFill="1" applyAlignment="1"/>
    <xf numFmtId="166" fontId="8" fillId="0" borderId="0" xfId="6" applyNumberFormat="1" applyFont="1" applyFill="1" applyAlignment="1"/>
    <xf numFmtId="41" fontId="8" fillId="0" borderId="0" xfId="21" applyNumberFormat="1" applyFont="1" applyFill="1" applyBorder="1" applyAlignment="1"/>
    <xf numFmtId="43" fontId="8" fillId="0" borderId="0" xfId="6" applyFont="1" applyFill="1" applyBorder="1" applyAlignment="1">
      <alignment horizontal="center" vertical="center"/>
    </xf>
    <xf numFmtId="43" fontId="8" fillId="0" borderId="0" xfId="6" applyFont="1" applyFill="1" applyAlignment="1">
      <alignment horizontal="center" vertical="center"/>
    </xf>
    <xf numFmtId="41" fontId="8" fillId="0" borderId="0" xfId="17" applyNumberFormat="1" applyFont="1" applyFill="1" applyAlignment="1"/>
    <xf numFmtId="43" fontId="8" fillId="0" borderId="0" xfId="6" applyFont="1" applyFill="1" applyAlignment="1"/>
    <xf numFmtId="0" fontId="8" fillId="0" borderId="0" xfId="17" applyFont="1" applyFill="1" applyAlignment="1">
      <alignment vertical="center"/>
    </xf>
    <xf numFmtId="0" fontId="8" fillId="0" borderId="0" xfId="17" applyFont="1" applyFill="1" applyAlignment="1">
      <alignment horizontal="left" vertical="center"/>
    </xf>
    <xf numFmtId="41" fontId="8" fillId="0" borderId="0" xfId="17" applyNumberFormat="1" applyFont="1" applyFill="1" applyAlignment="1">
      <alignment vertical="center"/>
    </xf>
    <xf numFmtId="43" fontId="8" fillId="0" borderId="0" xfId="16" applyNumberFormat="1" applyFont="1" applyFill="1" applyAlignment="1">
      <alignment vertical="center"/>
    </xf>
    <xf numFmtId="2" fontId="8" fillId="0" borderId="0" xfId="6" applyNumberFormat="1" applyFont="1" applyFill="1" applyAlignment="1">
      <alignment vertical="center"/>
    </xf>
    <xf numFmtId="175" fontId="8" fillId="0" borderId="0" xfId="17" applyNumberFormat="1" applyFont="1" applyFill="1" applyBorder="1" applyAlignment="1">
      <alignment horizontal="left" vertical="center"/>
    </xf>
    <xf numFmtId="41" fontId="8" fillId="0" borderId="7" xfId="21" applyNumberFormat="1" applyFont="1" applyFill="1" applyBorder="1" applyAlignment="1">
      <alignment vertical="center"/>
    </xf>
    <xf numFmtId="0" fontId="13" fillId="0" borderId="0" xfId="17" applyFont="1" applyFill="1" applyAlignment="1"/>
    <xf numFmtId="166" fontId="8" fillId="0" borderId="0" xfId="17" applyNumberFormat="1" applyFont="1" applyFill="1" applyAlignment="1"/>
    <xf numFmtId="173" fontId="8" fillId="0" borderId="0" xfId="18" applyNumberFormat="1" applyFont="1" applyFill="1" applyAlignment="1">
      <alignment vertical="center"/>
    </xf>
    <xf numFmtId="0" fontId="8" fillId="0" borderId="0" xfId="17" applyNumberFormat="1" applyFont="1" applyFill="1" applyAlignment="1"/>
    <xf numFmtId="166" fontId="5" fillId="0" borderId="0" xfId="6" applyNumberFormat="1" applyFont="1" applyFill="1" applyBorder="1"/>
    <xf numFmtId="0" fontId="8" fillId="0" borderId="0" xfId="24" applyFont="1" applyFill="1" applyAlignment="1">
      <alignment vertical="top"/>
    </xf>
    <xf numFmtId="0" fontId="8" fillId="0" borderId="0" xfId="3" applyFont="1" applyFill="1" applyAlignment="1">
      <alignment horizontal="left"/>
    </xf>
    <xf numFmtId="10" fontId="8" fillId="0" borderId="0" xfId="16" applyNumberFormat="1" applyFont="1" applyFill="1" applyBorder="1" applyAlignment="1"/>
    <xf numFmtId="0" fontId="8" fillId="0" borderId="0" xfId="3" applyFont="1" applyFill="1" applyAlignment="1">
      <alignment vertical="top"/>
    </xf>
    <xf numFmtId="0" fontId="8" fillId="0" borderId="0" xfId="23" applyFont="1" applyFill="1" applyBorder="1"/>
    <xf numFmtId="0" fontId="8" fillId="0" borderId="0" xfId="23" applyFont="1" applyFill="1"/>
    <xf numFmtId="0" fontId="8" fillId="0" borderId="0" xfId="3" applyNumberFormat="1" applyFont="1" applyFill="1" applyAlignment="1">
      <alignment horizontal="justify" vertical="top"/>
    </xf>
    <xf numFmtId="0" fontId="8" fillId="0" borderId="0" xfId="3" applyFont="1" applyFill="1" applyAlignment="1" applyProtection="1">
      <protection locked="0"/>
    </xf>
    <xf numFmtId="41" fontId="8" fillId="0" borderId="0" xfId="3" applyNumberFormat="1" applyFont="1" applyFill="1" applyAlignment="1"/>
    <xf numFmtId="166" fontId="8" fillId="0" borderId="0" xfId="3" applyNumberFormat="1" applyFont="1" applyFill="1" applyBorder="1" applyAlignment="1"/>
    <xf numFmtId="0" fontId="8" fillId="0" borderId="0" xfId="3" applyFont="1" applyFill="1" applyBorder="1" applyAlignment="1" applyProtection="1">
      <alignment horizontal="center"/>
    </xf>
    <xf numFmtId="0" fontId="8" fillId="0" borderId="0" xfId="3" applyNumberFormat="1" applyFont="1" applyFill="1" applyBorder="1" applyAlignment="1">
      <alignment horizontal="left" vertical="top" indent="1"/>
    </xf>
    <xf numFmtId="0" fontId="8" fillId="0" borderId="0" xfId="3" applyNumberFormat="1" applyFont="1" applyFill="1" applyBorder="1" applyAlignment="1">
      <alignment vertical="top"/>
    </xf>
    <xf numFmtId="166" fontId="8" fillId="0" borderId="0" xfId="1" applyNumberFormat="1" applyFont="1" applyFill="1" applyBorder="1" applyAlignment="1">
      <alignment vertical="top"/>
      <protection locked="0"/>
    </xf>
    <xf numFmtId="37" fontId="8" fillId="0" borderId="0" xfId="3" applyNumberFormat="1" applyFont="1" applyFill="1" applyAlignment="1"/>
    <xf numFmtId="0" fontId="8" fillId="0" borderId="0" xfId="3" applyFont="1" applyFill="1" applyBorder="1" applyAlignment="1">
      <alignment horizontal="left"/>
    </xf>
    <xf numFmtId="0" fontId="8" fillId="0" borderId="0" xfId="27" applyFont="1" applyFill="1" applyAlignment="1">
      <alignment horizontal="left" vertical="top" wrapText="1"/>
    </xf>
    <xf numFmtId="41" fontId="8" fillId="0" borderId="0" xfId="3" applyNumberFormat="1" applyFont="1" applyFill="1" applyBorder="1" applyAlignment="1"/>
    <xf numFmtId="41" fontId="8" fillId="0" borderId="0" xfId="1" applyNumberFormat="1" applyFont="1" applyFill="1" applyBorder="1">
      <protection locked="0"/>
    </xf>
    <xf numFmtId="0" fontId="8" fillId="0" borderId="0" xfId="3" quotePrefix="1" applyFont="1" applyFill="1" applyAlignment="1">
      <alignment horizontal="left"/>
    </xf>
    <xf numFmtId="0" fontId="8" fillId="0" borderId="0" xfId="3" applyFont="1" applyFill="1" applyAlignment="1">
      <alignment horizontal="justify"/>
    </xf>
    <xf numFmtId="0" fontId="8" fillId="0" borderId="0" xfId="3" applyFont="1" applyFill="1" applyBorder="1" applyAlignment="1">
      <alignment vertical="top"/>
    </xf>
    <xf numFmtId="41" fontId="8" fillId="0" borderId="0" xfId="3" applyNumberFormat="1" applyFont="1" applyFill="1" applyBorder="1" applyAlignment="1">
      <alignment horizontal="center"/>
    </xf>
    <xf numFmtId="49" fontId="8" fillId="0" borderId="0" xfId="3" applyNumberFormat="1" applyFont="1" applyFill="1" applyBorder="1" applyAlignment="1" applyProtection="1">
      <alignment horizontal="center"/>
    </xf>
    <xf numFmtId="41" fontId="8" fillId="0" borderId="0" xfId="3" applyNumberFormat="1" applyFont="1" applyFill="1" applyBorder="1" applyAlignment="1">
      <alignment wrapText="1"/>
    </xf>
    <xf numFmtId="41" fontId="8" fillId="0" borderId="0" xfId="1" applyNumberFormat="1" applyFont="1" applyFill="1" applyBorder="1" applyAlignment="1">
      <protection locked="0"/>
    </xf>
    <xf numFmtId="41" fontId="8" fillId="0" borderId="0" xfId="3" applyNumberFormat="1" applyFont="1" applyFill="1" applyBorder="1" applyAlignment="1">
      <alignment vertical="top" wrapText="1"/>
    </xf>
    <xf numFmtId="41" fontId="8" fillId="0" borderId="0" xfId="1" applyNumberFormat="1" applyFont="1" applyFill="1" applyBorder="1" applyAlignment="1">
      <alignment wrapText="1"/>
      <protection locked="0"/>
    </xf>
    <xf numFmtId="166" fontId="8" fillId="0" borderId="0" xfId="1" applyNumberFormat="1" applyFont="1" applyFill="1" applyBorder="1" applyAlignment="1">
      <alignment horizontal="centerContinuous"/>
      <protection locked="0"/>
    </xf>
    <xf numFmtId="0" fontId="8" fillId="0" borderId="0" xfId="3" applyNumberFormat="1" applyFont="1" applyFill="1" applyBorder="1" applyAlignment="1" applyProtection="1">
      <alignment vertical="top" wrapText="1"/>
      <protection locked="0"/>
    </xf>
    <xf numFmtId="37" fontId="3" fillId="4" borderId="0" xfId="3" applyNumberFormat="1" applyFont="1" applyFill="1" applyBorder="1" applyAlignment="1">
      <alignment vertical="center"/>
    </xf>
    <xf numFmtId="0" fontId="3" fillId="4" borderId="0" xfId="3" applyNumberFormat="1" applyFont="1" applyFill="1" applyAlignment="1"/>
    <xf numFmtId="0" fontId="8" fillId="4" borderId="0" xfId="23" applyFont="1" applyFill="1"/>
    <xf numFmtId="0" fontId="8" fillId="4" borderId="0" xfId="3" applyFont="1" applyFill="1" applyAlignment="1">
      <alignment horizontal="justify" wrapText="1"/>
    </xf>
    <xf numFmtId="0" fontId="8" fillId="4" borderId="0" xfId="3" applyFont="1" applyFill="1" applyAlignment="1"/>
    <xf numFmtId="0" fontId="5" fillId="4" borderId="0" xfId="8" applyFont="1" applyFill="1" applyAlignment="1">
      <alignment horizontal="left" vertical="top" wrapText="1"/>
    </xf>
    <xf numFmtId="0" fontId="3" fillId="0" borderId="0" xfId="0" applyFont="1" applyFill="1" applyAlignment="1">
      <alignment horizontal="left" vertical="top" indent="3"/>
    </xf>
    <xf numFmtId="0" fontId="3" fillId="0" borderId="0" xfId="0" applyFont="1" applyFill="1" applyAlignment="1">
      <alignment horizontal="left" indent="3"/>
    </xf>
    <xf numFmtId="166" fontId="5" fillId="0" borderId="0" xfId="2" applyNumberFormat="1" applyFont="1" applyFill="1" applyBorder="1" applyAlignment="1">
      <alignment vertical="top"/>
    </xf>
    <xf numFmtId="0" fontId="5" fillId="0" borderId="0" xfId="2" applyFont="1" applyFill="1"/>
    <xf numFmtId="0" fontId="3" fillId="0" borderId="0" xfId="0" applyNumberFormat="1" applyFont="1" applyFill="1" applyAlignment="1"/>
    <xf numFmtId="0" fontId="3" fillId="0" borderId="17" xfId="3" applyNumberFormat="1" applyFont="1" applyFill="1" applyBorder="1" applyAlignment="1" applyProtection="1">
      <alignment horizontal="center" vertical="top" wrapText="1"/>
      <protection locked="0"/>
    </xf>
    <xf numFmtId="0" fontId="3" fillId="0" borderId="17" xfId="3" applyNumberFormat="1" applyFont="1" applyFill="1" applyBorder="1" applyAlignment="1" applyProtection="1">
      <alignment horizontal="center" vertical="top"/>
      <protection locked="0"/>
    </xf>
    <xf numFmtId="166" fontId="5" fillId="0" borderId="17" xfId="32" applyNumberFormat="1" applyFont="1" applyFill="1" applyBorder="1" applyAlignment="1" applyProtection="1">
      <alignment horizontal="center" vertical="top" wrapText="1"/>
      <protection locked="0"/>
    </xf>
    <xf numFmtId="166" fontId="5" fillId="0" borderId="17" xfId="3" applyNumberFormat="1" applyFont="1" applyFill="1" applyBorder="1" applyAlignment="1" applyProtection="1">
      <alignment horizontal="center" vertical="top" wrapText="1"/>
      <protection locked="0"/>
    </xf>
    <xf numFmtId="168" fontId="5" fillId="0" borderId="17" xfId="3" applyNumberFormat="1" applyFont="1" applyFill="1" applyBorder="1" applyAlignment="1" applyProtection="1">
      <alignment horizontal="center" vertical="top" wrapText="1"/>
      <protection locked="0"/>
    </xf>
    <xf numFmtId="43" fontId="5" fillId="0" borderId="17" xfId="3" applyNumberFormat="1" applyFont="1" applyFill="1" applyBorder="1" applyAlignment="1" applyProtection="1">
      <alignment horizontal="center" vertical="top" wrapText="1"/>
      <protection locked="0"/>
    </xf>
    <xf numFmtId="0" fontId="3" fillId="0" borderId="0" xfId="3" applyFont="1" applyFill="1" applyAlignment="1">
      <alignment horizontal="center" vertical="center"/>
    </xf>
    <xf numFmtId="0" fontId="5" fillId="0" borderId="0" xfId="8" applyFont="1" applyFill="1" applyAlignment="1">
      <alignment horizontal="justify" vertical="top" wrapText="1"/>
    </xf>
    <xf numFmtId="0" fontId="5" fillId="0" borderId="0" xfId="8" applyFont="1" applyFill="1" applyAlignment="1">
      <alignment horizontal="left" vertical="top" wrapText="1"/>
    </xf>
    <xf numFmtId="0" fontId="8" fillId="0" borderId="0" xfId="3" applyFont="1" applyFill="1" applyAlignment="1">
      <alignment horizontal="justify" wrapText="1"/>
    </xf>
    <xf numFmtId="0" fontId="8" fillId="0" borderId="0" xfId="3" applyNumberFormat="1" applyFont="1" applyFill="1" applyAlignment="1">
      <alignment horizontal="justify" vertical="top" wrapText="1"/>
    </xf>
    <xf numFmtId="0" fontId="5" fillId="0" borderId="0" xfId="8" applyFont="1" applyFill="1" applyAlignment="1">
      <alignment horizontal="justify" vertical="top" wrapText="1"/>
    </xf>
    <xf numFmtId="0" fontId="5" fillId="0" borderId="0" xfId="8" applyFont="1" applyFill="1" applyAlignment="1">
      <alignment horizontal="left" vertical="top" wrapText="1"/>
    </xf>
    <xf numFmtId="15" fontId="3" fillId="0" borderId="0" xfId="8" applyNumberFormat="1" applyFont="1" applyFill="1" applyAlignment="1">
      <alignment horizontal="center" vertical="top" wrapText="1"/>
    </xf>
    <xf numFmtId="0" fontId="3" fillId="0" borderId="0" xfId="8" quotePrefix="1" applyFont="1" applyFill="1" applyAlignment="1">
      <alignment horizontal="left" vertical="top"/>
    </xf>
    <xf numFmtId="0" fontId="3" fillId="0" borderId="0" xfId="8" applyFont="1" applyFill="1" applyAlignment="1">
      <alignment horizontal="left" vertical="top"/>
    </xf>
    <xf numFmtId="0" fontId="3" fillId="0" borderId="0" xfId="14" applyNumberFormat="1" applyFont="1" applyFill="1" applyAlignment="1"/>
    <xf numFmtId="0" fontId="8" fillId="0" borderId="0" xfId="3" quotePrefix="1" applyNumberFormat="1" applyFont="1" applyFill="1" applyAlignment="1">
      <alignment vertical="center"/>
    </xf>
    <xf numFmtId="0" fontId="8" fillId="0" borderId="0" xfId="3" quotePrefix="1" applyFont="1" applyFill="1" applyAlignment="1">
      <alignment vertical="center"/>
    </xf>
    <xf numFmtId="166" fontId="8" fillId="0" borderId="0" xfId="3" quotePrefix="1" applyNumberFormat="1" applyFont="1" applyFill="1" applyBorder="1" applyAlignment="1">
      <alignment vertical="center"/>
    </xf>
    <xf numFmtId="0" fontId="8" fillId="0" borderId="0" xfId="14" quotePrefix="1" applyNumberFormat="1" applyFont="1" applyFill="1" applyBorder="1" applyAlignment="1">
      <alignment horizontal="center" vertical="center" wrapText="1"/>
    </xf>
    <xf numFmtId="174" fontId="8" fillId="0" borderId="0" xfId="17" applyNumberFormat="1" applyFont="1" applyFill="1" applyAlignment="1"/>
    <xf numFmtId="0" fontId="8" fillId="0" borderId="0" xfId="3" quotePrefix="1" applyNumberFormat="1" applyFont="1" applyFill="1" applyAlignment="1">
      <alignment horizontal="center" vertical="top"/>
    </xf>
    <xf numFmtId="41" fontId="8" fillId="0" borderId="0" xfId="3" applyNumberFormat="1" applyFont="1" applyFill="1" applyAlignment="1">
      <alignment vertical="center"/>
    </xf>
    <xf numFmtId="0" fontId="8" fillId="0" borderId="0" xfId="3" applyNumberFormat="1" applyFont="1" applyFill="1" applyAlignment="1">
      <alignment horizontal="center" vertical="center"/>
    </xf>
    <xf numFmtId="0" fontId="8" fillId="0" borderId="0" xfId="3" applyNumberFormat="1" applyFont="1" applyFill="1" applyAlignment="1">
      <alignment horizontal="center" vertical="top" wrapText="1"/>
    </xf>
    <xf numFmtId="166" fontId="8" fillId="4" borderId="0" xfId="6" applyNumberFormat="1" applyFont="1" applyFill="1" applyAlignment="1">
      <alignment vertical="center"/>
    </xf>
    <xf numFmtId="0" fontId="8" fillId="0" borderId="17" xfId="3" applyFont="1" applyFill="1" applyBorder="1" applyAlignment="1"/>
    <xf numFmtId="0" fontId="8" fillId="0" borderId="0" xfId="19" quotePrefix="1" applyNumberFormat="1" applyFont="1" applyFill="1" applyBorder="1" applyAlignment="1">
      <alignment vertical="center"/>
    </xf>
    <xf numFmtId="166" fontId="8" fillId="0" borderId="18" xfId="6" applyNumberFormat="1" applyFont="1" applyBorder="1" applyAlignment="1">
      <alignment horizontal="left" indent="2"/>
    </xf>
    <xf numFmtId="166" fontId="8" fillId="0" borderId="18" xfId="6" applyNumberFormat="1" applyFont="1" applyBorder="1"/>
    <xf numFmtId="166" fontId="8" fillId="0" borderId="19" xfId="6" applyNumberFormat="1" applyFont="1" applyBorder="1" applyAlignment="1">
      <alignment horizontal="left" indent="2"/>
    </xf>
    <xf numFmtId="166" fontId="8" fillId="0" borderId="19" xfId="6" applyNumberFormat="1" applyFont="1" applyBorder="1"/>
    <xf numFmtId="0" fontId="8" fillId="0" borderId="0" xfId="19" applyNumberFormat="1" applyFont="1" applyFill="1" applyBorder="1" applyAlignment="1">
      <alignment vertical="center"/>
    </xf>
    <xf numFmtId="0" fontId="8" fillId="0" borderId="0" xfId="19" quotePrefix="1" applyNumberFormat="1" applyFont="1" applyFill="1" applyAlignment="1">
      <alignment vertical="top"/>
    </xf>
    <xf numFmtId="166" fontId="8" fillId="0" borderId="20" xfId="6" applyNumberFormat="1" applyFont="1" applyBorder="1" applyAlignment="1">
      <alignment horizontal="left" indent="2"/>
    </xf>
    <xf numFmtId="166" fontId="8" fillId="0" borderId="20" xfId="6" applyNumberFormat="1" applyFont="1" applyBorder="1"/>
    <xf numFmtId="0" fontId="8" fillId="0" borderId="0" xfId="3" applyFont="1" applyFill="1" applyAlignment="1">
      <alignment vertical="center" wrapText="1"/>
    </xf>
    <xf numFmtId="0" fontId="8" fillId="0" borderId="0" xfId="3" applyFont="1" applyFill="1" applyAlignment="1">
      <alignment horizontal="left" vertical="center" wrapText="1"/>
    </xf>
    <xf numFmtId="0" fontId="8" fillId="0" borderId="0" xfId="3" applyFont="1" applyFill="1" applyAlignment="1">
      <alignment horizontal="left" wrapText="1"/>
    </xf>
    <xf numFmtId="0" fontId="13" fillId="0" borderId="0" xfId="3" quotePrefix="1" applyNumberFormat="1" applyFont="1" applyFill="1" applyAlignment="1">
      <alignment vertical="top"/>
    </xf>
    <xf numFmtId="43" fontId="8" fillId="0" borderId="0" xfId="6" applyNumberFormat="1" applyFont="1" applyFill="1" applyAlignment="1">
      <alignment horizontal="left" vertical="top" wrapText="1"/>
    </xf>
    <xf numFmtId="166" fontId="8" fillId="0" borderId="0" xfId="6" applyNumberFormat="1" applyFont="1" applyFill="1" applyAlignment="1">
      <alignment horizontal="left" vertical="top" wrapText="1"/>
    </xf>
    <xf numFmtId="0" fontId="8" fillId="0" borderId="0" xfId="3" applyNumberFormat="1" applyFont="1" applyFill="1" applyAlignment="1" applyProtection="1">
      <alignment horizontal="left" vertical="top" wrapText="1"/>
      <protection locked="0"/>
    </xf>
    <xf numFmtId="0" fontId="8" fillId="0" borderId="9" xfId="3" applyNumberFormat="1" applyFont="1" applyFill="1" applyBorder="1" applyAlignment="1" applyProtection="1">
      <alignment horizontal="left" vertical="top" wrapText="1"/>
      <protection locked="0"/>
    </xf>
    <xf numFmtId="0" fontId="8" fillId="0" borderId="15" xfId="3" applyNumberFormat="1" applyFont="1" applyFill="1" applyBorder="1" applyAlignment="1" applyProtection="1">
      <alignment horizontal="left" vertical="top" wrapText="1"/>
      <protection locked="0"/>
    </xf>
    <xf numFmtId="0" fontId="8" fillId="0" borderId="16" xfId="3" applyNumberFormat="1" applyFont="1" applyFill="1" applyBorder="1" applyAlignment="1" applyProtection="1">
      <alignment horizontal="left" vertical="top" wrapText="1"/>
      <protection locked="0"/>
    </xf>
    <xf numFmtId="172" fontId="8" fillId="0" borderId="0" xfId="3" applyNumberFormat="1" applyFont="1" applyFill="1" applyAlignment="1"/>
    <xf numFmtId="2" fontId="8" fillId="0" borderId="0" xfId="3" applyNumberFormat="1" applyFont="1" applyFill="1" applyAlignment="1"/>
    <xf numFmtId="43" fontId="8" fillId="0" borderId="0" xfId="3" applyNumberFormat="1" applyFont="1" applyFill="1" applyAlignment="1"/>
    <xf numFmtId="0" fontId="8" fillId="0" borderId="0" xfId="3" applyNumberFormat="1" applyFont="1" applyFill="1" applyAlignment="1" applyProtection="1">
      <alignment vertical="top"/>
      <protection locked="0"/>
    </xf>
    <xf numFmtId="0" fontId="3" fillId="0" borderId="0" xfId="0" applyFont="1" applyFill="1" applyAlignment="1"/>
    <xf numFmtId="173" fontId="3" fillId="0" borderId="0" xfId="33" applyNumberFormat="1" applyFont="1" applyFill="1" applyAlignment="1" applyProtection="1">
      <alignment vertical="top"/>
    </xf>
    <xf numFmtId="166" fontId="5" fillId="0" borderId="0" xfId="18" applyNumberFormat="1" applyFont="1" applyFill="1" applyBorder="1" applyAlignment="1">
      <alignment horizontal="center"/>
    </xf>
    <xf numFmtId="166" fontId="5" fillId="0" borderId="0" xfId="18" applyNumberFormat="1" applyFont="1" applyFill="1" applyBorder="1" applyAlignment="1" applyProtection="1">
      <alignment horizontal="center"/>
    </xf>
    <xf numFmtId="0" fontId="5" fillId="0" borderId="0" xfId="17" applyFont="1" applyFill="1" applyAlignment="1"/>
    <xf numFmtId="166" fontId="5" fillId="0" borderId="0" xfId="6" applyNumberFormat="1" applyFont="1" applyFill="1" applyAlignment="1"/>
    <xf numFmtId="166" fontId="5" fillId="0" borderId="0" xfId="18" applyNumberFormat="1" applyFont="1" applyFill="1" applyAlignment="1">
      <alignment horizontal="center" vertical="center"/>
    </xf>
    <xf numFmtId="166" fontId="5" fillId="0" borderId="0" xfId="18" applyNumberFormat="1" applyFont="1" applyFill="1" applyAlignment="1" applyProtection="1">
      <alignment vertical="center"/>
    </xf>
    <xf numFmtId="164" fontId="5" fillId="0" borderId="0" xfId="1" applyFont="1" applyFill="1" applyAlignment="1" applyProtection="1">
      <alignment horizontal="center" vertical="center"/>
    </xf>
    <xf numFmtId="164" fontId="5" fillId="0" borderId="0" xfId="1" applyFont="1" applyFill="1" applyBorder="1" applyAlignment="1" applyProtection="1">
      <alignment vertical="center"/>
    </xf>
    <xf numFmtId="173" fontId="5" fillId="0" borderId="0" xfId="33" applyNumberFormat="1" applyFont="1" applyFill="1" applyAlignment="1" applyProtection="1">
      <alignment vertical="top"/>
    </xf>
    <xf numFmtId="166" fontId="5" fillId="0" borderId="0" xfId="18" quotePrefix="1" applyNumberFormat="1" applyFont="1" applyFill="1" applyBorder="1" applyAlignment="1">
      <alignment horizontal="center"/>
    </xf>
    <xf numFmtId="173" fontId="5" fillId="0" borderId="0" xfId="33" applyNumberFormat="1" applyFont="1" applyFill="1" applyAlignment="1">
      <alignment vertical="top"/>
    </xf>
    <xf numFmtId="166" fontId="3" fillId="0" borderId="7" xfId="18" applyNumberFormat="1" applyFont="1" applyFill="1" applyBorder="1" applyAlignment="1">
      <alignment horizontal="center" vertical="center"/>
    </xf>
    <xf numFmtId="166" fontId="5" fillId="0" borderId="7" xfId="18" applyNumberFormat="1" applyFont="1" applyFill="1" applyBorder="1" applyAlignment="1">
      <alignment horizontal="center" vertical="center"/>
    </xf>
    <xf numFmtId="0" fontId="8" fillId="0" borderId="0" xfId="14" applyNumberFormat="1" applyFont="1" applyFill="1" applyAlignment="1">
      <alignment horizontal="right" vertical="center"/>
    </xf>
    <xf numFmtId="43" fontId="8" fillId="0" borderId="0" xfId="7" applyNumberFormat="1" applyFont="1" applyFill="1"/>
    <xf numFmtId="0" fontId="8" fillId="0" borderId="0" xfId="14" applyNumberFormat="1" applyFont="1" applyFill="1" applyAlignment="1">
      <alignment horizontal="left" vertical="center"/>
    </xf>
    <xf numFmtId="0" fontId="21" fillId="0" borderId="0" xfId="2" applyFont="1"/>
    <xf numFmtId="0" fontId="22" fillId="0" borderId="0" xfId="2" applyFont="1"/>
    <xf numFmtId="0" fontId="21" fillId="0" borderId="0" xfId="2" quotePrefix="1" applyFont="1" applyAlignment="1">
      <alignment horizontal="center"/>
    </xf>
    <xf numFmtId="0" fontId="21" fillId="0" borderId="0" xfId="2" applyFont="1" applyAlignment="1">
      <alignment horizontal="center"/>
    </xf>
    <xf numFmtId="0" fontId="21" fillId="0" borderId="0" xfId="4" applyFont="1" applyFill="1" applyAlignment="1">
      <alignment vertical="center"/>
    </xf>
    <xf numFmtId="0" fontId="22" fillId="0" borderId="0" xfId="3" applyFont="1" applyFill="1" applyAlignment="1">
      <alignment vertical="center"/>
    </xf>
    <xf numFmtId="0" fontId="22" fillId="0" borderId="0" xfId="3" applyFont="1" applyFill="1" applyAlignment="1">
      <alignment horizontal="center" vertical="center"/>
    </xf>
    <xf numFmtId="0" fontId="22" fillId="0" borderId="0" xfId="4" applyFont="1" applyFill="1" applyAlignment="1">
      <alignment vertical="center"/>
    </xf>
    <xf numFmtId="166" fontId="22" fillId="0" borderId="8" xfId="35" applyNumberFormat="1" applyFont="1" applyFill="1" applyBorder="1" applyAlignment="1">
      <alignment vertical="center"/>
    </xf>
    <xf numFmtId="165" fontId="22" fillId="0" borderId="3" xfId="36" applyNumberFormat="1" applyFont="1" applyFill="1" applyBorder="1" applyAlignment="1">
      <alignment vertical="center"/>
      <protection locked="0"/>
    </xf>
    <xf numFmtId="166" fontId="22" fillId="0" borderId="9" xfId="37" applyNumberFormat="1" applyFont="1" applyBorder="1"/>
    <xf numFmtId="166" fontId="22" fillId="0" borderId="13" xfId="35" applyNumberFormat="1" applyFont="1" applyFill="1" applyBorder="1" applyAlignment="1">
      <alignment vertical="center"/>
    </xf>
    <xf numFmtId="165" fontId="22" fillId="0" borderId="0" xfId="36" applyNumberFormat="1" applyFont="1" applyFill="1" applyBorder="1" applyAlignment="1">
      <alignment vertical="center"/>
      <protection locked="0"/>
    </xf>
    <xf numFmtId="166" fontId="22" fillId="0" borderId="14" xfId="37" applyNumberFormat="1" applyFont="1" applyBorder="1"/>
    <xf numFmtId="0" fontId="22" fillId="0" borderId="0" xfId="3" applyNumberFormat="1" applyFont="1" applyFill="1" applyAlignment="1">
      <alignment vertical="center"/>
    </xf>
    <xf numFmtId="166" fontId="22" fillId="0" borderId="15" xfId="35" applyNumberFormat="1" applyFont="1" applyFill="1" applyBorder="1" applyAlignment="1">
      <alignment vertical="center"/>
    </xf>
    <xf numFmtId="165" fontId="22" fillId="0" borderId="2" xfId="36" applyNumberFormat="1" applyFont="1" applyFill="1" applyBorder="1" applyAlignment="1">
      <alignment vertical="center"/>
      <protection locked="0"/>
    </xf>
    <xf numFmtId="166" fontId="22" fillId="0" borderId="16" xfId="37" applyNumberFormat="1" applyFont="1" applyBorder="1"/>
    <xf numFmtId="165" fontId="21" fillId="0" borderId="0" xfId="36" applyNumberFormat="1" applyFont="1" applyFill="1" applyBorder="1" applyAlignment="1">
      <alignment vertical="center"/>
      <protection locked="0"/>
    </xf>
    <xf numFmtId="166" fontId="22" fillId="0" borderId="0" xfId="37" applyNumberFormat="1" applyFont="1" applyBorder="1"/>
    <xf numFmtId="0" fontId="22" fillId="0" borderId="0" xfId="2" applyFont="1" applyBorder="1"/>
    <xf numFmtId="0" fontId="22" fillId="0" borderId="0" xfId="3" applyFont="1" applyFill="1" applyBorder="1" applyAlignment="1"/>
    <xf numFmtId="166" fontId="22" fillId="0" borderId="8" xfId="36" applyNumberFormat="1" applyFont="1" applyFill="1" applyBorder="1" applyAlignment="1">
      <alignment vertical="center"/>
      <protection locked="0"/>
    </xf>
    <xf numFmtId="166" fontId="22" fillId="0" borderId="3" xfId="36" applyNumberFormat="1" applyFont="1" applyFill="1" applyBorder="1" applyAlignment="1">
      <alignment vertical="center"/>
      <protection locked="0"/>
    </xf>
    <xf numFmtId="166" fontId="22" fillId="0" borderId="13" xfId="36" applyNumberFormat="1" applyFont="1" applyFill="1" applyBorder="1" applyAlignment="1">
      <alignment vertical="center"/>
      <protection locked="0"/>
    </xf>
    <xf numFmtId="166" fontId="22" fillId="0" borderId="0" xfId="36" applyNumberFormat="1" applyFont="1" applyFill="1" applyBorder="1" applyAlignment="1">
      <alignment vertical="center"/>
      <protection locked="0"/>
    </xf>
    <xf numFmtId="0" fontId="22" fillId="0" borderId="0" xfId="3" applyFont="1" applyFill="1" applyAlignment="1"/>
    <xf numFmtId="0" fontId="22" fillId="0" borderId="0" xfId="3" applyNumberFormat="1" applyFont="1" applyFill="1" applyBorder="1" applyAlignment="1">
      <alignment vertical="center"/>
    </xf>
    <xf numFmtId="166" fontId="22" fillId="0" borderId="15" xfId="36" applyNumberFormat="1" applyFont="1" applyFill="1" applyBorder="1" applyAlignment="1">
      <alignment vertical="center"/>
      <protection locked="0"/>
    </xf>
    <xf numFmtId="166" fontId="22" fillId="0" borderId="2" xfId="36" applyNumberFormat="1" applyFont="1" applyFill="1" applyBorder="1" applyAlignment="1">
      <alignment vertical="center"/>
      <protection locked="0"/>
    </xf>
    <xf numFmtId="0" fontId="21" fillId="0" borderId="8" xfId="2" applyFont="1" applyBorder="1" applyAlignment="1">
      <alignment horizontal="left"/>
    </xf>
    <xf numFmtId="0" fontId="21" fillId="0" borderId="3" xfId="2" applyFont="1" applyBorder="1" applyAlignment="1">
      <alignment horizontal="center"/>
    </xf>
    <xf numFmtId="0" fontId="21" fillId="0" borderId="9" xfId="2" applyFont="1" applyBorder="1" applyAlignment="1">
      <alignment horizontal="center"/>
    </xf>
    <xf numFmtId="0" fontId="21" fillId="0" borderId="13" xfId="2" applyFont="1" applyBorder="1" applyAlignment="1">
      <alignment horizontal="left"/>
    </xf>
    <xf numFmtId="165" fontId="22" fillId="0" borderId="0" xfId="2" applyNumberFormat="1" applyFont="1" applyBorder="1" applyAlignment="1">
      <alignment horizontal="center"/>
    </xf>
    <xf numFmtId="165" fontId="22" fillId="0" borderId="14" xfId="2" applyNumberFormat="1" applyFont="1" applyBorder="1" applyAlignment="1">
      <alignment horizontal="center"/>
    </xf>
    <xf numFmtId="0" fontId="22" fillId="0" borderId="13" xfId="2" applyFont="1" applyBorder="1" applyAlignment="1">
      <alignment horizontal="left" indent="1"/>
    </xf>
    <xf numFmtId="41" fontId="22" fillId="0" borderId="14" xfId="2" applyNumberFormat="1" applyFont="1" applyBorder="1"/>
    <xf numFmtId="0" fontId="22" fillId="0" borderId="15" xfId="2" applyFont="1" applyBorder="1" applyAlignment="1">
      <alignment horizontal="left" indent="1"/>
    </xf>
    <xf numFmtId="0" fontId="22" fillId="0" borderId="2" xfId="2" applyFont="1" applyBorder="1"/>
    <xf numFmtId="41" fontId="22" fillId="0" borderId="16" xfId="2" applyNumberFormat="1" applyFont="1" applyBorder="1"/>
    <xf numFmtId="0" fontId="21" fillId="0" borderId="15" xfId="2" applyFont="1" applyBorder="1" applyAlignment="1">
      <alignment horizontal="left" indent="1"/>
    </xf>
    <xf numFmtId="41" fontId="21" fillId="0" borderId="16" xfId="2" applyNumberFormat="1" applyFont="1" applyBorder="1"/>
    <xf numFmtId="0" fontId="3" fillId="0" borderId="0" xfId="35" applyNumberFormat="1" applyFont="1" applyFill="1" applyAlignment="1">
      <alignment vertical="top"/>
    </xf>
    <xf numFmtId="0" fontId="5" fillId="0" borderId="0" xfId="35" applyNumberFormat="1" applyFont="1" applyFill="1" applyAlignment="1">
      <alignment horizontal="center" vertical="top"/>
    </xf>
    <xf numFmtId="166" fontId="3" fillId="0" borderId="0" xfId="35" applyNumberFormat="1" applyFont="1" applyFill="1" applyAlignment="1">
      <alignment vertical="top"/>
    </xf>
    <xf numFmtId="0" fontId="5" fillId="0" borderId="0" xfId="35" applyNumberFormat="1" applyFont="1" applyFill="1" applyAlignment="1">
      <alignment vertical="top"/>
    </xf>
    <xf numFmtId="166" fontId="5" fillId="0" borderId="0" xfId="35" applyNumberFormat="1" applyFont="1" applyFill="1" applyAlignment="1">
      <alignment vertical="top"/>
    </xf>
    <xf numFmtId="0" fontId="4" fillId="0" borderId="0" xfId="35" applyNumberFormat="1" applyFont="1" applyFill="1" applyAlignment="1">
      <alignment vertical="top"/>
    </xf>
    <xf numFmtId="166" fontId="5" fillId="0" borderId="0" xfId="2" applyNumberFormat="1" applyFont="1" applyFill="1" applyAlignment="1">
      <alignment vertical="top"/>
    </xf>
    <xf numFmtId="0" fontId="5" fillId="0" borderId="0" xfId="2" applyFont="1" applyFill="1" applyAlignment="1">
      <alignment vertical="top"/>
    </xf>
    <xf numFmtId="0" fontId="5" fillId="0" borderId="0" xfId="2" applyFont="1" applyFill="1" applyAlignment="1">
      <alignment horizontal="center"/>
    </xf>
    <xf numFmtId="166" fontId="3" fillId="0" borderId="0" xfId="35" quotePrefix="1" applyNumberFormat="1" applyFont="1" applyFill="1" applyBorder="1" applyAlignment="1">
      <alignment horizontal="center" vertical="top"/>
    </xf>
    <xf numFmtId="0" fontId="3" fillId="0" borderId="0" xfId="35" applyNumberFormat="1" applyFont="1" applyFill="1" applyBorder="1" applyAlignment="1">
      <alignment vertical="top"/>
    </xf>
    <xf numFmtId="166" fontId="5" fillId="0" borderId="0" xfId="35" quotePrefix="1" applyNumberFormat="1" applyFont="1" applyFill="1" applyBorder="1" applyAlignment="1">
      <alignment horizontal="center" vertical="top"/>
    </xf>
    <xf numFmtId="0" fontId="5" fillId="0" borderId="0" xfId="2" applyNumberFormat="1" applyFont="1" applyFill="1" applyAlignment="1">
      <alignment vertical="top"/>
    </xf>
    <xf numFmtId="166" fontId="3" fillId="0" borderId="0" xfId="2" applyNumberFormat="1" applyFont="1" applyFill="1" applyAlignment="1">
      <alignment vertical="top"/>
    </xf>
    <xf numFmtId="0" fontId="3" fillId="0" borderId="0" xfId="2" applyFont="1" applyFill="1" applyAlignment="1">
      <alignment horizontal="center" vertical="top"/>
    </xf>
    <xf numFmtId="0" fontId="5" fillId="0" borderId="0" xfId="2" applyNumberFormat="1" applyFont="1" applyFill="1" applyAlignment="1" applyProtection="1">
      <alignment vertical="top"/>
      <protection locked="0"/>
    </xf>
    <xf numFmtId="3" fontId="5" fillId="0" borderId="0" xfId="35" applyNumberFormat="1" applyFont="1" applyFill="1" applyAlignment="1">
      <alignment vertical="top"/>
    </xf>
    <xf numFmtId="3" fontId="5" fillId="0" borderId="0" xfId="35" applyNumberFormat="1" applyFont="1" applyFill="1" applyBorder="1" applyAlignment="1">
      <alignment vertical="top"/>
    </xf>
    <xf numFmtId="0" fontId="5" fillId="0" borderId="0" xfId="2" applyFont="1" applyFill="1" applyAlignment="1" applyProtection="1">
      <alignment horizontal="center" vertical="top"/>
      <protection locked="0"/>
    </xf>
    <xf numFmtId="166" fontId="5" fillId="0" borderId="0" xfId="2" applyNumberFormat="1" applyFont="1" applyFill="1" applyAlignment="1" applyProtection="1">
      <alignment horizontal="center" vertical="top"/>
      <protection locked="0"/>
    </xf>
    <xf numFmtId="166" fontId="5" fillId="0" borderId="0" xfId="2" applyNumberFormat="1" applyFont="1" applyFill="1" applyAlignment="1" applyProtection="1">
      <alignment vertical="top"/>
      <protection locked="0"/>
    </xf>
    <xf numFmtId="0" fontId="5" fillId="0" borderId="0" xfId="2" applyFont="1" applyFill="1" applyBorder="1"/>
    <xf numFmtId="0" fontId="3" fillId="0" borderId="0" xfId="2" applyNumberFormat="1" applyFont="1" applyFill="1" applyAlignment="1" applyProtection="1">
      <alignment vertical="top"/>
      <protection locked="0"/>
    </xf>
    <xf numFmtId="166" fontId="3" fillId="0" borderId="0" xfId="2" applyNumberFormat="1" applyFont="1" applyFill="1" applyBorder="1" applyAlignment="1" applyProtection="1">
      <alignment horizontal="center" vertical="top"/>
      <protection locked="0"/>
    </xf>
    <xf numFmtId="0" fontId="5" fillId="0" borderId="0" xfId="2" applyFont="1" applyFill="1" applyBorder="1" applyAlignment="1" applyProtection="1">
      <alignment horizontal="center" vertical="top"/>
      <protection locked="0"/>
    </xf>
    <xf numFmtId="166" fontId="5" fillId="0" borderId="0" xfId="2" applyNumberFormat="1" applyFont="1" applyFill="1" applyBorder="1" applyAlignment="1" applyProtection="1">
      <alignment horizontal="center" vertical="top"/>
      <protection locked="0"/>
    </xf>
    <xf numFmtId="166" fontId="5" fillId="0" borderId="0" xfId="2" applyNumberFormat="1" applyFont="1" applyFill="1"/>
    <xf numFmtId="166" fontId="5" fillId="0" borderId="0" xfId="35" applyNumberFormat="1" applyFont="1" applyFill="1" applyBorder="1"/>
    <xf numFmtId="166" fontId="5" fillId="0" borderId="0" xfId="35" applyNumberFormat="1" applyFont="1" applyFill="1" applyBorder="1" applyAlignment="1">
      <alignment vertical="top"/>
    </xf>
    <xf numFmtId="0" fontId="3" fillId="0" borderId="0" xfId="2" applyNumberFormat="1" applyFont="1" applyFill="1" applyAlignment="1" applyProtection="1">
      <alignment vertical="center"/>
      <protection locked="0"/>
    </xf>
    <xf numFmtId="3" fontId="5" fillId="0" borderId="0" xfId="35" applyNumberFormat="1" applyFont="1" applyFill="1" applyAlignment="1">
      <alignment vertical="center"/>
    </xf>
    <xf numFmtId="3" fontId="5" fillId="0" borderId="0" xfId="35" applyNumberFormat="1" applyFont="1" applyFill="1" applyBorder="1" applyAlignment="1">
      <alignment vertical="center"/>
    </xf>
    <xf numFmtId="0" fontId="5" fillId="0" borderId="0" xfId="2" applyFont="1" applyFill="1" applyAlignment="1" applyProtection="1">
      <alignment horizontal="center" vertical="center"/>
      <protection locked="0"/>
    </xf>
    <xf numFmtId="166" fontId="3" fillId="0" borderId="7" xfId="2" applyNumberFormat="1" applyFont="1" applyFill="1" applyBorder="1" applyAlignment="1" applyProtection="1">
      <alignment horizontal="center" vertical="center"/>
      <protection locked="0"/>
    </xf>
    <xf numFmtId="166" fontId="5" fillId="0" borderId="7" xfId="2" applyNumberFormat="1" applyFont="1" applyFill="1" applyBorder="1" applyAlignment="1" applyProtection="1">
      <alignment horizontal="center" vertical="center"/>
      <protection locked="0"/>
    </xf>
    <xf numFmtId="0" fontId="5" fillId="0" borderId="0" xfId="2" applyFont="1" applyFill="1" applyAlignment="1">
      <alignment vertical="center"/>
    </xf>
    <xf numFmtId="0" fontId="5" fillId="0" borderId="0" xfId="2" applyFont="1" applyFill="1" applyBorder="1" applyAlignment="1">
      <alignment vertical="center"/>
    </xf>
    <xf numFmtId="3" fontId="3" fillId="0" borderId="0" xfId="35" applyNumberFormat="1" applyFont="1" applyFill="1" applyAlignment="1">
      <alignment vertical="top"/>
    </xf>
    <xf numFmtId="3" fontId="5" fillId="0" borderId="0" xfId="35" applyNumberFormat="1" applyFont="1" applyFill="1" applyBorder="1" applyAlignment="1">
      <alignment horizontal="center" vertical="top"/>
    </xf>
    <xf numFmtId="41" fontId="5" fillId="0" borderId="0" xfId="35" applyNumberFormat="1" applyFont="1" applyFill="1" applyBorder="1" applyAlignment="1">
      <alignment vertical="top"/>
    </xf>
    <xf numFmtId="0" fontId="5" fillId="0" borderId="0" xfId="2" applyFont="1" applyFill="1" applyAlignment="1">
      <alignment horizontal="center" vertical="top"/>
    </xf>
    <xf numFmtId="166" fontId="5" fillId="0" borderId="0" xfId="2" applyNumberFormat="1" applyFont="1" applyFill="1" applyAlignment="1">
      <alignment horizontal="center" vertical="top"/>
    </xf>
    <xf numFmtId="37" fontId="5" fillId="0" borderId="0" xfId="2" applyNumberFormat="1" applyFont="1" applyFill="1" applyAlignment="1">
      <alignment horizontal="center" vertical="top"/>
    </xf>
    <xf numFmtId="43" fontId="9" fillId="0" borderId="0" xfId="35" applyFont="1" applyFill="1" applyBorder="1"/>
    <xf numFmtId="166" fontId="9" fillId="0" borderId="0" xfId="2" applyNumberFormat="1" applyFont="1" applyFill="1" applyBorder="1"/>
    <xf numFmtId="43" fontId="5" fillId="0" borderId="0" xfId="2" applyNumberFormat="1" applyFont="1" applyFill="1" applyBorder="1"/>
    <xf numFmtId="166" fontId="3" fillId="0" borderId="0" xfId="2" applyNumberFormat="1" applyFont="1" applyFill="1" applyAlignment="1">
      <alignment horizontal="center" vertical="top"/>
    </xf>
    <xf numFmtId="0" fontId="3" fillId="0" borderId="0" xfId="2" applyFont="1" applyFill="1" applyAlignment="1">
      <alignment vertical="top"/>
    </xf>
    <xf numFmtId="166" fontId="5" fillId="5" borderId="0" xfId="2" applyNumberFormat="1" applyFont="1" applyFill="1"/>
    <xf numFmtId="0" fontId="3" fillId="5" borderId="0" xfId="2" applyFont="1" applyFill="1" applyBorder="1"/>
    <xf numFmtId="0" fontId="5" fillId="5" borderId="0" xfId="2" applyFont="1" applyFill="1"/>
    <xf numFmtId="0" fontId="3" fillId="5" borderId="0" xfId="2" applyFont="1" applyFill="1"/>
    <xf numFmtId="0" fontId="3" fillId="0" borderId="0" xfId="0" applyNumberFormat="1" applyFont="1" applyFill="1" applyAlignment="1">
      <alignment horizontal="left" indent="2"/>
    </xf>
    <xf numFmtId="0" fontId="3" fillId="0" borderId="0" xfId="0" applyNumberFormat="1" applyFont="1" applyFill="1" applyAlignment="1">
      <alignment horizontal="left" indent="1"/>
    </xf>
    <xf numFmtId="43" fontId="5" fillId="0" borderId="0" xfId="2" applyNumberFormat="1" applyFont="1" applyFill="1"/>
    <xf numFmtId="0" fontId="5" fillId="0" borderId="0" xfId="2" applyNumberFormat="1" applyFont="1" applyFill="1" applyBorder="1" applyAlignment="1">
      <alignment vertical="top"/>
    </xf>
    <xf numFmtId="0" fontId="3" fillId="0" borderId="0" xfId="2" applyFont="1" applyFill="1" applyBorder="1" applyAlignment="1">
      <alignment horizontal="center" vertical="top"/>
    </xf>
    <xf numFmtId="0" fontId="3" fillId="0" borderId="0" xfId="2" applyFont="1" applyFill="1" applyBorder="1" applyAlignment="1">
      <alignment vertical="top"/>
    </xf>
    <xf numFmtId="0" fontId="5" fillId="0" borderId="0" xfId="2" applyFont="1" applyFill="1" applyBorder="1" applyAlignment="1">
      <alignment vertical="top"/>
    </xf>
    <xf numFmtId="9" fontId="5" fillId="0" borderId="0" xfId="16" applyFont="1" applyFill="1"/>
    <xf numFmtId="0" fontId="3" fillId="0" borderId="0" xfId="2" applyFont="1" applyFill="1"/>
    <xf numFmtId="166" fontId="5" fillId="0" borderId="0" xfId="2" applyNumberFormat="1" applyFont="1" applyFill="1" applyBorder="1"/>
    <xf numFmtId="0" fontId="3" fillId="0" borderId="0" xfId="0" applyFont="1" applyFill="1" applyAlignment="1">
      <alignment vertical="top"/>
    </xf>
    <xf numFmtId="0" fontId="8" fillId="0" borderId="0" xfId="0" applyFont="1" applyFill="1" applyAlignment="1">
      <alignment vertical="top"/>
    </xf>
    <xf numFmtId="0" fontId="8" fillId="0" borderId="0" xfId="1" applyNumberFormat="1" applyFont="1" applyFill="1" applyAlignment="1">
      <alignment vertical="top"/>
      <protection locked="0"/>
    </xf>
    <xf numFmtId="166" fontId="8" fillId="0" borderId="0" xfId="1" applyNumberFormat="1" applyFont="1" applyFill="1" applyAlignment="1">
      <alignment vertical="top"/>
      <protection locked="0"/>
    </xf>
    <xf numFmtId="166" fontId="8" fillId="0" borderId="0" xfId="3" applyNumberFormat="1" applyFont="1" applyFill="1" applyAlignment="1">
      <alignment vertical="top"/>
    </xf>
    <xf numFmtId="166" fontId="8" fillId="0" borderId="0" xfId="1" quotePrefix="1" applyNumberFormat="1" applyFont="1" applyFill="1" applyBorder="1" applyAlignment="1">
      <alignment horizontal="center" vertical="top"/>
      <protection locked="0"/>
    </xf>
    <xf numFmtId="0" fontId="8" fillId="0" borderId="0" xfId="3" applyFont="1" applyFill="1" applyAlignment="1">
      <alignment horizontal="center" vertical="top"/>
    </xf>
    <xf numFmtId="166" fontId="8" fillId="0" borderId="0" xfId="3" applyNumberFormat="1" applyFont="1" applyFill="1" applyAlignment="1">
      <alignment horizontal="center" vertical="top"/>
    </xf>
    <xf numFmtId="0" fontId="8" fillId="0" borderId="0" xfId="3" applyFont="1" applyFill="1" applyAlignment="1">
      <alignment horizontal="left" vertical="top"/>
    </xf>
    <xf numFmtId="166" fontId="8" fillId="0" borderId="0" xfId="1" applyNumberFormat="1" applyFont="1" applyFill="1" applyAlignment="1">
      <alignment horizontal="right" vertical="top"/>
      <protection locked="0"/>
    </xf>
    <xf numFmtId="166" fontId="8" fillId="0" borderId="0" xfId="1" applyNumberFormat="1" applyFont="1" applyFill="1" applyBorder="1" applyAlignment="1">
      <alignment horizontal="right" vertical="top"/>
      <protection locked="0"/>
    </xf>
    <xf numFmtId="166" fontId="8" fillId="0" borderId="3" xfId="1" applyNumberFormat="1" applyFont="1" applyFill="1" applyBorder="1" applyAlignment="1">
      <alignment horizontal="right" vertical="top"/>
      <protection locked="0"/>
    </xf>
    <xf numFmtId="166" fontId="8" fillId="0" borderId="4" xfId="1" applyNumberFormat="1" applyFont="1" applyFill="1" applyBorder="1" applyAlignment="1">
      <alignment horizontal="right" vertical="top"/>
      <protection locked="0"/>
    </xf>
    <xf numFmtId="166" fontId="8" fillId="0" borderId="5" xfId="1" applyNumberFormat="1" applyFont="1" applyFill="1" applyBorder="1" applyAlignment="1">
      <alignment horizontal="right" vertical="top"/>
      <protection locked="0"/>
    </xf>
    <xf numFmtId="0" fontId="8" fillId="0" borderId="0" xfId="1" applyNumberFormat="1" applyFont="1" applyFill="1" applyAlignment="1">
      <alignment horizontal="left" vertical="top" indent="1"/>
      <protection locked="0"/>
    </xf>
    <xf numFmtId="0" fontId="8" fillId="0" borderId="0" xfId="1" quotePrefix="1" applyNumberFormat="1" applyFont="1" applyFill="1" applyBorder="1" applyAlignment="1">
      <alignment horizontal="center" vertical="top"/>
      <protection locked="0"/>
    </xf>
    <xf numFmtId="0" fontId="8" fillId="0" borderId="0" xfId="1" applyNumberFormat="1" applyFont="1" applyFill="1" applyAlignment="1">
      <alignment horizontal="left" vertical="top"/>
      <protection locked="0"/>
    </xf>
    <xf numFmtId="166" fontId="8" fillId="0" borderId="6" xfId="1" applyNumberFormat="1" applyFont="1" applyFill="1" applyBorder="1" applyAlignment="1">
      <alignment horizontal="right" vertical="top"/>
      <protection locked="0"/>
    </xf>
    <xf numFmtId="3" fontId="8" fillId="0" borderId="0" xfId="1" applyNumberFormat="1" applyFont="1" applyFill="1" applyAlignment="1">
      <alignment vertical="top"/>
      <protection locked="0"/>
    </xf>
    <xf numFmtId="3" fontId="8" fillId="0" borderId="0" xfId="1" applyNumberFormat="1" applyFont="1" applyFill="1" applyBorder="1" applyAlignment="1">
      <alignment vertical="top"/>
      <protection locked="0"/>
    </xf>
    <xf numFmtId="3" fontId="8" fillId="0" borderId="0" xfId="3" applyNumberFormat="1" applyFont="1" applyFill="1" applyAlignment="1">
      <alignment vertical="top"/>
    </xf>
    <xf numFmtId="0" fontId="8" fillId="0" borderId="0" xfId="3" quotePrefix="1" applyFont="1" applyFill="1" applyAlignment="1" applyProtection="1">
      <alignment horizontal="center" vertical="top"/>
      <protection locked="0"/>
    </xf>
    <xf numFmtId="166" fontId="8" fillId="0" borderId="0" xfId="3" applyNumberFormat="1" applyFont="1" applyFill="1" applyAlignment="1" applyProtection="1">
      <alignment horizontal="center" vertical="top"/>
      <protection locked="0"/>
    </xf>
    <xf numFmtId="166" fontId="8" fillId="0" borderId="0" xfId="3" applyNumberFormat="1" applyFont="1" applyFill="1" applyAlignment="1" applyProtection="1">
      <alignment vertical="top"/>
      <protection locked="0"/>
    </xf>
    <xf numFmtId="166" fontId="8" fillId="0" borderId="0" xfId="3" applyNumberFormat="1" applyFont="1" applyFill="1" applyBorder="1" applyAlignment="1" applyProtection="1">
      <alignment horizontal="center" vertical="top"/>
      <protection locked="0"/>
    </xf>
    <xf numFmtId="3" fontId="8" fillId="0" borderId="0" xfId="1" quotePrefix="1" applyNumberFormat="1" applyFont="1" applyFill="1" applyBorder="1" applyAlignment="1">
      <alignment horizontal="center" vertical="top"/>
      <protection locked="0"/>
    </xf>
    <xf numFmtId="41" fontId="8" fillId="0" borderId="0" xfId="1" applyNumberFormat="1" applyFont="1" applyFill="1" applyBorder="1" applyAlignment="1">
      <alignment vertical="top"/>
      <protection locked="0"/>
    </xf>
    <xf numFmtId="0" fontId="8" fillId="0" borderId="0" xfId="1" applyNumberFormat="1" applyFont="1" applyFill="1" applyBorder="1" applyAlignment="1">
      <alignment vertical="top"/>
      <protection locked="0"/>
    </xf>
    <xf numFmtId="166" fontId="8" fillId="0" borderId="0" xfId="3" applyNumberFormat="1" applyFont="1" applyFill="1" applyBorder="1" applyAlignment="1">
      <alignment vertical="top"/>
    </xf>
    <xf numFmtId="166" fontId="13" fillId="0" borderId="3" xfId="1" applyNumberFormat="1" applyFont="1" applyFill="1" applyBorder="1" applyAlignment="1">
      <alignment horizontal="right" vertical="top"/>
      <protection locked="0"/>
    </xf>
    <xf numFmtId="166" fontId="12" fillId="0" borderId="0" xfId="32" applyNumberFormat="1" applyFont="1" applyFill="1" applyAlignment="1"/>
    <xf numFmtId="0" fontId="8" fillId="0" borderId="0" xfId="0" applyFont="1" applyFill="1" applyAlignment="1">
      <alignment horizontal="left" indent="1"/>
    </xf>
    <xf numFmtId="166" fontId="3" fillId="0" borderId="0" xfId="9" applyNumberFormat="1" applyFont="1" applyFill="1" applyBorder="1"/>
    <xf numFmtId="0" fontId="8" fillId="0" borderId="0" xfId="7" applyFont="1" applyFill="1"/>
    <xf numFmtId="0" fontId="8" fillId="0" borderId="0" xfId="8" applyFont="1" applyFill="1"/>
    <xf numFmtId="16" fontId="8" fillId="0" borderId="0" xfId="7" quotePrefix="1" applyNumberFormat="1" applyFont="1" applyFill="1" applyAlignment="1">
      <alignment horizontal="center" vertical="center" wrapText="1"/>
    </xf>
    <xf numFmtId="166" fontId="8" fillId="0" borderId="0" xfId="8" applyNumberFormat="1" applyFont="1" applyFill="1"/>
    <xf numFmtId="43" fontId="8" fillId="0" borderId="0" xfId="9" applyFont="1" applyFill="1"/>
    <xf numFmtId="0" fontId="8" fillId="0" borderId="0" xfId="7" applyFont="1" applyFill="1" applyAlignment="1">
      <alignment horizontal="centerContinuous"/>
    </xf>
    <xf numFmtId="166" fontId="8" fillId="0" borderId="0" xfId="9" applyNumberFormat="1" applyFont="1" applyFill="1"/>
    <xf numFmtId="166" fontId="8" fillId="0" borderId="0" xfId="9" applyNumberFormat="1" applyFont="1" applyFill="1" applyBorder="1" applyAlignment="1"/>
    <xf numFmtId="0" fontId="8" fillId="0" borderId="0" xfId="7" applyFont="1" applyFill="1" applyAlignment="1"/>
    <xf numFmtId="166" fontId="8" fillId="0" borderId="4" xfId="9" applyNumberFormat="1" applyFont="1" applyFill="1" applyBorder="1" applyAlignment="1"/>
    <xf numFmtId="166" fontId="8" fillId="0" borderId="0" xfId="9" applyNumberFormat="1" applyFont="1" applyFill="1" applyBorder="1" applyAlignment="1">
      <alignment horizontal="center"/>
    </xf>
    <xf numFmtId="0" fontId="8" fillId="0" borderId="0" xfId="8" applyFont="1" applyFill="1" applyBorder="1"/>
    <xf numFmtId="166" fontId="8" fillId="0" borderId="6" xfId="1" applyNumberFormat="1" applyFont="1" applyFill="1" applyBorder="1" applyAlignment="1" applyProtection="1">
      <alignment vertical="top"/>
    </xf>
    <xf numFmtId="166" fontId="8" fillId="0" borderId="6" xfId="9" applyNumberFormat="1" applyFont="1" applyFill="1" applyBorder="1" applyAlignment="1"/>
    <xf numFmtId="0" fontId="8" fillId="0" borderId="0" xfId="7" applyFont="1" applyFill="1" applyAlignment="1">
      <alignment horizontal="left" indent="2"/>
    </xf>
    <xf numFmtId="166" fontId="8" fillId="0" borderId="0" xfId="9" applyNumberFormat="1" applyFont="1" applyFill="1" applyAlignment="1">
      <alignment horizontal="center"/>
    </xf>
    <xf numFmtId="0" fontId="8" fillId="0" borderId="0" xfId="10" applyFont="1" applyFill="1"/>
    <xf numFmtId="0" fontId="8" fillId="0" borderId="0" xfId="10" applyFont="1" applyFill="1" applyAlignment="1">
      <alignment horizontal="center"/>
    </xf>
    <xf numFmtId="0" fontId="8" fillId="0" borderId="0" xfId="11" applyFont="1" applyFill="1" applyAlignment="1">
      <alignment horizontal="center"/>
    </xf>
    <xf numFmtId="0" fontId="8" fillId="0" borderId="0" xfId="7" applyFont="1" applyFill="1" applyBorder="1"/>
    <xf numFmtId="0" fontId="8" fillId="0" borderId="0" xfId="10" applyFont="1" applyFill="1" applyBorder="1"/>
    <xf numFmtId="0" fontId="8" fillId="0" borderId="0" xfId="10" applyFont="1" applyFill="1" applyAlignment="1">
      <alignment horizontal="left" indent="1"/>
    </xf>
    <xf numFmtId="0" fontId="8" fillId="0" borderId="0" xfId="10" applyFont="1" applyFill="1" applyAlignment="1">
      <alignment horizontal="left" vertical="top"/>
    </xf>
    <xf numFmtId="166" fontId="23" fillId="0" borderId="0" xfId="6" applyNumberFormat="1" applyFont="1" applyFill="1" applyBorder="1"/>
    <xf numFmtId="0" fontId="8" fillId="0" borderId="0" xfId="10" quotePrefix="1" applyFont="1" applyFill="1" applyAlignment="1">
      <alignment horizontal="left"/>
    </xf>
    <xf numFmtId="166" fontId="8" fillId="0" borderId="0" xfId="9" applyNumberFormat="1" applyFont="1" applyFill="1" applyBorder="1"/>
    <xf numFmtId="0" fontId="8" fillId="0" borderId="0" xfId="10" quotePrefix="1" applyFont="1" applyFill="1" applyAlignment="1">
      <alignment horizontal="left" indent="1"/>
    </xf>
    <xf numFmtId="166" fontId="8" fillId="0" borderId="0" xfId="7" applyNumberFormat="1" applyFont="1" applyFill="1" applyBorder="1"/>
    <xf numFmtId="0" fontId="8" fillId="0" borderId="0" xfId="7" applyFont="1" applyFill="1" applyAlignment="1">
      <alignment vertical="center"/>
    </xf>
    <xf numFmtId="0" fontId="8" fillId="0" borderId="0" xfId="8" applyFont="1" applyFill="1" applyAlignment="1">
      <alignment vertical="center"/>
    </xf>
    <xf numFmtId="168" fontId="8" fillId="0" borderId="0" xfId="7" applyNumberFormat="1" applyFont="1" applyFill="1"/>
    <xf numFmtId="0" fontId="8" fillId="0" borderId="0" xfId="7" applyFont="1" applyFill="1" applyBorder="1" applyAlignment="1"/>
    <xf numFmtId="0" fontId="3" fillId="0" borderId="0" xfId="0" applyFont="1" applyFill="1" applyAlignment="1">
      <alignment vertical="center"/>
    </xf>
    <xf numFmtId="0" fontId="19" fillId="0" borderId="0" xfId="0" applyFont="1" applyFill="1" applyAlignment="1">
      <alignment horizontal="left" indent="1"/>
    </xf>
    <xf numFmtId="0" fontId="8" fillId="0" borderId="0" xfId="0" quotePrefix="1" applyFont="1" applyFill="1" applyAlignment="1">
      <alignment horizontal="left" indent="1"/>
    </xf>
    <xf numFmtId="0" fontId="8" fillId="0" borderId="0" xfId="7" applyFont="1" applyFill="1" applyBorder="1" applyAlignment="1">
      <alignment vertical="center"/>
    </xf>
    <xf numFmtId="166" fontId="3" fillId="0" borderId="0" xfId="9" applyNumberFormat="1" applyFont="1" applyFill="1" applyBorder="1" applyAlignment="1">
      <alignment vertical="center"/>
    </xf>
    <xf numFmtId="166" fontId="8" fillId="0" borderId="0" xfId="9" applyNumberFormat="1" applyFont="1" applyFill="1" applyBorder="1" applyAlignment="1">
      <alignment vertical="center"/>
    </xf>
    <xf numFmtId="0" fontId="3" fillId="0" borderId="0" xfId="7" applyFont="1" applyFill="1" applyBorder="1" applyAlignment="1">
      <alignment vertical="center"/>
    </xf>
    <xf numFmtId="0" fontId="8" fillId="0" borderId="0" xfId="7" applyFont="1" applyFill="1" applyAlignment="1">
      <alignment vertical="top" wrapText="1"/>
    </xf>
    <xf numFmtId="166" fontId="8" fillId="0" borderId="4" xfId="9" applyNumberFormat="1" applyFont="1" applyFill="1" applyBorder="1"/>
    <xf numFmtId="166" fontId="3" fillId="0" borderId="3" xfId="9" applyNumberFormat="1" applyFont="1" applyFill="1" applyBorder="1"/>
    <xf numFmtId="166" fontId="8" fillId="0" borderId="3" xfId="9" applyNumberFormat="1" applyFont="1" applyFill="1" applyBorder="1"/>
    <xf numFmtId="166" fontId="8" fillId="0" borderId="3" xfId="6" applyNumberFormat="1" applyFont="1" applyFill="1" applyBorder="1"/>
    <xf numFmtId="166" fontId="8" fillId="0" borderId="3" xfId="9" applyNumberFormat="1" applyFont="1" applyFill="1" applyBorder="1" applyAlignment="1">
      <alignment vertical="center"/>
    </xf>
    <xf numFmtId="9" fontId="8" fillId="0" borderId="0" xfId="30" applyFont="1" applyFill="1" applyBorder="1" applyAlignment="1" applyProtection="1">
      <alignment horizontal="center" vertical="top"/>
      <protection locked="0"/>
    </xf>
    <xf numFmtId="0" fontId="3" fillId="0" borderId="0" xfId="0" applyFont="1" applyFill="1" applyAlignment="1">
      <alignment horizontal="left" indent="5"/>
    </xf>
    <xf numFmtId="166" fontId="13" fillId="0" borderId="0" xfId="8" applyNumberFormat="1" applyFont="1" applyFill="1" applyBorder="1"/>
    <xf numFmtId="3" fontId="8" fillId="0" borderId="4" xfId="8" applyNumberFormat="1" applyFont="1" applyFill="1" applyBorder="1"/>
    <xf numFmtId="166" fontId="3" fillId="0" borderId="1" xfId="1" applyNumberFormat="1" applyFont="1" applyFill="1" applyBorder="1" applyAlignment="1">
      <alignment vertical="center"/>
      <protection locked="0"/>
    </xf>
    <xf numFmtId="43" fontId="8" fillId="0" borderId="0" xfId="32" applyFont="1" applyFill="1" applyAlignment="1">
      <alignment vertical="top" wrapText="1"/>
    </xf>
    <xf numFmtId="166" fontId="8" fillId="0" borderId="0" xfId="32" applyNumberFormat="1" applyFont="1" applyFill="1" applyAlignment="1">
      <alignment vertical="top" wrapText="1"/>
    </xf>
    <xf numFmtId="166" fontId="13" fillId="0" borderId="0" xfId="32" applyNumberFormat="1" applyFont="1" applyFill="1" applyAlignment="1">
      <alignment vertical="top" wrapText="1"/>
    </xf>
    <xf numFmtId="3" fontId="8" fillId="0" borderId="0" xfId="8" applyNumberFormat="1" applyFont="1" applyFill="1"/>
    <xf numFmtId="43" fontId="8" fillId="0" borderId="0" xfId="6" applyNumberFormat="1" applyFont="1" applyFill="1" applyBorder="1" applyAlignment="1">
      <alignment horizontal="center" vertical="center"/>
    </xf>
    <xf numFmtId="43" fontId="8" fillId="0" borderId="0" xfId="3" applyNumberFormat="1" applyFont="1" applyFill="1" applyBorder="1" applyAlignment="1">
      <alignment vertical="center"/>
    </xf>
    <xf numFmtId="0" fontId="3" fillId="0" borderId="0" xfId="3" applyFont="1" applyFill="1" applyAlignment="1">
      <alignment horizontal="center" vertical="top"/>
    </xf>
    <xf numFmtId="0" fontId="5" fillId="0" borderId="0" xfId="8" applyFont="1" applyFill="1" applyAlignment="1">
      <alignment horizontal="justify" vertical="top" wrapText="1"/>
    </xf>
    <xf numFmtId="0" fontId="3" fillId="0" borderId="0" xfId="3" applyFont="1" applyFill="1" applyBorder="1" applyAlignment="1">
      <alignment horizontal="center" vertical="center"/>
    </xf>
    <xf numFmtId="0" fontId="8" fillId="0" borderId="0" xfId="17" applyFont="1" applyFill="1" applyAlignment="1">
      <alignment horizontal="right"/>
    </xf>
    <xf numFmtId="43" fontId="24" fillId="0" borderId="0" xfId="0" applyNumberFormat="1" applyFont="1" applyBorder="1"/>
    <xf numFmtId="43" fontId="24" fillId="0" borderId="0" xfId="32" applyFont="1" applyBorder="1"/>
    <xf numFmtId="0" fontId="24" fillId="0" borderId="0" xfId="0" applyFont="1"/>
    <xf numFmtId="43" fontId="24" fillId="0" borderId="0" xfId="32" applyFont="1"/>
    <xf numFmtId="43" fontId="25" fillId="0" borderId="0" xfId="0" applyNumberFormat="1" applyFont="1" applyBorder="1"/>
    <xf numFmtId="0" fontId="3" fillId="0" borderId="0" xfId="3" quotePrefix="1" applyNumberFormat="1" applyFont="1" applyFill="1" applyAlignment="1" applyProtection="1">
      <alignment vertical="top"/>
      <protection locked="0"/>
    </xf>
    <xf numFmtId="0" fontId="3" fillId="0" borderId="0" xfId="3" applyFont="1" applyFill="1" applyAlignment="1">
      <alignment horizontal="left"/>
    </xf>
    <xf numFmtId="0" fontId="3" fillId="0" borderId="0" xfId="3" applyNumberFormat="1" applyFont="1" applyFill="1" applyAlignment="1">
      <alignment horizontal="left" indent="1"/>
    </xf>
    <xf numFmtId="0" fontId="5" fillId="0" borderId="0" xfId="8" applyFont="1" applyFill="1" applyBorder="1" applyAlignment="1">
      <alignment horizontal="justify" vertical="top" wrapText="1"/>
    </xf>
    <xf numFmtId="0" fontId="3" fillId="0" borderId="0" xfId="3" quotePrefix="1" applyFont="1" applyFill="1" applyBorder="1" applyAlignment="1">
      <alignment wrapText="1"/>
    </xf>
    <xf numFmtId="49" fontId="3" fillId="0" borderId="0" xfId="1" quotePrefix="1" applyNumberFormat="1" applyFont="1" applyFill="1" applyBorder="1" applyAlignment="1">
      <alignment vertical="center"/>
      <protection locked="0"/>
    </xf>
    <xf numFmtId="16" fontId="3" fillId="0" borderId="0" xfId="1" quotePrefix="1" applyNumberFormat="1" applyFont="1" applyFill="1" applyBorder="1" applyAlignment="1">
      <alignment vertical="center"/>
      <protection locked="0"/>
    </xf>
    <xf numFmtId="16" fontId="3" fillId="0" borderId="2" xfId="1" quotePrefix="1" applyNumberFormat="1" applyFont="1" applyFill="1" applyBorder="1" applyAlignment="1">
      <alignment vertical="center"/>
      <protection locked="0"/>
    </xf>
    <xf numFmtId="0" fontId="8" fillId="0" borderId="0" xfId="3" applyFont="1" applyFill="1" applyBorder="1" applyAlignment="1">
      <alignment horizontal="center" vertical="top"/>
    </xf>
    <xf numFmtId="0" fontId="3" fillId="0" borderId="0" xfId="5" quotePrefix="1" applyFont="1" applyFill="1" applyBorder="1" applyAlignment="1"/>
    <xf numFmtId="0" fontId="3" fillId="0" borderId="0" xfId="5" applyFont="1" applyFill="1" applyBorder="1" applyAlignment="1"/>
    <xf numFmtId="0" fontId="3" fillId="0" borderId="0" xfId="5" applyFont="1" applyFill="1" applyAlignment="1"/>
    <xf numFmtId="0" fontId="3" fillId="0" borderId="0" xfId="5" quotePrefix="1" applyFont="1" applyFill="1" applyAlignment="1"/>
    <xf numFmtId="0" fontId="8" fillId="0" borderId="0" xfId="3" applyFont="1" applyFill="1" applyBorder="1" applyAlignment="1">
      <alignment horizontal="left" indent="1"/>
    </xf>
    <xf numFmtId="166" fontId="3" fillId="0" borderId="0" xfId="1" applyNumberFormat="1" applyFont="1" applyFill="1" applyBorder="1" applyAlignment="1">
      <protection locked="0"/>
    </xf>
    <xf numFmtId="166" fontId="8" fillId="0" borderId="0" xfId="1" applyNumberFormat="1" applyFont="1" applyFill="1" applyBorder="1" applyAlignment="1">
      <protection locked="0"/>
    </xf>
    <xf numFmtId="0" fontId="3" fillId="0" borderId="0" xfId="3" applyFont="1" applyFill="1" applyBorder="1" applyAlignment="1">
      <alignment horizontal="left" indent="1"/>
    </xf>
    <xf numFmtId="166" fontId="3" fillId="0" borderId="0" xfId="1" applyNumberFormat="1" applyFont="1" applyFill="1" applyAlignment="1">
      <protection locked="0"/>
    </xf>
    <xf numFmtId="166" fontId="8" fillId="0" borderId="0" xfId="1" applyNumberFormat="1" applyFont="1" applyFill="1" applyAlignment="1">
      <protection locked="0"/>
    </xf>
    <xf numFmtId="165" fontId="3" fillId="0" borderId="0" xfId="1" applyNumberFormat="1" applyFont="1" applyFill="1" applyBorder="1" applyAlignment="1">
      <protection locked="0"/>
    </xf>
    <xf numFmtId="165" fontId="8" fillId="0" borderId="0" xfId="1" applyNumberFormat="1" applyFont="1" applyFill="1" applyBorder="1" applyAlignment="1">
      <protection locked="0"/>
    </xf>
    <xf numFmtId="49" fontId="8" fillId="0" borderId="0" xfId="3" quotePrefix="1" applyNumberFormat="1" applyFont="1" applyFill="1" applyBorder="1" applyAlignment="1" applyProtection="1">
      <alignment horizontal="center"/>
    </xf>
    <xf numFmtId="0" fontId="8" fillId="0" borderId="0" xfId="3" applyNumberFormat="1" applyFont="1" applyFill="1" applyBorder="1" applyAlignment="1">
      <alignment horizontal="left" indent="1"/>
    </xf>
    <xf numFmtId="166" fontId="8" fillId="0" borderId="0" xfId="3" applyNumberFormat="1" applyFont="1" applyFill="1" applyBorder="1" applyAlignment="1">
      <alignment horizontal="center"/>
    </xf>
    <xf numFmtId="0" fontId="3" fillId="0" borderId="0" xfId="3" quotePrefix="1" applyFont="1" applyFill="1" applyBorder="1" applyAlignment="1">
      <alignment horizontal="center" vertical="center"/>
    </xf>
    <xf numFmtId="0" fontId="3" fillId="0" borderId="0" xfId="3" applyNumberFormat="1" applyFont="1" applyFill="1" applyBorder="1" applyAlignment="1">
      <alignment horizontal="left" vertical="top" indent="1"/>
    </xf>
    <xf numFmtId="0" fontId="5" fillId="0" borderId="0" xfId="8" applyNumberFormat="1" applyFont="1" applyFill="1" applyAlignment="1"/>
    <xf numFmtId="0" fontId="5" fillId="0" borderId="0" xfId="3" applyFont="1" applyFill="1" applyBorder="1" applyAlignment="1">
      <alignment horizontal="left" indent="1"/>
    </xf>
    <xf numFmtId="165" fontId="3" fillId="0" borderId="0" xfId="1" applyNumberFormat="1" applyFont="1" applyFill="1" applyBorder="1" applyAlignment="1">
      <alignment vertical="center"/>
      <protection locked="0"/>
    </xf>
    <xf numFmtId="37" fontId="13" fillId="0" borderId="4" xfId="8" applyNumberFormat="1" applyFont="1" applyFill="1" applyBorder="1"/>
    <xf numFmtId="41" fontId="3" fillId="0" borderId="4" xfId="28" applyNumberFormat="1" applyFont="1" applyFill="1" applyBorder="1"/>
    <xf numFmtId="166" fontId="28" fillId="0" borderId="0" xfId="39" quotePrefix="1" applyNumberFormat="1" applyFont="1" applyFill="1" applyBorder="1" applyAlignment="1">
      <alignment horizontal="center"/>
    </xf>
    <xf numFmtId="0" fontId="2" fillId="0" borderId="0" xfId="8" applyNumberFormat="1" applyFont="1" applyFill="1" applyAlignment="1"/>
    <xf numFmtId="0" fontId="2" fillId="0" borderId="0" xfId="8" applyFont="1" applyFill="1"/>
    <xf numFmtId="0" fontId="27" fillId="0" borderId="0" xfId="37" quotePrefix="1" applyNumberFormat="1" applyFont="1" applyFill="1" applyAlignment="1">
      <alignment horizontal="left"/>
    </xf>
    <xf numFmtId="0" fontId="27" fillId="0" borderId="0" xfId="8" applyNumberFormat="1" applyFont="1" applyFill="1" applyAlignment="1">
      <alignment vertical="top"/>
    </xf>
    <xf numFmtId="0" fontId="27" fillId="0" borderId="0" xfId="8" quotePrefix="1" applyFont="1" applyFill="1" applyAlignment="1">
      <alignment wrapText="1"/>
    </xf>
    <xf numFmtId="0" fontId="2" fillId="0" borderId="0" xfId="8" applyFont="1" applyFill="1" applyBorder="1" applyAlignment="1"/>
    <xf numFmtId="0" fontId="27" fillId="0" borderId="0" xfId="8" applyFont="1" applyFill="1"/>
    <xf numFmtId="166" fontId="2" fillId="0" borderId="0" xfId="37" applyNumberFormat="1" applyFont="1" applyFill="1"/>
    <xf numFmtId="0" fontId="2" fillId="0" borderId="0" xfId="8" applyFont="1" applyFill="1" applyAlignment="1">
      <alignment horizontal="left" indent="1"/>
    </xf>
    <xf numFmtId="166" fontId="27" fillId="0" borderId="0" xfId="37" applyNumberFormat="1" applyFont="1" applyFill="1"/>
    <xf numFmtId="16" fontId="27" fillId="0" borderId="2" xfId="37" quotePrefix="1" applyNumberFormat="1" applyFont="1" applyFill="1" applyBorder="1" applyAlignment="1">
      <alignment vertical="center"/>
    </xf>
    <xf numFmtId="0" fontId="27" fillId="0" borderId="0" xfId="8" quotePrefix="1" applyNumberFormat="1" applyFont="1" applyFill="1" applyAlignment="1">
      <alignment horizontal="center" vertical="top"/>
    </xf>
    <xf numFmtId="0" fontId="2" fillId="0" borderId="0" xfId="8" applyFont="1" applyFill="1" applyAlignment="1"/>
    <xf numFmtId="0" fontId="2" fillId="0" borderId="0" xfId="8" quotePrefix="1" applyFont="1" applyFill="1" applyAlignment="1">
      <alignment horizontal="center" vertical="top"/>
    </xf>
    <xf numFmtId="166" fontId="27" fillId="0" borderId="0" xfId="37" applyNumberFormat="1" applyFont="1" applyFill="1" applyBorder="1"/>
    <xf numFmtId="0" fontId="27" fillId="0" borderId="0" xfId="5" quotePrefix="1" applyFont="1" applyFill="1" applyAlignment="1"/>
    <xf numFmtId="0" fontId="3" fillId="0" borderId="0" xfId="0" applyFont="1" applyFill="1" applyAlignment="1"/>
    <xf numFmtId="0" fontId="3" fillId="0" borderId="0" xfId="3" applyFont="1" applyFill="1" applyAlignment="1">
      <alignment horizontal="center"/>
    </xf>
    <xf numFmtId="166" fontId="3" fillId="0" borderId="0" xfId="1" applyNumberFormat="1" applyFont="1" applyFill="1" applyBorder="1" applyAlignment="1">
      <alignment horizontal="center" vertical="center" wrapText="1"/>
      <protection locked="0"/>
    </xf>
    <xf numFmtId="0" fontId="3" fillId="0" borderId="0" xfId="3" applyFont="1" applyFill="1" applyAlignment="1">
      <alignment horizontal="center" vertical="top"/>
    </xf>
    <xf numFmtId="0" fontId="3" fillId="0" borderId="0" xfId="3" applyFont="1" applyFill="1" applyAlignment="1">
      <alignment horizontal="center" vertical="center"/>
    </xf>
    <xf numFmtId="0" fontId="3" fillId="0" borderId="0" xfId="5" applyFont="1" applyFill="1" applyAlignment="1">
      <alignment horizontal="center" vertical="top"/>
    </xf>
    <xf numFmtId="0" fontId="3" fillId="0" borderId="0" xfId="7" applyFont="1" applyFill="1" applyBorder="1" applyAlignment="1">
      <alignment horizontal="center"/>
    </xf>
    <xf numFmtId="0" fontId="3" fillId="0" borderId="0" xfId="7" applyFont="1" applyFill="1" applyAlignment="1">
      <alignment horizontal="center"/>
    </xf>
    <xf numFmtId="0" fontId="3" fillId="0" borderId="0" xfId="28" applyFont="1" applyFill="1" applyBorder="1" applyAlignment="1">
      <alignment horizontal="center"/>
    </xf>
    <xf numFmtId="0" fontId="3" fillId="0" borderId="0" xfId="5" applyFont="1" applyFill="1" applyAlignment="1">
      <alignment horizontal="center"/>
    </xf>
    <xf numFmtId="0" fontId="8" fillId="0" borderId="0" xfId="3" applyNumberFormat="1" applyFont="1" applyFill="1" applyAlignment="1">
      <alignment horizontal="justify" vertical="top" wrapText="1"/>
    </xf>
    <xf numFmtId="0" fontId="3" fillId="0" borderId="0" xfId="3" quotePrefix="1" applyFont="1" applyFill="1" applyBorder="1" applyAlignment="1">
      <alignment horizontal="left" vertical="top" wrapText="1" indent="1"/>
    </xf>
    <xf numFmtId="0" fontId="3" fillId="0" borderId="0" xfId="8" quotePrefix="1" applyFont="1" applyFill="1" applyAlignment="1">
      <alignment horizontal="left"/>
    </xf>
    <xf numFmtId="43" fontId="8" fillId="0" borderId="0" xfId="17" applyNumberFormat="1" applyFont="1" applyFill="1" applyBorder="1" applyAlignment="1"/>
    <xf numFmtId="37" fontId="5" fillId="0" borderId="0" xfId="2" applyNumberFormat="1" applyFont="1" applyFill="1" applyAlignment="1">
      <alignment horizontal="center"/>
    </xf>
    <xf numFmtId="37" fontId="5" fillId="0" borderId="0" xfId="2" applyNumberFormat="1" applyFont="1" applyFill="1"/>
    <xf numFmtId="166" fontId="3" fillId="0" borderId="4" xfId="1" applyNumberFormat="1" applyFont="1" applyFill="1" applyBorder="1" applyAlignment="1">
      <alignment vertical="center"/>
      <protection locked="0"/>
    </xf>
    <xf numFmtId="166" fontId="8" fillId="0" borderId="5" xfId="1" applyNumberFormat="1" applyFont="1" applyFill="1" applyBorder="1" applyAlignment="1">
      <alignment vertical="center"/>
      <protection locked="0"/>
    </xf>
    <xf numFmtId="166" fontId="3" fillId="0" borderId="5" xfId="1" applyNumberFormat="1" applyFont="1" applyFill="1" applyBorder="1" applyAlignment="1">
      <alignment vertical="center"/>
      <protection locked="0"/>
    </xf>
    <xf numFmtId="166" fontId="3" fillId="0" borderId="6" xfId="1" applyNumberFormat="1" applyFont="1" applyFill="1" applyBorder="1" applyAlignment="1">
      <alignment vertical="center"/>
      <protection locked="0"/>
    </xf>
    <xf numFmtId="2" fontId="5" fillId="0" borderId="0" xfId="2" applyNumberFormat="1" applyFont="1" applyFill="1"/>
    <xf numFmtId="166" fontId="5" fillId="0" borderId="0" xfId="32" applyNumberFormat="1" applyFont="1" applyFill="1"/>
    <xf numFmtId="166" fontId="3" fillId="0" borderId="4" xfId="1" applyNumberFormat="1" applyFont="1" applyFill="1" applyBorder="1" applyAlignment="1">
      <alignment horizontal="right" vertical="top"/>
      <protection locked="0"/>
    </xf>
    <xf numFmtId="166" fontId="3" fillId="0" borderId="5" xfId="1" applyNumberFormat="1" applyFont="1" applyFill="1" applyBorder="1" applyAlignment="1">
      <alignment horizontal="right" vertical="top"/>
      <protection locked="0"/>
    </xf>
    <xf numFmtId="166" fontId="3" fillId="0" borderId="6" xfId="1" applyNumberFormat="1" applyFont="1" applyFill="1" applyBorder="1" applyAlignment="1">
      <alignment horizontal="right" vertical="top"/>
      <protection locked="0"/>
    </xf>
    <xf numFmtId="0" fontId="3" fillId="0" borderId="0" xfId="3" applyNumberFormat="1" applyFont="1" applyFill="1" applyAlignment="1" applyProtection="1">
      <alignment vertical="center"/>
      <protection locked="0"/>
    </xf>
    <xf numFmtId="3" fontId="8" fillId="0" borderId="0" xfId="1" applyNumberFormat="1" applyFont="1" applyFill="1" applyAlignment="1">
      <alignment vertical="center"/>
      <protection locked="0"/>
    </xf>
    <xf numFmtId="3" fontId="8" fillId="0" borderId="0" xfId="1" applyNumberFormat="1" applyFont="1" applyFill="1" applyBorder="1" applyAlignment="1">
      <alignment vertical="center"/>
      <protection locked="0"/>
    </xf>
    <xf numFmtId="0" fontId="4" fillId="0" borderId="0" xfId="3" applyFont="1" applyFill="1" applyAlignment="1" applyProtection="1">
      <alignment horizontal="center" vertical="center"/>
      <protection locked="0"/>
    </xf>
    <xf numFmtId="166" fontId="3" fillId="0" borderId="7" xfId="3" applyNumberFormat="1" applyFont="1" applyFill="1" applyBorder="1" applyAlignment="1" applyProtection="1">
      <alignment horizontal="center" vertical="center"/>
      <protection locked="0"/>
    </xf>
    <xf numFmtId="166" fontId="8" fillId="0" borderId="0" xfId="3" applyNumberFormat="1" applyFont="1" applyFill="1" applyBorder="1" applyAlignment="1" applyProtection="1">
      <alignment horizontal="center" vertical="center"/>
      <protection locked="0"/>
    </xf>
    <xf numFmtId="3" fontId="8" fillId="0" borderId="0" xfId="3" applyNumberFormat="1" applyFont="1" applyFill="1" applyAlignment="1">
      <alignment vertical="center"/>
    </xf>
    <xf numFmtId="166" fontId="3" fillId="0" borderId="0" xfId="3" applyNumberFormat="1" applyFont="1" applyFill="1" applyBorder="1" applyAlignment="1" applyProtection="1">
      <alignment horizontal="center" vertical="center"/>
      <protection locked="0"/>
    </xf>
    <xf numFmtId="166" fontId="3" fillId="0" borderId="4" xfId="9" applyNumberFormat="1" applyFont="1" applyFill="1" applyBorder="1" applyAlignment="1">
      <alignment horizontal="center"/>
    </xf>
    <xf numFmtId="166" fontId="3" fillId="0" borderId="4" xfId="9" applyNumberFormat="1" applyFont="1" applyFill="1" applyBorder="1"/>
    <xf numFmtId="166" fontId="3" fillId="0" borderId="6" xfId="9" applyNumberFormat="1" applyFont="1" applyFill="1" applyBorder="1" applyAlignment="1"/>
    <xf numFmtId="166" fontId="3" fillId="0" borderId="3" xfId="9" applyNumberFormat="1" applyFont="1" applyFill="1" applyBorder="1" applyAlignment="1">
      <alignment vertical="center"/>
    </xf>
    <xf numFmtId="0" fontId="8" fillId="0" borderId="0" xfId="10" applyFont="1" applyFill="1" applyAlignment="1">
      <alignment horizontal="left" vertical="center"/>
    </xf>
    <xf numFmtId="0" fontId="8" fillId="0" borderId="0" xfId="10" applyFont="1" applyFill="1" applyAlignment="1">
      <alignment horizontal="center" vertical="center"/>
    </xf>
    <xf numFmtId="0" fontId="8" fillId="0" borderId="0" xfId="11" applyFont="1" applyFill="1" applyAlignment="1">
      <alignment horizontal="center" vertical="center"/>
    </xf>
    <xf numFmtId="166" fontId="3" fillId="0" borderId="7" xfId="9" applyNumberFormat="1" applyFont="1" applyFill="1" applyBorder="1" applyAlignment="1">
      <alignment vertical="center"/>
    </xf>
    <xf numFmtId="166" fontId="5" fillId="0" borderId="7" xfId="9" applyNumberFormat="1" applyFont="1" applyFill="1" applyBorder="1" applyAlignment="1">
      <alignment vertical="center"/>
    </xf>
    <xf numFmtId="166" fontId="8" fillId="0" borderId="7" xfId="9" applyNumberFormat="1" applyFont="1" applyFill="1" applyBorder="1" applyAlignment="1">
      <alignment vertical="center"/>
    </xf>
    <xf numFmtId="43" fontId="3" fillId="0" borderId="7" xfId="9" applyNumberFormat="1" applyFont="1" applyFill="1" applyBorder="1" applyAlignment="1">
      <alignment horizontal="center" vertical="center"/>
    </xf>
    <xf numFmtId="166" fontId="8" fillId="0" borderId="0" xfId="9" applyNumberFormat="1" applyFont="1" applyFill="1" applyBorder="1" applyAlignment="1">
      <alignment horizontal="center" vertical="center"/>
    </xf>
    <xf numFmtId="43" fontId="8" fillId="0" borderId="7" xfId="9" applyNumberFormat="1" applyFont="1" applyFill="1" applyBorder="1" applyAlignment="1">
      <alignment vertical="center"/>
    </xf>
    <xf numFmtId="166" fontId="3" fillId="0" borderId="0" xfId="9" applyNumberFormat="1" applyFont="1" applyFill="1" applyBorder="1" applyAlignment="1">
      <alignment horizontal="center" vertical="center"/>
    </xf>
    <xf numFmtId="166" fontId="8" fillId="0" borderId="7" xfId="6" applyNumberFormat="1" applyFont="1" applyFill="1" applyBorder="1" applyAlignment="1">
      <alignment vertical="center"/>
    </xf>
    <xf numFmtId="0" fontId="8" fillId="0" borderId="0" xfId="7" applyFont="1" applyFill="1" applyAlignment="1">
      <alignment vertical="center" wrapText="1"/>
    </xf>
    <xf numFmtId="166" fontId="13" fillId="0" borderId="7" xfId="7" applyNumberFormat="1" applyFont="1" applyFill="1" applyBorder="1" applyAlignment="1">
      <alignment vertical="center" wrapText="1"/>
    </xf>
    <xf numFmtId="166" fontId="8" fillId="0" borderId="7" xfId="7" applyNumberFormat="1" applyFont="1" applyFill="1" applyBorder="1" applyAlignment="1">
      <alignment vertical="center" wrapText="1"/>
    </xf>
    <xf numFmtId="166" fontId="13" fillId="0" borderId="7" xfId="7" applyNumberFormat="1" applyFont="1" applyFill="1" applyBorder="1" applyAlignment="1">
      <alignment horizontal="left" vertical="center" wrapText="1"/>
    </xf>
    <xf numFmtId="166" fontId="8" fillId="0" borderId="7" xfId="32" applyNumberFormat="1" applyFont="1" applyFill="1" applyBorder="1" applyAlignment="1">
      <alignment vertical="center" wrapText="1"/>
    </xf>
    <xf numFmtId="0" fontId="8" fillId="0" borderId="0" xfId="3" applyFont="1" applyFill="1" applyAlignment="1">
      <alignment horizontal="justify" vertical="top" wrapText="1"/>
    </xf>
    <xf numFmtId="0" fontId="27" fillId="0" borderId="0" xfId="63" applyFont="1" applyFill="1"/>
    <xf numFmtId="0" fontId="2" fillId="0" borderId="0" xfId="64" applyFont="1" applyFill="1" applyAlignment="1">
      <alignment vertical="top"/>
    </xf>
    <xf numFmtId="0" fontId="27" fillId="0" borderId="0" xfId="64" applyFont="1" applyFill="1" applyAlignment="1">
      <alignment vertical="top"/>
    </xf>
    <xf numFmtId="166" fontId="2" fillId="0" borderId="0" xfId="65" applyNumberFormat="1" applyFont="1" applyFill="1" applyAlignment="1">
      <alignment vertical="top"/>
    </xf>
    <xf numFmtId="0" fontId="27" fillId="0" borderId="0" xfId="64" applyFont="1" applyFill="1" applyBorder="1" applyAlignment="1">
      <alignment horizontal="center" vertical="top"/>
    </xf>
    <xf numFmtId="0" fontId="27" fillId="0" borderId="0" xfId="64" quotePrefix="1" applyFont="1" applyFill="1" applyAlignment="1">
      <alignment horizontal="center" vertical="top"/>
    </xf>
    <xf numFmtId="0" fontId="27" fillId="0" borderId="0" xfId="64" applyFont="1" applyFill="1" applyAlignment="1">
      <alignment horizontal="center" vertical="top" wrapText="1"/>
    </xf>
    <xf numFmtId="166" fontId="27" fillId="0" borderId="21" xfId="65" applyNumberFormat="1" applyFont="1" applyFill="1" applyBorder="1" applyAlignment="1">
      <alignment horizontal="center" vertical="top" wrapText="1"/>
    </xf>
    <xf numFmtId="166" fontId="27" fillId="0" borderId="0" xfId="65" applyNumberFormat="1" applyFont="1" applyFill="1" applyAlignment="1">
      <alignment horizontal="center" vertical="top" wrapText="1"/>
    </xf>
    <xf numFmtId="0" fontId="27" fillId="0" borderId="0" xfId="64" applyFont="1" applyFill="1" applyAlignment="1">
      <alignment horizontal="center" vertical="top"/>
    </xf>
    <xf numFmtId="166" fontId="27" fillId="0" borderId="0" xfId="65" applyNumberFormat="1" applyFont="1" applyFill="1" applyBorder="1" applyAlignment="1">
      <alignment horizontal="center" vertical="top"/>
    </xf>
    <xf numFmtId="166" fontId="27" fillId="0" borderId="0" xfId="65" applyNumberFormat="1" applyFont="1" applyFill="1" applyAlignment="1">
      <alignment horizontal="center" vertical="top"/>
    </xf>
    <xf numFmtId="166" fontId="2" fillId="0" borderId="0" xfId="65" applyNumberFormat="1" applyFont="1" applyFill="1" applyAlignment="1">
      <alignment horizontal="center" vertical="top"/>
    </xf>
    <xf numFmtId="0" fontId="2" fillId="4" borderId="0" xfId="64" applyFont="1" applyFill="1" applyAlignment="1">
      <alignment vertical="top"/>
    </xf>
    <xf numFmtId="166" fontId="2" fillId="4" borderId="0" xfId="65" applyNumberFormat="1" applyFont="1" applyFill="1" applyBorder="1" applyAlignment="1">
      <alignment vertical="top"/>
    </xf>
    <xf numFmtId="0" fontId="2" fillId="0" borderId="0" xfId="64" quotePrefix="1" applyFont="1" applyFill="1" applyAlignment="1" applyProtection="1">
      <alignment horizontal="left" vertical="top" indent="1"/>
    </xf>
    <xf numFmtId="0" fontId="2" fillId="0" borderId="0" xfId="64" applyFont="1" applyFill="1" applyAlignment="1">
      <alignment horizontal="left" vertical="top" indent="2"/>
    </xf>
    <xf numFmtId="166" fontId="2" fillId="0" borderId="4" xfId="65" applyNumberFormat="1" applyFont="1" applyFill="1" applyBorder="1" applyAlignment="1">
      <alignment horizontal="center" vertical="top"/>
    </xf>
    <xf numFmtId="166" fontId="2" fillId="0" borderId="6" xfId="65" applyNumberFormat="1" applyFont="1" applyFill="1" applyBorder="1" applyAlignment="1">
      <alignment horizontal="center" vertical="top"/>
    </xf>
    <xf numFmtId="166" fontId="2" fillId="0" borderId="0" xfId="64" applyNumberFormat="1" applyFont="1" applyFill="1" applyBorder="1" applyAlignment="1" applyProtection="1">
      <alignment horizontal="center" vertical="top"/>
      <protection locked="0"/>
    </xf>
    <xf numFmtId="166" fontId="2" fillId="4" borderId="0" xfId="64" applyNumberFormat="1" applyFont="1" applyFill="1" applyBorder="1" applyAlignment="1" applyProtection="1">
      <alignment horizontal="center" vertical="top"/>
      <protection locked="0"/>
    </xf>
    <xf numFmtId="166" fontId="2" fillId="0" borderId="0" xfId="65" applyNumberFormat="1" applyFont="1" applyFill="1" applyBorder="1" applyAlignment="1">
      <alignment vertical="top"/>
    </xf>
    <xf numFmtId="0" fontId="2" fillId="0" borderId="0" xfId="64" quotePrefix="1" applyFont="1" applyFill="1" applyAlignment="1" applyProtection="1">
      <alignment horizontal="left" vertical="top" indent="2"/>
    </xf>
    <xf numFmtId="166" fontId="2" fillId="0" borderId="5" xfId="65" applyNumberFormat="1" applyFont="1" applyFill="1" applyBorder="1" applyAlignment="1">
      <alignment vertical="top"/>
    </xf>
    <xf numFmtId="0" fontId="2" fillId="0" borderId="0" xfId="64" quotePrefix="1" applyFont="1" applyFill="1" applyAlignment="1">
      <alignment vertical="top"/>
    </xf>
    <xf numFmtId="166" fontId="2" fillId="0" borderId="5" xfId="65" applyNumberFormat="1" applyFont="1" applyFill="1" applyBorder="1" applyAlignment="1">
      <alignment horizontal="center" vertical="top"/>
    </xf>
    <xf numFmtId="166" fontId="2" fillId="4" borderId="0" xfId="65" applyNumberFormat="1" applyFont="1" applyFill="1" applyBorder="1" applyAlignment="1">
      <alignment horizontal="center" vertical="top"/>
    </xf>
    <xf numFmtId="0" fontId="2" fillId="0" borderId="0" xfId="64" applyFont="1" applyFill="1" applyAlignment="1">
      <alignment horizontal="center" vertical="top"/>
    </xf>
    <xf numFmtId="166" fontId="2" fillId="0" borderId="0" xfId="66" applyNumberFormat="1" applyFont="1" applyFill="1" applyBorder="1" applyAlignment="1">
      <alignment horizontal="center" vertical="top"/>
    </xf>
    <xf numFmtId="166" fontId="2" fillId="0" borderId="0" xfId="66" applyNumberFormat="1" applyFont="1" applyFill="1" applyBorder="1" applyAlignment="1">
      <alignment vertical="top"/>
    </xf>
    <xf numFmtId="166" fontId="2" fillId="0" borderId="7" xfId="65" applyNumberFormat="1" applyFont="1" applyFill="1" applyBorder="1" applyAlignment="1">
      <alignment horizontal="center" vertical="top"/>
    </xf>
    <xf numFmtId="166" fontId="2" fillId="0" borderId="0" xfId="65" applyNumberFormat="1" applyFont="1" applyFill="1" applyBorder="1" applyAlignment="1">
      <alignment horizontal="center" vertical="top"/>
    </xf>
    <xf numFmtId="166" fontId="2" fillId="0" borderId="2" xfId="65" applyNumberFormat="1" applyFont="1" applyFill="1" applyBorder="1" applyAlignment="1">
      <alignment horizontal="center" vertical="top"/>
    </xf>
    <xf numFmtId="0" fontId="2" fillId="0" borderId="0" xfId="64" applyFont="1" applyFill="1" applyAlignment="1">
      <alignment vertical="center"/>
    </xf>
    <xf numFmtId="166" fontId="2" fillId="0" borderId="6" xfId="65" applyNumberFormat="1" applyFont="1" applyFill="1" applyBorder="1" applyAlignment="1">
      <alignment horizontal="center" vertical="center"/>
    </xf>
    <xf numFmtId="166" fontId="2" fillId="0" borderId="0" xfId="65" applyNumberFormat="1" applyFont="1" applyFill="1" applyBorder="1" applyAlignment="1">
      <alignment vertical="center"/>
    </xf>
    <xf numFmtId="166" fontId="2" fillId="0" borderId="0" xfId="65" applyNumberFormat="1" applyFont="1" applyFill="1" applyBorder="1" applyAlignment="1">
      <alignment horizontal="center" vertical="center"/>
    </xf>
    <xf numFmtId="0" fontId="2" fillId="0" borderId="0" xfId="64" applyFont="1" applyFill="1" applyAlignment="1" applyProtection="1">
      <alignment vertical="top"/>
    </xf>
    <xf numFmtId="0" fontId="32" fillId="0" borderId="0" xfId="64" applyFont="1" applyFill="1" applyAlignment="1" applyProtection="1">
      <alignment horizontal="left" vertical="top" indent="1"/>
    </xf>
    <xf numFmtId="0" fontId="2" fillId="0" borderId="0" xfId="64" applyFont="1" applyFill="1" applyAlignment="1">
      <alignment horizontal="right" vertical="top"/>
    </xf>
    <xf numFmtId="180" fontId="2" fillId="0" borderId="0" xfId="65" applyNumberFormat="1" applyFont="1" applyFill="1" applyBorder="1" applyAlignment="1">
      <alignment vertical="top"/>
    </xf>
    <xf numFmtId="180" fontId="2" fillId="0" borderId="1" xfId="65" applyNumberFormat="1" applyFont="1" applyFill="1" applyBorder="1" applyAlignment="1">
      <alignment horizontal="center" vertical="top"/>
    </xf>
    <xf numFmtId="166" fontId="27" fillId="0" borderId="0" xfId="65" applyNumberFormat="1" applyFont="1" applyFill="1" applyBorder="1" applyAlignment="1">
      <alignment vertical="top"/>
    </xf>
    <xf numFmtId="43" fontId="2" fillId="0" borderId="0" xfId="65" applyNumberFormat="1" applyFont="1" applyFill="1" applyBorder="1" applyAlignment="1">
      <alignment vertical="top"/>
    </xf>
    <xf numFmtId="43" fontId="27" fillId="0" borderId="0" xfId="65" applyNumberFormat="1" applyFont="1" applyFill="1" applyBorder="1" applyAlignment="1">
      <alignment vertical="top"/>
    </xf>
    <xf numFmtId="0" fontId="33" fillId="0" borderId="0" xfId="64" applyFont="1" applyFill="1" applyAlignment="1">
      <alignment vertical="top"/>
    </xf>
    <xf numFmtId="166" fontId="33" fillId="0" borderId="0" xfId="65" applyNumberFormat="1" applyFont="1" applyFill="1" applyAlignment="1">
      <alignment vertical="top"/>
    </xf>
    <xf numFmtId="0" fontId="34" fillId="0" borderId="0" xfId="64" applyFont="1" applyFill="1" applyBorder="1" applyAlignment="1">
      <alignment vertical="top"/>
    </xf>
    <xf numFmtId="166" fontId="33" fillId="0" borderId="0" xfId="65" applyNumberFormat="1" applyFont="1" applyFill="1" applyBorder="1" applyAlignment="1">
      <alignment vertical="top"/>
    </xf>
    <xf numFmtId="0" fontId="33" fillId="0" borderId="0" xfId="64" applyFont="1" applyFill="1"/>
    <xf numFmtId="166" fontId="2" fillId="0" borderId="0" xfId="64" applyNumberFormat="1" applyFont="1" applyFill="1" applyAlignment="1">
      <alignment vertical="top"/>
    </xf>
    <xf numFmtId="0" fontId="27" fillId="0" borderId="0" xfId="64" applyFont="1" applyFill="1" applyAlignment="1">
      <alignment horizontal="center" vertical="top"/>
    </xf>
    <xf numFmtId="0" fontId="3" fillId="0" borderId="0" xfId="3" applyFont="1" applyFill="1" applyAlignment="1">
      <alignment horizontal="center" vertical="top"/>
    </xf>
    <xf numFmtId="166" fontId="5" fillId="0" borderId="7" xfId="3" applyNumberFormat="1" applyFont="1" applyFill="1" applyBorder="1" applyAlignment="1" applyProtection="1">
      <alignment horizontal="center" vertical="center"/>
      <protection locked="0"/>
    </xf>
    <xf numFmtId="0" fontId="27" fillId="0" borderId="0" xfId="64" applyFont="1" applyFill="1" applyAlignment="1" applyProtection="1">
      <alignment vertical="top"/>
      <protection locked="0"/>
    </xf>
    <xf numFmtId="166" fontId="27" fillId="0" borderId="0" xfId="65" applyNumberFormat="1" applyFont="1" applyFill="1" applyAlignment="1">
      <alignment vertical="top"/>
    </xf>
    <xf numFmtId="0" fontId="27" fillId="0" borderId="0" xfId="64" applyFont="1" applyFill="1" applyAlignment="1" applyProtection="1">
      <alignment horizontal="left" vertical="top" indent="1"/>
      <protection locked="0"/>
    </xf>
    <xf numFmtId="43" fontId="2" fillId="0" borderId="0" xfId="32" applyFont="1" applyFill="1" applyAlignment="1">
      <alignment vertical="top"/>
    </xf>
    <xf numFmtId="0" fontId="5" fillId="0" borderId="0" xfId="0" applyFont="1" applyFill="1" applyAlignment="1">
      <alignment vertical="top"/>
    </xf>
    <xf numFmtId="166" fontId="5" fillId="0" borderId="0" xfId="32" applyNumberFormat="1" applyFont="1" applyFill="1" applyAlignment="1">
      <alignment vertical="top"/>
    </xf>
    <xf numFmtId="0" fontId="5" fillId="0" borderId="0" xfId="0" applyFont="1" applyFill="1"/>
    <xf numFmtId="166" fontId="5" fillId="0" borderId="0" xfId="32" applyNumberFormat="1" applyFont="1" applyFill="1" applyBorder="1" applyAlignment="1">
      <alignment vertical="top"/>
    </xf>
    <xf numFmtId="166" fontId="3" fillId="0" borderId="0" xfId="32" applyNumberFormat="1" applyFont="1" applyFill="1" applyBorder="1" applyAlignment="1">
      <alignment vertical="top"/>
    </xf>
    <xf numFmtId="0" fontId="5" fillId="0" borderId="0" xfId="0" applyFont="1" applyFill="1" applyAlignment="1">
      <alignment horizontal="center" vertical="top"/>
    </xf>
    <xf numFmtId="180" fontId="5" fillId="0" borderId="1" xfId="32" applyNumberFormat="1" applyFont="1" applyFill="1" applyBorder="1" applyAlignment="1">
      <alignment horizontal="center" vertical="top"/>
    </xf>
    <xf numFmtId="43" fontId="3" fillId="0" borderId="0" xfId="32" applyNumberFormat="1" applyFont="1" applyFill="1" applyBorder="1" applyAlignment="1">
      <alignment vertical="top"/>
    </xf>
    <xf numFmtId="43" fontId="5" fillId="0" borderId="0" xfId="32" applyNumberFormat="1" applyFont="1" applyFill="1" applyBorder="1" applyAlignment="1">
      <alignment vertical="top"/>
    </xf>
    <xf numFmtId="166" fontId="3" fillId="0" borderId="0" xfId="32" applyNumberFormat="1" applyFont="1" applyFill="1" applyBorder="1" applyAlignment="1">
      <alignment horizontal="center" vertical="top"/>
    </xf>
    <xf numFmtId="180" fontId="5" fillId="0" borderId="0" xfId="32" applyNumberFormat="1" applyFont="1" applyFill="1" applyBorder="1" applyAlignment="1">
      <alignment vertical="top"/>
    </xf>
    <xf numFmtId="0" fontId="5" fillId="0" borderId="0" xfId="0" applyFont="1" applyFill="1" applyAlignment="1">
      <alignment horizontal="right" vertical="top"/>
    </xf>
    <xf numFmtId="166" fontId="5" fillId="0" borderId="7" xfId="32" applyNumberFormat="1" applyFont="1" applyFill="1" applyBorder="1" applyAlignment="1">
      <alignment horizontal="center" vertical="top"/>
    </xf>
    <xf numFmtId="166" fontId="3" fillId="0" borderId="7" xfId="32" applyNumberFormat="1" applyFont="1" applyFill="1" applyBorder="1" applyAlignment="1">
      <alignment horizontal="center" vertical="top"/>
    </xf>
    <xf numFmtId="166" fontId="5" fillId="0" borderId="0" xfId="32" applyNumberFormat="1" applyFont="1" applyFill="1" applyBorder="1" applyAlignment="1">
      <alignment horizontal="center" vertical="top"/>
    </xf>
    <xf numFmtId="166" fontId="5" fillId="0" borderId="0" xfId="0" applyNumberFormat="1" applyFont="1" applyFill="1" applyAlignment="1">
      <alignment vertical="top"/>
    </xf>
    <xf numFmtId="166" fontId="5" fillId="0" borderId="0" xfId="32" applyNumberFormat="1" applyFont="1" applyFill="1" applyBorder="1" applyAlignment="1">
      <alignment horizontal="center" vertical="center"/>
    </xf>
    <xf numFmtId="166" fontId="5" fillId="0" borderId="0" xfId="32" applyNumberFormat="1" applyFont="1" applyFill="1" applyBorder="1" applyAlignment="1">
      <alignment vertical="center"/>
    </xf>
    <xf numFmtId="0" fontId="5" fillId="0" borderId="0" xfId="0" applyFont="1" applyFill="1" applyAlignment="1" applyProtection="1">
      <alignment vertical="top"/>
    </xf>
    <xf numFmtId="166" fontId="5" fillId="0" borderId="2" xfId="32" applyNumberFormat="1" applyFont="1" applyFill="1" applyBorder="1" applyAlignment="1">
      <alignment horizontal="center" vertical="top"/>
    </xf>
    <xf numFmtId="166" fontId="5" fillId="0" borderId="0" xfId="66" applyNumberFormat="1" applyFont="1" applyFill="1" applyBorder="1" applyAlignment="1">
      <alignment vertical="top"/>
    </xf>
    <xf numFmtId="166" fontId="5" fillId="0" borderId="0" xfId="66" applyNumberFormat="1" applyFont="1" applyFill="1" applyBorder="1" applyAlignment="1">
      <alignment horizontal="center" vertical="top"/>
    </xf>
    <xf numFmtId="43" fontId="5" fillId="0" borderId="0" xfId="0" applyNumberFormat="1" applyFont="1" applyFill="1" applyAlignment="1">
      <alignment vertical="top"/>
    </xf>
    <xf numFmtId="166" fontId="5" fillId="0" borderId="6" xfId="32" applyNumberFormat="1" applyFont="1" applyFill="1" applyBorder="1" applyAlignment="1">
      <alignment horizontal="center" vertical="top"/>
    </xf>
    <xf numFmtId="166" fontId="5" fillId="0" borderId="4" xfId="32" applyNumberFormat="1" applyFont="1" applyFill="1" applyBorder="1" applyAlignment="1">
      <alignment horizontal="center" vertical="top"/>
    </xf>
    <xf numFmtId="166" fontId="3" fillId="0" borderId="0" xfId="32" applyNumberFormat="1" applyFont="1" applyFill="1" applyAlignment="1">
      <alignment horizontal="center" vertical="top"/>
    </xf>
    <xf numFmtId="179" fontId="5" fillId="0" borderId="0" xfId="0" applyNumberFormat="1" applyFont="1" applyFill="1" applyAlignment="1">
      <alignment vertical="top"/>
    </xf>
    <xf numFmtId="181" fontId="5" fillId="0" borderId="0" xfId="32" applyNumberFormat="1" applyFont="1" applyFill="1"/>
    <xf numFmtId="43" fontId="3" fillId="0" borderId="0" xfId="32" applyFont="1" applyFill="1" applyBorder="1"/>
    <xf numFmtId="166" fontId="3" fillId="0" borderId="0" xfId="68" applyNumberFormat="1" applyFont="1" applyFill="1" applyBorder="1" applyAlignment="1">
      <alignment horizontal="center"/>
    </xf>
    <xf numFmtId="0" fontId="3" fillId="0" borderId="0" xfId="68" applyFont="1" applyFill="1" applyBorder="1" applyAlignment="1">
      <alignment horizontal="center"/>
    </xf>
    <xf numFmtId="0" fontId="5" fillId="0" borderId="0" xfId="0" quotePrefix="1" applyFont="1" applyFill="1" applyAlignment="1" applyProtection="1">
      <alignment horizontal="left" vertical="top" indent="1"/>
    </xf>
    <xf numFmtId="0" fontId="5" fillId="0" borderId="0" xfId="0" applyFont="1" applyFill="1" applyAlignment="1">
      <alignment horizontal="left" vertical="top" indent="2"/>
    </xf>
    <xf numFmtId="0" fontId="5" fillId="0" borderId="0" xfId="68" applyFont="1" applyFill="1" applyBorder="1" applyAlignment="1">
      <alignment horizontal="center"/>
    </xf>
    <xf numFmtId="166" fontId="5" fillId="0" borderId="0" xfId="32" applyNumberFormat="1" applyFont="1" applyFill="1" applyAlignment="1">
      <alignment horizontal="center" vertical="top"/>
    </xf>
    <xf numFmtId="0" fontId="3" fillId="0" borderId="0" xfId="0" applyFont="1" applyFill="1" applyAlignment="1">
      <alignment horizontal="center" vertical="top" wrapText="1"/>
    </xf>
    <xf numFmtId="166" fontId="3" fillId="0" borderId="21" xfId="32" applyNumberFormat="1" applyFont="1" applyFill="1" applyBorder="1" applyAlignment="1">
      <alignment horizontal="center" vertical="top" wrapText="1"/>
    </xf>
    <xf numFmtId="166" fontId="3" fillId="0" borderId="0" xfId="32" applyNumberFormat="1" applyFont="1" applyFill="1" applyAlignment="1">
      <alignment horizontal="center" vertical="top" wrapText="1"/>
    </xf>
    <xf numFmtId="0" fontId="3" fillId="0" borderId="0" xfId="0" applyFont="1" applyFill="1" applyBorder="1" applyAlignment="1">
      <alignment horizontal="center" vertical="top"/>
    </xf>
    <xf numFmtId="0" fontId="3" fillId="0" borderId="0" xfId="35" applyNumberFormat="1" applyFont="1" applyFill="1" applyAlignment="1"/>
    <xf numFmtId="0" fontId="13" fillId="0" borderId="0" xfId="0" applyFont="1" applyFill="1" applyAlignment="1">
      <alignment vertical="top"/>
    </xf>
    <xf numFmtId="0" fontId="8" fillId="0" borderId="0" xfId="0" quotePrefix="1" applyFont="1" applyFill="1" applyAlignment="1">
      <alignment vertical="top"/>
    </xf>
    <xf numFmtId="166" fontId="3" fillId="0" borderId="0" xfId="65" applyNumberFormat="1" applyFont="1" applyFill="1" applyAlignment="1">
      <alignment horizontal="center" vertical="top"/>
    </xf>
    <xf numFmtId="166" fontId="3" fillId="0" borderId="0" xfId="32" applyNumberFormat="1" applyFont="1" applyFill="1" applyAlignment="1">
      <alignment vertical="top"/>
    </xf>
    <xf numFmtId="166" fontId="3" fillId="0" borderId="4" xfId="32" applyNumberFormat="1" applyFont="1" applyFill="1" applyBorder="1" applyAlignment="1">
      <alignment horizontal="center" vertical="top"/>
    </xf>
    <xf numFmtId="166" fontId="3" fillId="0" borderId="6" xfId="32" applyNumberFormat="1" applyFont="1" applyFill="1" applyBorder="1" applyAlignment="1">
      <alignment horizontal="center" vertical="top"/>
    </xf>
    <xf numFmtId="166" fontId="3" fillId="0" borderId="0" xfId="66" applyNumberFormat="1" applyFont="1" applyFill="1" applyBorder="1" applyAlignment="1">
      <alignment horizontal="center" vertical="top"/>
    </xf>
    <xf numFmtId="166" fontId="3" fillId="0" borderId="0" xfId="66" applyNumberFormat="1" applyFont="1" applyFill="1" applyBorder="1" applyAlignment="1">
      <alignment vertical="top"/>
    </xf>
    <xf numFmtId="166" fontId="3" fillId="0" borderId="4" xfId="65" applyNumberFormat="1" applyFont="1" applyFill="1" applyBorder="1" applyAlignment="1">
      <alignment horizontal="center" vertical="top"/>
    </xf>
    <xf numFmtId="166" fontId="3" fillId="0" borderId="6" xfId="65" applyNumberFormat="1" applyFont="1" applyFill="1" applyBorder="1" applyAlignment="1">
      <alignment horizontal="center" vertical="center"/>
    </xf>
    <xf numFmtId="166" fontId="3" fillId="0" borderId="0" xfId="65" applyNumberFormat="1" applyFont="1" applyFill="1" applyBorder="1" applyAlignment="1">
      <alignment horizontal="center" vertical="center"/>
    </xf>
    <xf numFmtId="166" fontId="3" fillId="0" borderId="0" xfId="32" applyNumberFormat="1" applyFont="1" applyFill="1" applyBorder="1" applyAlignment="1">
      <alignment vertical="center"/>
    </xf>
    <xf numFmtId="166" fontId="3" fillId="0" borderId="0" xfId="32" applyNumberFormat="1" applyFont="1" applyFill="1" applyBorder="1" applyAlignment="1">
      <alignment horizontal="center" vertical="center"/>
    </xf>
    <xf numFmtId="0" fontId="3" fillId="0" borderId="0" xfId="0" applyFont="1" applyFill="1" applyAlignment="1">
      <alignment horizontal="center" vertical="top"/>
    </xf>
    <xf numFmtId="0" fontId="3" fillId="0" borderId="0" xfId="0" quotePrefix="1" applyFont="1" applyFill="1" applyAlignment="1">
      <alignment horizontal="center" vertical="top"/>
    </xf>
    <xf numFmtId="0" fontId="5" fillId="0" borderId="0" xfId="8" quotePrefix="1" applyFont="1" applyFill="1" applyAlignment="1">
      <alignment horizontal="center"/>
    </xf>
    <xf numFmtId="166" fontId="3" fillId="0" borderId="0" xfId="0" applyNumberFormat="1" applyFont="1" applyFill="1" applyBorder="1" applyAlignment="1" applyProtection="1">
      <alignment horizontal="center" vertical="top"/>
      <protection locked="0"/>
    </xf>
    <xf numFmtId="166" fontId="5" fillId="0" borderId="0" xfId="0" applyNumberFormat="1" applyFont="1" applyFill="1" applyBorder="1" applyAlignment="1" applyProtection="1">
      <alignment horizontal="center" vertical="top"/>
      <protection locked="0"/>
    </xf>
    <xf numFmtId="0" fontId="5" fillId="0" borderId="0" xfId="0" quotePrefix="1" applyFont="1" applyFill="1" applyAlignment="1" applyProtection="1">
      <alignment horizontal="left" vertical="top" indent="2"/>
    </xf>
    <xf numFmtId="166" fontId="3" fillId="0" borderId="5" xfId="32" applyNumberFormat="1" applyFont="1" applyFill="1" applyBorder="1" applyAlignment="1">
      <alignment vertical="top"/>
    </xf>
    <xf numFmtId="166" fontId="3" fillId="0" borderId="6" xfId="32" applyNumberFormat="1" applyFont="1" applyFill="1" applyBorder="1" applyAlignment="1">
      <alignment vertical="top"/>
    </xf>
    <xf numFmtId="0" fontId="5" fillId="0" borderId="0" xfId="0" applyFont="1" applyFill="1" applyAlignment="1">
      <alignment vertical="center"/>
    </xf>
    <xf numFmtId="180" fontId="3" fillId="0" borderId="1" xfId="32" applyNumberFormat="1" applyFont="1" applyFill="1" applyBorder="1" applyAlignment="1">
      <alignment horizontal="center" vertical="top"/>
    </xf>
    <xf numFmtId="0" fontId="5" fillId="0" borderId="0" xfId="0" applyFont="1" applyFill="1" applyAlignment="1" applyProtection="1">
      <alignment horizontal="left" vertical="top" indent="1"/>
    </xf>
    <xf numFmtId="166" fontId="5" fillId="0" borderId="0" xfId="1" applyNumberFormat="1" applyFont="1" applyFill="1" applyBorder="1" applyAlignment="1">
      <alignment horizontal="right" vertical="top"/>
      <protection locked="0"/>
    </xf>
    <xf numFmtId="0" fontId="5" fillId="0" borderId="0" xfId="3" applyFont="1" applyFill="1" applyAlignment="1" applyProtection="1">
      <alignment vertical="top"/>
      <protection locked="0"/>
    </xf>
    <xf numFmtId="166" fontId="1" fillId="0" borderId="3" xfId="1" applyNumberFormat="1" applyFont="1" applyFill="1" applyBorder="1" applyAlignment="1">
      <alignment vertical="top"/>
      <protection locked="0"/>
    </xf>
    <xf numFmtId="166" fontId="0" fillId="0" borderId="0" xfId="32" applyNumberFormat="1" applyFont="1"/>
    <xf numFmtId="166" fontId="1" fillId="0" borderId="0" xfId="32" applyNumberFormat="1" applyFont="1" applyAlignment="1">
      <alignment horizontal="center"/>
    </xf>
    <xf numFmtId="166" fontId="1" fillId="0" borderId="0" xfId="32" quotePrefix="1" applyNumberFormat="1" applyFont="1" applyAlignment="1">
      <alignment horizontal="center"/>
    </xf>
    <xf numFmtId="166" fontId="1" fillId="0" borderId="0" xfId="32" applyNumberFormat="1" applyFont="1"/>
    <xf numFmtId="166" fontId="21" fillId="0" borderId="10" xfId="36" applyNumberFormat="1" applyFont="1" applyFill="1" applyBorder="1" applyAlignment="1">
      <alignment vertical="center"/>
      <protection locked="0"/>
    </xf>
    <xf numFmtId="166" fontId="21" fillId="0" borderId="11" xfId="36" applyNumberFormat="1" applyFont="1" applyFill="1" applyBorder="1" applyAlignment="1">
      <alignment vertical="center"/>
      <protection locked="0"/>
    </xf>
    <xf numFmtId="166" fontId="21" fillId="0" borderId="12" xfId="37" applyNumberFormat="1" applyFont="1" applyBorder="1"/>
    <xf numFmtId="166" fontId="3" fillId="0" borderId="0" xfId="32" applyNumberFormat="1" applyFont="1" applyFill="1" applyAlignment="1"/>
    <xf numFmtId="166" fontId="5" fillId="0" borderId="0" xfId="32" applyNumberFormat="1" applyFont="1" applyFill="1" applyBorder="1" applyAlignment="1">
      <alignment horizontal="center"/>
    </xf>
    <xf numFmtId="166" fontId="3" fillId="0" borderId="0" xfId="32" applyNumberFormat="1" applyFont="1" applyFill="1" applyBorder="1"/>
    <xf numFmtId="166" fontId="3" fillId="0" borderId="0" xfId="32" applyNumberFormat="1" applyFont="1" applyFill="1" applyBorder="1" applyAlignment="1">
      <alignment horizontal="center"/>
    </xf>
    <xf numFmtId="0" fontId="0" fillId="0" borderId="0" xfId="0" quotePrefix="1" applyNumberFormat="1"/>
    <xf numFmtId="0" fontId="0" fillId="0" borderId="0" xfId="32" quotePrefix="1" applyNumberFormat="1" applyFont="1"/>
    <xf numFmtId="0" fontId="3" fillId="0" borderId="0" xfId="2" applyFont="1" applyFill="1" applyBorder="1"/>
    <xf numFmtId="1" fontId="5" fillId="0" borderId="0" xfId="2" applyNumberFormat="1" applyFont="1" applyFill="1" applyBorder="1"/>
    <xf numFmtId="0" fontId="8" fillId="0" borderId="0" xfId="3" applyFont="1" applyFill="1" applyBorder="1" applyAlignment="1" applyProtection="1">
      <alignment horizontal="center" vertical="top"/>
      <protection locked="0"/>
    </xf>
    <xf numFmtId="15" fontId="3" fillId="0" borderId="0" xfId="3" quotePrefix="1" applyNumberFormat="1" applyFont="1" applyFill="1" applyAlignment="1">
      <alignment horizontal="center"/>
    </xf>
    <xf numFmtId="0" fontId="8" fillId="0" borderId="0" xfId="24" applyFont="1" applyFill="1" applyBorder="1" applyAlignment="1">
      <alignment vertical="top"/>
    </xf>
    <xf numFmtId="0" fontId="8" fillId="0" borderId="0" xfId="24" quotePrefix="1" applyFont="1" applyFill="1" applyBorder="1" applyAlignment="1">
      <alignment vertical="top"/>
    </xf>
    <xf numFmtId="15" fontId="8" fillId="0" borderId="0" xfId="3" applyNumberFormat="1" applyFont="1" applyFill="1" applyBorder="1" applyAlignment="1"/>
    <xf numFmtId="0" fontId="0" fillId="0" borderId="0" xfId="0"/>
    <xf numFmtId="43" fontId="0" fillId="0" borderId="0" xfId="32" applyNumberFormat="1" applyFont="1"/>
    <xf numFmtId="0" fontId="8" fillId="0" borderId="0" xfId="14" applyNumberFormat="1" applyFont="1" applyFill="1" applyBorder="1" applyAlignment="1">
      <alignment vertical="center" wrapText="1"/>
    </xf>
    <xf numFmtId="43" fontId="3" fillId="0" borderId="0" xfId="6" applyFont="1" applyFill="1" applyBorder="1" applyAlignment="1">
      <alignment vertical="center"/>
    </xf>
    <xf numFmtId="43" fontId="8" fillId="0" borderId="0" xfId="6" applyFont="1" applyFill="1" applyBorder="1" applyAlignment="1"/>
    <xf numFmtId="166" fontId="8" fillId="0" borderId="0" xfId="32" applyNumberFormat="1" applyFont="1" applyFill="1" applyAlignment="1">
      <alignment vertical="center"/>
    </xf>
    <xf numFmtId="3" fontId="5" fillId="0" borderId="0" xfId="2" applyNumberFormat="1" applyFont="1" applyFill="1"/>
    <xf numFmtId="0" fontId="8" fillId="0" borderId="0" xfId="7" applyFont="1" applyFill="1" applyAlignment="1">
      <alignment horizontal="center" vertical="top" wrapText="1"/>
    </xf>
    <xf numFmtId="0" fontId="3" fillId="0" borderId="0" xfId="7" applyNumberFormat="1" applyFont="1" applyFill="1" applyAlignment="1">
      <alignment horizontal="center" vertical="top"/>
    </xf>
    <xf numFmtId="49" fontId="8" fillId="0" borderId="0" xfId="7" applyNumberFormat="1" applyFont="1" applyFill="1" applyAlignment="1">
      <alignment horizontal="justify" vertical="top" wrapText="1"/>
    </xf>
    <xf numFmtId="168" fontId="8" fillId="0" borderId="0" xfId="1" applyNumberFormat="1" applyFont="1" applyFill="1" applyAlignment="1">
      <alignment vertical="center"/>
      <protection locked="0"/>
    </xf>
    <xf numFmtId="0" fontId="13" fillId="0" borderId="0" xfId="3" quotePrefix="1" applyFont="1" applyFill="1" applyBorder="1" applyAlignment="1">
      <alignment horizontal="left"/>
    </xf>
    <xf numFmtId="0" fontId="3" fillId="0" borderId="0" xfId="0" applyFont="1" applyFill="1" applyAlignment="1">
      <alignment horizontal="left"/>
    </xf>
    <xf numFmtId="166" fontId="29" fillId="0" borderId="0" xfId="37" applyNumberFormat="1" applyFont="1" applyFill="1" applyBorder="1"/>
    <xf numFmtId="166" fontId="2" fillId="0" borderId="0" xfId="8" applyNumberFormat="1" applyFont="1" applyFill="1" applyBorder="1"/>
    <xf numFmtId="166" fontId="2" fillId="0" borderId="0" xfId="37" applyNumberFormat="1" applyFont="1" applyFill="1" applyBorder="1"/>
    <xf numFmtId="0" fontId="2" fillId="0" borderId="0" xfId="8" applyFont="1" applyFill="1" applyBorder="1"/>
    <xf numFmtId="43" fontId="2" fillId="0" borderId="0" xfId="32" applyFont="1" applyFill="1" applyBorder="1"/>
    <xf numFmtId="166" fontId="2" fillId="0" borderId="0" xfId="32" applyNumberFormat="1" applyFont="1" applyFill="1"/>
    <xf numFmtId="166" fontId="2" fillId="0" borderId="0" xfId="8" applyNumberFormat="1" applyFont="1" applyFill="1"/>
    <xf numFmtId="166" fontId="2" fillId="0" borderId="0" xfId="32" applyNumberFormat="1" applyFont="1" applyFill="1" applyBorder="1"/>
    <xf numFmtId="0" fontId="8" fillId="0" borderId="0" xfId="3" applyNumberFormat="1" applyFont="1" applyFill="1" applyAlignment="1">
      <alignment horizontal="justify" vertical="top" wrapText="1"/>
    </xf>
    <xf numFmtId="0" fontId="8" fillId="0" borderId="0" xfId="3" applyNumberFormat="1" applyFont="1" applyFill="1" applyAlignment="1">
      <alignment vertical="top" wrapText="1"/>
    </xf>
    <xf numFmtId="0" fontId="3" fillId="0" borderId="0" xfId="3" applyFont="1" applyFill="1" applyAlignment="1">
      <alignment horizontal="center" vertical="top"/>
    </xf>
    <xf numFmtId="0" fontId="3" fillId="0" borderId="0" xfId="3" applyFont="1" applyFill="1" applyAlignment="1">
      <alignment horizontal="center" vertical="center"/>
    </xf>
    <xf numFmtId="49" fontId="8" fillId="0" borderId="0" xfId="7" applyNumberFormat="1" applyFont="1" applyFill="1" applyAlignment="1">
      <alignment horizontal="justify" vertical="top" wrapText="1"/>
    </xf>
    <xf numFmtId="0" fontId="8" fillId="0" borderId="0" xfId="7" applyNumberFormat="1" applyFont="1" applyFill="1" applyAlignment="1">
      <alignment horizontal="justify" vertical="top" wrapText="1"/>
    </xf>
    <xf numFmtId="0" fontId="8" fillId="0" borderId="0" xfId="7" applyFont="1" applyFill="1" applyAlignment="1">
      <alignment horizontal="justify" vertical="top" wrapText="1"/>
    </xf>
    <xf numFmtId="0" fontId="8" fillId="0" borderId="0" xfId="13" applyNumberFormat="1" applyFont="1" applyFill="1" applyAlignment="1">
      <alignment horizontal="justify" vertical="top" wrapText="1"/>
    </xf>
    <xf numFmtId="0" fontId="5" fillId="0" borderId="0" xfId="8" applyFont="1" applyFill="1" applyAlignment="1">
      <alignment horizontal="justify" vertical="top" wrapText="1"/>
    </xf>
    <xf numFmtId="0" fontId="3" fillId="0" borderId="0" xfId="3" quotePrefix="1" applyFont="1" applyFill="1" applyAlignment="1">
      <alignment horizontal="center" vertical="center"/>
    </xf>
    <xf numFmtId="166" fontId="13" fillId="0" borderId="0" xfId="1" applyNumberFormat="1" applyFont="1" applyFill="1" applyBorder="1" applyAlignment="1">
      <alignment horizontal="right" vertical="top"/>
      <protection locked="0"/>
    </xf>
    <xf numFmtId="166" fontId="5" fillId="0" borderId="0" xfId="1" quotePrefix="1" applyNumberFormat="1" applyFont="1" applyFill="1" applyBorder="1" applyAlignment="1">
      <alignment horizontal="center" vertical="top"/>
      <protection locked="0"/>
    </xf>
    <xf numFmtId="165" fontId="5" fillId="0" borderId="0" xfId="2" applyNumberFormat="1" applyFont="1" applyFill="1"/>
    <xf numFmtId="0" fontId="13" fillId="2" borderId="0" xfId="3" applyFont="1" applyFill="1" applyAlignment="1">
      <alignment horizontal="left" vertical="center"/>
    </xf>
    <xf numFmtId="0" fontId="13" fillId="2" borderId="0" xfId="3" applyNumberFormat="1" applyFont="1" applyFill="1" applyAlignment="1">
      <alignment vertical="top"/>
    </xf>
    <xf numFmtId="0" fontId="8" fillId="2" borderId="0" xfId="3" applyNumberFormat="1" applyFont="1" applyFill="1" applyAlignment="1">
      <alignment vertical="top"/>
    </xf>
    <xf numFmtId="0" fontId="8" fillId="2" borderId="0" xfId="3" applyFont="1" applyFill="1" applyAlignment="1"/>
    <xf numFmtId="0" fontId="8" fillId="2" borderId="0" xfId="3" applyFont="1" applyFill="1" applyAlignment="1">
      <alignment vertical="center"/>
    </xf>
    <xf numFmtId="0" fontId="3" fillId="2" borderId="10" xfId="20" applyFont="1" applyFill="1" applyBorder="1" applyAlignment="1">
      <alignment horizontal="center" vertical="center"/>
    </xf>
    <xf numFmtId="0" fontId="3" fillId="2" borderId="17" xfId="21" applyNumberFormat="1" applyFont="1" applyFill="1" applyBorder="1" applyAlignment="1">
      <alignment horizontal="center" vertical="center" wrapText="1"/>
    </xf>
    <xf numFmtId="0" fontId="3" fillId="2" borderId="17" xfId="20" applyFont="1" applyFill="1" applyBorder="1" applyAlignment="1">
      <alignment horizontal="center" vertical="center" wrapText="1"/>
    </xf>
    <xf numFmtId="0" fontId="3" fillId="2" borderId="10" xfId="21" applyNumberFormat="1" applyFont="1" applyFill="1" applyBorder="1" applyAlignment="1">
      <alignment horizontal="center" vertical="center" wrapText="1"/>
    </xf>
    <xf numFmtId="0" fontId="3" fillId="2" borderId="11" xfId="21" applyNumberFormat="1" applyFont="1" applyFill="1" applyBorder="1" applyAlignment="1">
      <alignment vertical="center" wrapText="1"/>
    </xf>
    <xf numFmtId="0" fontId="3" fillId="2" borderId="17" xfId="2" applyFont="1" applyFill="1" applyBorder="1" applyAlignment="1">
      <alignment horizontal="center" vertical="center" wrapText="1"/>
    </xf>
    <xf numFmtId="0" fontId="3" fillId="2" borderId="0" xfId="3" quotePrefix="1" applyFont="1" applyFill="1" applyBorder="1" applyAlignment="1">
      <alignment horizontal="center"/>
    </xf>
    <xf numFmtId="0" fontId="8" fillId="2" borderId="0" xfId="3" applyFont="1" applyFill="1" applyAlignment="1">
      <alignment horizontal="center" vertical="center"/>
    </xf>
    <xf numFmtId="10" fontId="8" fillId="2" borderId="0" xfId="30" applyNumberFormat="1" applyFont="1" applyFill="1" applyAlignment="1">
      <alignment horizontal="center" vertical="top"/>
    </xf>
    <xf numFmtId="177" fontId="8" fillId="2" borderId="0" xfId="3" applyNumberFormat="1" applyFont="1" applyFill="1" applyAlignment="1">
      <alignment horizontal="center" vertical="top"/>
    </xf>
    <xf numFmtId="43" fontId="5" fillId="2" borderId="0" xfId="32" applyFont="1" applyFill="1" applyAlignment="1">
      <alignment horizontal="right" vertical="center"/>
    </xf>
    <xf numFmtId="9" fontId="5" fillId="2" borderId="0" xfId="30" applyFont="1" applyFill="1" applyAlignment="1">
      <alignment horizontal="right" vertical="center"/>
    </xf>
    <xf numFmtId="0" fontId="8" fillId="2" borderId="0" xfId="3" applyNumberFormat="1" applyFont="1" applyFill="1" applyAlignment="1">
      <alignment horizontal="center" vertical="top"/>
    </xf>
    <xf numFmtId="0" fontId="3" fillId="2" borderId="0" xfId="3" applyFont="1" applyFill="1" applyAlignment="1">
      <alignment horizontal="center" vertical="center"/>
    </xf>
    <xf numFmtId="176" fontId="3" fillId="2" borderId="0" xfId="31" applyNumberFormat="1" applyFont="1" applyFill="1" applyAlignment="1">
      <alignment horizontal="left"/>
    </xf>
    <xf numFmtId="43" fontId="5" fillId="2" borderId="7" xfId="32" applyFont="1" applyFill="1" applyBorder="1" applyAlignment="1">
      <alignment horizontal="right" vertical="center"/>
    </xf>
    <xf numFmtId="37" fontId="13" fillId="2" borderId="0" xfId="3" applyNumberFormat="1" applyFont="1" applyFill="1" applyBorder="1" applyAlignment="1">
      <alignment horizontal="right" vertical="top"/>
    </xf>
    <xf numFmtId="176" fontId="8" fillId="2" borderId="0" xfId="31" applyNumberFormat="1" applyFont="1" applyFill="1" applyAlignment="1">
      <alignment horizontal="left"/>
    </xf>
    <xf numFmtId="37" fontId="8" fillId="2" borderId="1" xfId="3" applyNumberFormat="1" applyFont="1" applyFill="1" applyBorder="1" applyAlignment="1">
      <alignment horizontal="center" vertical="top"/>
    </xf>
    <xf numFmtId="37" fontId="8" fillId="2" borderId="0" xfId="3" applyNumberFormat="1" applyFont="1" applyFill="1" applyAlignment="1">
      <alignment horizontal="right" vertical="top"/>
    </xf>
    <xf numFmtId="37" fontId="13" fillId="2" borderId="7" xfId="3" applyNumberFormat="1" applyFont="1" applyFill="1" applyBorder="1" applyAlignment="1">
      <alignment horizontal="right" vertical="top"/>
    </xf>
    <xf numFmtId="0" fontId="10" fillId="0" borderId="0" xfId="7" applyFont="1" applyFill="1" applyAlignment="1" applyProtection="1">
      <alignment vertical="top"/>
      <protection locked="0"/>
    </xf>
    <xf numFmtId="0" fontId="5" fillId="0" borderId="0" xfId="7" applyFont="1" applyFill="1" applyBorder="1" applyAlignment="1" applyProtection="1">
      <alignment vertical="top"/>
      <protection locked="0"/>
    </xf>
    <xf numFmtId="0" fontId="5" fillId="0" borderId="0" xfId="3" applyFont="1" applyFill="1" applyAlignment="1">
      <alignment horizontal="center" vertical="top"/>
    </xf>
    <xf numFmtId="0" fontId="35" fillId="0" borderId="0" xfId="26" applyNumberFormat="1" applyFont="1" applyFill="1" applyAlignment="1">
      <alignment vertical="top"/>
    </xf>
    <xf numFmtId="0" fontId="36" fillId="0" borderId="0" xfId="26" quotePrefix="1" applyNumberFormat="1" applyFont="1" applyFill="1" applyAlignment="1">
      <alignment horizontal="left" vertical="center"/>
    </xf>
    <xf numFmtId="0" fontId="35" fillId="0" borderId="0" xfId="62" applyFont="1" applyFill="1" applyAlignment="1"/>
    <xf numFmtId="0" fontId="38" fillId="0" borderId="0" xfId="0" applyFont="1" applyFill="1" applyAlignment="1" applyProtection="1">
      <alignment horizontal="justify"/>
    </xf>
    <xf numFmtId="0" fontId="3" fillId="0" borderId="0" xfId="3" applyFont="1" applyFill="1" applyAlignment="1">
      <alignment horizontal="center"/>
    </xf>
    <xf numFmtId="166" fontId="5" fillId="0" borderId="0" xfId="32" applyNumberFormat="1" applyFont="1" applyFill="1" applyAlignment="1">
      <alignment vertical="center"/>
    </xf>
    <xf numFmtId="0" fontId="0" fillId="0" borderId="0" xfId="32" applyNumberFormat="1" applyFont="1"/>
    <xf numFmtId="166" fontId="3" fillId="0" borderId="8" xfId="32" applyNumberFormat="1" applyFont="1" applyFill="1" applyBorder="1" applyAlignment="1">
      <alignment horizontal="center" vertical="top"/>
    </xf>
    <xf numFmtId="166" fontId="3" fillId="0" borderId="13" xfId="32" applyNumberFormat="1" applyFont="1" applyFill="1" applyBorder="1" applyAlignment="1">
      <alignment vertical="top"/>
    </xf>
    <xf numFmtId="166" fontId="3" fillId="0" borderId="15" xfId="32" applyNumberFormat="1" applyFont="1" applyFill="1" applyBorder="1" applyAlignment="1">
      <alignment horizontal="center" vertical="top"/>
    </xf>
    <xf numFmtId="0" fontId="3" fillId="0" borderId="0" xfId="3" quotePrefix="1" applyFont="1" applyFill="1" applyBorder="1" applyAlignment="1">
      <alignment vertical="center"/>
    </xf>
    <xf numFmtId="0" fontId="8" fillId="0" borderId="0" xfId="14" quotePrefix="1" applyNumberFormat="1" applyFont="1" applyFill="1" applyBorder="1" applyAlignment="1">
      <alignment horizontal="center" vertical="center"/>
    </xf>
    <xf numFmtId="0" fontId="8" fillId="0" borderId="0" xfId="3" quotePrefix="1" applyFont="1" applyFill="1" applyBorder="1" applyAlignment="1">
      <alignment vertical="center"/>
    </xf>
    <xf numFmtId="0" fontId="8" fillId="0" borderId="0" xfId="3" quotePrefix="1" applyNumberFormat="1" applyFont="1" applyFill="1" applyBorder="1" applyAlignment="1">
      <alignment vertical="center"/>
    </xf>
    <xf numFmtId="166" fontId="8" fillId="0" borderId="0" xfId="6" quotePrefix="1" applyNumberFormat="1" applyFont="1" applyFill="1" applyBorder="1" applyAlignment="1"/>
    <xf numFmtId="166" fontId="1" fillId="0" borderId="22" xfId="32" applyNumberFormat="1" applyFont="1" applyBorder="1"/>
    <xf numFmtId="10" fontId="0" fillId="0" borderId="0" xfId="30" applyNumberFormat="1" applyFont="1"/>
    <xf numFmtId="10" fontId="3" fillId="0" borderId="0" xfId="30" quotePrefix="1" applyNumberFormat="1" applyFont="1" applyFill="1" applyBorder="1" applyAlignment="1">
      <alignment vertical="center"/>
    </xf>
    <xf numFmtId="10" fontId="8" fillId="0" borderId="0" xfId="30" applyNumberFormat="1" applyFont="1" applyFill="1" applyBorder="1" applyAlignment="1">
      <alignment horizontal="center" vertical="center"/>
    </xf>
    <xf numFmtId="10" fontId="8" fillId="0" borderId="0" xfId="30" applyNumberFormat="1" applyFont="1" applyFill="1" applyBorder="1" applyAlignment="1"/>
    <xf numFmtId="10" fontId="3" fillId="0" borderId="0" xfId="30" applyNumberFormat="1" applyFont="1" applyFill="1" applyBorder="1" applyAlignment="1">
      <alignment vertical="center"/>
    </xf>
    <xf numFmtId="10" fontId="8" fillId="0" borderId="0" xfId="30" applyNumberFormat="1" applyFont="1" applyFill="1" applyAlignment="1"/>
    <xf numFmtId="10" fontId="24" fillId="0" borderId="0" xfId="30" applyNumberFormat="1" applyFont="1"/>
    <xf numFmtId="10" fontId="24" fillId="0" borderId="0" xfId="30" applyNumberFormat="1" applyFont="1" applyBorder="1"/>
    <xf numFmtId="166" fontId="5" fillId="0" borderId="0" xfId="7" quotePrefix="1" applyNumberFormat="1" applyFont="1" applyFill="1" applyBorder="1" applyAlignment="1">
      <alignment horizontal="center" vertical="center"/>
    </xf>
    <xf numFmtId="0" fontId="5" fillId="0" borderId="0" xfId="14" quotePrefix="1" applyNumberFormat="1" applyFont="1" applyFill="1" applyBorder="1" applyAlignment="1"/>
    <xf numFmtId="166" fontId="20" fillId="0" borderId="0" xfId="32" applyNumberFormat="1" applyFont="1" applyBorder="1" applyAlignment="1"/>
    <xf numFmtId="166" fontId="20" fillId="0" borderId="0" xfId="32" applyNumberFormat="1" applyFont="1" applyBorder="1"/>
    <xf numFmtId="0" fontId="0" fillId="0" borderId="0" xfId="0" applyFont="1" applyBorder="1" applyAlignment="1">
      <alignment horizontal="left" indent="1"/>
    </xf>
    <xf numFmtId="166" fontId="3" fillId="0" borderId="0" xfId="7" applyNumberFormat="1" applyFont="1" applyFill="1" applyBorder="1" applyAlignment="1">
      <alignment horizontal="left" vertical="center"/>
    </xf>
    <xf numFmtId="166" fontId="5" fillId="0" borderId="0" xfId="32" quotePrefix="1" applyNumberFormat="1" applyFont="1" applyFill="1" applyBorder="1" applyAlignment="1">
      <alignment horizontal="left" vertical="center"/>
    </xf>
    <xf numFmtId="166" fontId="5" fillId="0" borderId="0" xfId="32" quotePrefix="1" applyNumberFormat="1" applyFont="1" applyFill="1" applyBorder="1" applyAlignment="1">
      <alignment horizontal="center" vertical="center"/>
    </xf>
    <xf numFmtId="166" fontId="5" fillId="0" borderId="0" xfId="32" applyNumberFormat="1" applyFont="1" applyFill="1" applyBorder="1" applyAlignment="1">
      <alignment horizontal="left" vertical="center"/>
    </xf>
    <xf numFmtId="10" fontId="5" fillId="0" borderId="0" xfId="30" quotePrefix="1" applyNumberFormat="1" applyFont="1" applyFill="1" applyBorder="1" applyAlignment="1">
      <alignment horizontal="right" vertical="center"/>
    </xf>
    <xf numFmtId="10" fontId="20" fillId="0" borderId="0" xfId="30" applyNumberFormat="1" applyFont="1" applyBorder="1" applyAlignment="1">
      <alignment horizontal="right"/>
    </xf>
    <xf numFmtId="166" fontId="3" fillId="0" borderId="7" xfId="32" applyNumberFormat="1" applyFont="1" applyFill="1" applyBorder="1" applyAlignment="1">
      <alignment horizontal="left" vertical="center"/>
    </xf>
    <xf numFmtId="166" fontId="1" fillId="2" borderId="0" xfId="32" applyNumberFormat="1" applyFont="1" applyFill="1"/>
    <xf numFmtId="166" fontId="3" fillId="0" borderId="7" xfId="7" applyNumberFormat="1" applyFont="1" applyFill="1" applyBorder="1" applyAlignment="1">
      <alignment horizontal="left" vertical="center"/>
    </xf>
    <xf numFmtId="0" fontId="13" fillId="0" borderId="0" xfId="3" applyNumberFormat="1" applyFont="1" applyFill="1" applyBorder="1" applyAlignment="1">
      <alignment vertical="center"/>
    </xf>
    <xf numFmtId="0" fontId="1" fillId="0" borderId="0" xfId="0" applyFont="1" applyBorder="1" applyAlignment="1">
      <alignment horizontal="left"/>
    </xf>
    <xf numFmtId="166" fontId="3" fillId="0" borderId="0" xfId="32" quotePrefix="1" applyNumberFormat="1" applyFont="1" applyFill="1" applyAlignment="1">
      <alignment horizontal="left" vertical="center"/>
    </xf>
    <xf numFmtId="166" fontId="8" fillId="0" borderId="0" xfId="32" quotePrefix="1" applyNumberFormat="1" applyFont="1" applyFill="1" applyAlignment="1">
      <alignment vertical="center"/>
    </xf>
    <xf numFmtId="166" fontId="8" fillId="0" borderId="0" xfId="32" quotePrefix="1" applyNumberFormat="1" applyFont="1" applyFill="1" applyBorder="1" applyAlignment="1">
      <alignment horizontal="center" vertical="center" wrapText="1"/>
    </xf>
    <xf numFmtId="166" fontId="8" fillId="0" borderId="0" xfId="32" quotePrefix="1" applyNumberFormat="1" applyFont="1" applyFill="1" applyBorder="1" applyAlignment="1">
      <alignment horizontal="center" vertical="center"/>
    </xf>
    <xf numFmtId="166" fontId="5" fillId="0" borderId="0" xfId="32" quotePrefix="1" applyNumberFormat="1" applyFont="1" applyFill="1" applyBorder="1" applyAlignment="1"/>
    <xf numFmtId="166" fontId="8" fillId="0" borderId="0" xfId="32" quotePrefix="1" applyNumberFormat="1" applyFont="1" applyFill="1" applyBorder="1" applyAlignment="1">
      <alignment vertical="center"/>
    </xf>
    <xf numFmtId="166" fontId="8" fillId="0" borderId="0" xfId="32" applyNumberFormat="1" applyFont="1" applyFill="1" applyAlignment="1">
      <alignment horizontal="left"/>
    </xf>
    <xf numFmtId="166" fontId="8" fillId="0" borderId="0" xfId="32" applyNumberFormat="1" applyFont="1" applyFill="1" applyBorder="1" applyAlignment="1"/>
    <xf numFmtId="166" fontId="8" fillId="0" borderId="0" xfId="32" applyNumberFormat="1" applyFont="1" applyFill="1" applyAlignment="1"/>
    <xf numFmtId="4" fontId="5" fillId="0" borderId="0" xfId="0" applyNumberFormat="1" applyFont="1" applyFill="1" applyAlignment="1">
      <alignment vertical="top"/>
    </xf>
    <xf numFmtId="166" fontId="13" fillId="0" borderId="0" xfId="6" applyNumberFormat="1" applyFont="1" applyFill="1" applyBorder="1"/>
    <xf numFmtId="0" fontId="3" fillId="0" borderId="0" xfId="3" applyFont="1" applyFill="1" applyAlignment="1">
      <alignment horizontal="center" vertical="center"/>
    </xf>
    <xf numFmtId="0" fontId="8" fillId="0" borderId="0" xfId="7" applyFont="1" applyFill="1" applyAlignment="1">
      <alignment horizontal="justify" vertical="top" wrapText="1"/>
    </xf>
    <xf numFmtId="0" fontId="8" fillId="0" borderId="0" xfId="7" applyNumberFormat="1" applyFont="1" applyFill="1" applyAlignment="1">
      <alignment horizontal="left" vertical="top" wrapText="1"/>
    </xf>
    <xf numFmtId="0" fontId="5" fillId="0" borderId="0" xfId="3" applyNumberFormat="1" applyFont="1" applyFill="1" applyBorder="1" applyAlignment="1">
      <alignment horizontal="justify" vertical="top" wrapText="1"/>
    </xf>
    <xf numFmtId="0" fontId="13" fillId="0" borderId="0" xfId="3" applyFont="1" applyFill="1" applyBorder="1" applyAlignment="1"/>
    <xf numFmtId="169" fontId="13" fillId="0" borderId="0" xfId="17" applyNumberFormat="1" applyFont="1" applyFill="1" applyAlignment="1">
      <alignment horizontal="left"/>
    </xf>
    <xf numFmtId="166" fontId="3" fillId="0" borderId="0" xfId="32" applyNumberFormat="1" applyFont="1" applyFill="1" applyAlignment="1" applyProtection="1">
      <alignment horizontal="center" vertical="center"/>
    </xf>
    <xf numFmtId="166" fontId="8" fillId="0" borderId="0" xfId="32" applyNumberFormat="1" applyFont="1" applyFill="1" applyAlignment="1" applyProtection="1">
      <alignment horizontal="center" vertical="center"/>
    </xf>
    <xf numFmtId="166" fontId="3" fillId="0" borderId="7" xfId="32" applyNumberFormat="1" applyFont="1" applyFill="1" applyBorder="1" applyAlignment="1" applyProtection="1">
      <alignment horizontal="center" vertical="center"/>
    </xf>
    <xf numFmtId="166" fontId="8" fillId="0" borderId="7" xfId="32" applyNumberFormat="1" applyFont="1" applyFill="1" applyBorder="1" applyAlignment="1" applyProtection="1">
      <alignment horizontal="center" vertical="center"/>
    </xf>
    <xf numFmtId="43" fontId="8" fillId="0" borderId="0" xfId="3" applyNumberFormat="1" applyFont="1" applyFill="1" applyAlignment="1">
      <alignment vertical="center"/>
    </xf>
    <xf numFmtId="0" fontId="5" fillId="0" borderId="0" xfId="3" applyNumberFormat="1" applyFont="1" applyFill="1" applyBorder="1" applyAlignment="1">
      <alignment vertical="top"/>
    </xf>
    <xf numFmtId="0" fontId="39" fillId="0" borderId="0" xfId="0" applyFont="1"/>
    <xf numFmtId="0" fontId="13" fillId="0" borderId="0" xfId="3" applyFont="1" applyFill="1" applyBorder="1" applyAlignment="1">
      <alignment horizontal="left"/>
    </xf>
    <xf numFmtId="166" fontId="3" fillId="0" borderId="0" xfId="6" applyNumberFormat="1" applyFont="1" applyFill="1" applyBorder="1" applyAlignment="1">
      <alignment vertical="center"/>
    </xf>
    <xf numFmtId="166" fontId="5" fillId="0" borderId="0" xfId="6" applyNumberFormat="1" applyFont="1" applyFill="1" applyBorder="1" applyAlignment="1">
      <alignment vertical="center"/>
    </xf>
    <xf numFmtId="166" fontId="5" fillId="0" borderId="3" xfId="32" applyNumberFormat="1" applyFont="1" applyFill="1" applyBorder="1" applyAlignment="1">
      <alignment vertical="top"/>
    </xf>
    <xf numFmtId="166" fontId="5" fillId="0" borderId="3" xfId="32" applyNumberFormat="1" applyFont="1" applyFill="1" applyBorder="1" applyAlignment="1">
      <alignment horizontal="center" vertical="top"/>
    </xf>
    <xf numFmtId="166" fontId="3" fillId="0" borderId="3" xfId="32" applyNumberFormat="1" applyFont="1" applyFill="1" applyBorder="1" applyAlignment="1">
      <alignment horizontal="center" vertical="top"/>
    </xf>
    <xf numFmtId="0" fontId="3" fillId="0" borderId="0" xfId="8" applyFont="1" applyFill="1" applyBorder="1" applyAlignment="1">
      <alignment vertical="center"/>
    </xf>
    <xf numFmtId="166" fontId="5" fillId="0" borderId="0" xfId="22" applyNumberFormat="1" applyFont="1" applyFill="1" applyBorder="1" applyAlignment="1">
      <alignment vertical="top"/>
    </xf>
    <xf numFmtId="0" fontId="5" fillId="0" borderId="0" xfId="3" applyFont="1" applyFill="1" applyBorder="1" applyAlignment="1">
      <alignment vertical="top"/>
    </xf>
    <xf numFmtId="166" fontId="5" fillId="0" borderId="0" xfId="22" applyNumberFormat="1" applyFont="1" applyFill="1" applyAlignment="1">
      <alignment vertical="top"/>
    </xf>
    <xf numFmtId="168" fontId="1" fillId="0" borderId="0" xfId="32" applyNumberFormat="1" applyFont="1"/>
    <xf numFmtId="168" fontId="0" fillId="0" borderId="0" xfId="32" applyNumberFormat="1" applyFont="1"/>
    <xf numFmtId="0" fontId="3" fillId="0" borderId="0" xfId="0" quotePrefix="1" applyFont="1" applyFill="1" applyAlignment="1">
      <alignment horizontal="center" vertical="top"/>
    </xf>
    <xf numFmtId="0" fontId="5" fillId="0" borderId="0" xfId="0" quotePrefix="1" applyFont="1" applyFill="1" applyAlignment="1">
      <alignment horizontal="center" vertical="top"/>
    </xf>
    <xf numFmtId="166" fontId="5" fillId="0" borderId="0" xfId="65" applyNumberFormat="1" applyFont="1" applyFill="1" applyAlignment="1">
      <alignment horizontal="center" vertical="top"/>
    </xf>
    <xf numFmtId="166" fontId="5" fillId="0" borderId="5" xfId="32" applyNumberFormat="1" applyFont="1" applyFill="1" applyBorder="1" applyAlignment="1">
      <alignment vertical="top"/>
    </xf>
    <xf numFmtId="166" fontId="5" fillId="0" borderId="4" xfId="65" applyNumberFormat="1" applyFont="1" applyFill="1" applyBorder="1" applyAlignment="1">
      <alignment horizontal="center" vertical="top"/>
    </xf>
    <xf numFmtId="166" fontId="5" fillId="0" borderId="6" xfId="65" applyNumberFormat="1" applyFont="1" applyFill="1" applyBorder="1" applyAlignment="1">
      <alignment horizontal="center" vertical="center"/>
    </xf>
    <xf numFmtId="166" fontId="5" fillId="0" borderId="0" xfId="65" applyNumberFormat="1" applyFont="1" applyFill="1" applyBorder="1" applyAlignment="1">
      <alignment horizontal="center" vertical="center"/>
    </xf>
    <xf numFmtId="166" fontId="5" fillId="0" borderId="4" xfId="32" applyNumberFormat="1" applyFont="1" applyFill="1" applyBorder="1" applyAlignment="1">
      <alignment vertical="top"/>
    </xf>
    <xf numFmtId="166" fontId="5" fillId="0" borderId="6" xfId="32" applyNumberFormat="1" applyFont="1" applyFill="1" applyBorder="1" applyAlignment="1">
      <alignment vertical="top"/>
    </xf>
    <xf numFmtId="0" fontId="3" fillId="0" borderId="0" xfId="0" applyFont="1" applyFill="1" applyAlignment="1">
      <alignment horizontal="center" vertical="top"/>
    </xf>
    <xf numFmtId="0" fontId="3" fillId="0" borderId="0" xfId="3" applyFont="1" applyFill="1" applyAlignment="1">
      <alignment horizontal="center"/>
    </xf>
    <xf numFmtId="0" fontId="3" fillId="0" borderId="0" xfId="3" applyFont="1" applyFill="1" applyAlignment="1">
      <alignment horizontal="center" vertical="center"/>
    </xf>
    <xf numFmtId="0" fontId="3" fillId="0" borderId="0" xfId="0" applyFont="1" applyFill="1" applyAlignment="1">
      <alignment horizontal="left" indent="12"/>
    </xf>
    <xf numFmtId="165" fontId="5" fillId="0" borderId="0" xfId="1" applyNumberFormat="1" applyFont="1" applyFill="1" applyBorder="1" applyAlignment="1">
      <alignment vertical="center"/>
      <protection locked="0"/>
    </xf>
    <xf numFmtId="166" fontId="5" fillId="0" borderId="4" xfId="1" applyNumberFormat="1" applyFont="1" applyFill="1" applyBorder="1" applyAlignment="1">
      <alignment vertical="center"/>
      <protection locked="0"/>
    </xf>
    <xf numFmtId="166" fontId="5" fillId="4" borderId="5" xfId="1" applyNumberFormat="1" applyFont="1" applyFill="1" applyBorder="1" applyAlignment="1">
      <alignment vertical="center"/>
      <protection locked="0"/>
    </xf>
    <xf numFmtId="166" fontId="5" fillId="4" borderId="6" xfId="1" applyNumberFormat="1" applyFont="1" applyFill="1" applyBorder="1" applyAlignment="1">
      <alignment vertical="center"/>
      <protection locked="0"/>
    </xf>
    <xf numFmtId="0" fontId="5" fillId="0" borderId="0" xfId="3" applyFont="1" applyFill="1" applyAlignment="1">
      <alignment horizontal="center" vertical="center" wrapText="1"/>
    </xf>
    <xf numFmtId="166" fontId="5" fillId="0" borderId="1" xfId="1" applyNumberFormat="1" applyFont="1" applyFill="1" applyBorder="1" applyAlignment="1">
      <alignment horizontal="right" vertical="center"/>
      <protection locked="0"/>
    </xf>
    <xf numFmtId="166" fontId="20" fillId="0" borderId="3" xfId="1" applyNumberFormat="1" applyFont="1" applyFill="1" applyBorder="1" applyAlignment="1">
      <alignment vertical="top"/>
      <protection locked="0"/>
    </xf>
    <xf numFmtId="166" fontId="5" fillId="0" borderId="0" xfId="3" applyNumberFormat="1" applyFont="1" applyFill="1" applyBorder="1" applyAlignment="1" applyProtection="1">
      <alignment horizontal="center" vertical="top"/>
      <protection locked="0"/>
    </xf>
    <xf numFmtId="166" fontId="5" fillId="0" borderId="4" xfId="3" applyNumberFormat="1" applyFont="1" applyFill="1" applyBorder="1" applyAlignment="1" applyProtection="1">
      <alignment horizontal="center" vertical="top"/>
      <protection locked="0"/>
    </xf>
    <xf numFmtId="166" fontId="5" fillId="0" borderId="6" xfId="3" applyNumberFormat="1" applyFont="1" applyFill="1" applyBorder="1" applyAlignment="1" applyProtection="1">
      <alignment horizontal="center" vertical="top"/>
      <protection locked="0"/>
    </xf>
    <xf numFmtId="166" fontId="5" fillId="0" borderId="7" xfId="3" applyNumberFormat="1" applyFont="1" applyFill="1" applyBorder="1" applyAlignment="1" applyProtection="1">
      <alignment horizontal="center" vertical="top"/>
      <protection locked="0"/>
    </xf>
    <xf numFmtId="0" fontId="5" fillId="0" borderId="0" xfId="0" applyFont="1" applyFill="1" applyAlignment="1"/>
    <xf numFmtId="166" fontId="5" fillId="0" borderId="2" xfId="32" applyNumberFormat="1" applyFont="1" applyFill="1" applyBorder="1" applyAlignment="1">
      <alignment vertical="top"/>
    </xf>
    <xf numFmtId="41" fontId="5" fillId="0" borderId="0" xfId="29" applyNumberFormat="1" applyFont="1" applyFill="1" applyBorder="1"/>
    <xf numFmtId="41" fontId="5" fillId="0" borderId="7" xfId="28" applyNumberFormat="1" applyFont="1" applyFill="1" applyBorder="1" applyAlignment="1">
      <alignment vertical="center"/>
    </xf>
    <xf numFmtId="166" fontId="5" fillId="0" borderId="7" xfId="8" applyNumberFormat="1" applyFont="1" applyFill="1" applyBorder="1"/>
    <xf numFmtId="166" fontId="3" fillId="0" borderId="7" xfId="8" applyNumberFormat="1" applyFont="1" applyFill="1" applyBorder="1"/>
    <xf numFmtId="41" fontId="5" fillId="0" borderId="7" xfId="3" applyNumberFormat="1" applyFont="1" applyFill="1" applyBorder="1" applyAlignment="1">
      <alignment vertical="center"/>
    </xf>
    <xf numFmtId="37" fontId="5" fillId="4" borderId="7" xfId="3" applyNumberFormat="1" applyFont="1" applyFill="1" applyBorder="1" applyAlignment="1">
      <alignment vertical="center"/>
    </xf>
    <xf numFmtId="0" fontId="0" fillId="2" borderId="0" xfId="0" quotePrefix="1" applyNumberFormat="1" applyFill="1"/>
    <xf numFmtId="0" fontId="0" fillId="2" borderId="0" xfId="0" applyFill="1"/>
    <xf numFmtId="166" fontId="0" fillId="2" borderId="0" xfId="32" applyNumberFormat="1" applyFont="1" applyFill="1"/>
    <xf numFmtId="0" fontId="0" fillId="2" borderId="0" xfId="32" applyNumberFormat="1" applyFont="1" applyFill="1"/>
    <xf numFmtId="166" fontId="0" fillId="0" borderId="0" xfId="32" applyNumberFormat="1" applyFont="1" applyBorder="1"/>
    <xf numFmtId="0" fontId="1" fillId="0" borderId="0" xfId="0" applyFont="1" applyBorder="1" applyAlignment="1">
      <alignment horizontal="left" indent="1"/>
    </xf>
    <xf numFmtId="0" fontId="1" fillId="0" borderId="0" xfId="0" applyFont="1" applyBorder="1" applyAlignment="1"/>
    <xf numFmtId="166" fontId="3" fillId="0" borderId="7" xfId="32" quotePrefix="1" applyNumberFormat="1" applyFont="1" applyFill="1" applyBorder="1" applyAlignment="1">
      <alignment horizontal="left" vertical="center"/>
    </xf>
    <xf numFmtId="166" fontId="3" fillId="0" borderId="7" xfId="32" quotePrefix="1" applyNumberFormat="1" applyFont="1" applyFill="1" applyBorder="1" applyAlignment="1">
      <alignment horizontal="center" vertical="center"/>
    </xf>
    <xf numFmtId="166" fontId="1" fillId="0" borderId="0" xfId="32" applyNumberFormat="1" applyFont="1" applyBorder="1"/>
    <xf numFmtId="43" fontId="8" fillId="0" borderId="0" xfId="17" applyNumberFormat="1" applyFont="1" applyFill="1" applyAlignment="1"/>
    <xf numFmtId="0" fontId="0" fillId="0" borderId="0" xfId="0"/>
    <xf numFmtId="183" fontId="8" fillId="0" borderId="0" xfId="3" applyNumberFormat="1" applyFont="1" applyFill="1" applyAlignment="1"/>
    <xf numFmtId="0" fontId="33" fillId="0" borderId="0" xfId="75" applyFont="1" applyFill="1" applyAlignment="1">
      <alignment horizontal="justify" vertical="top"/>
    </xf>
    <xf numFmtId="0" fontId="8" fillId="0" borderId="0" xfId="0" applyNumberFormat="1" applyFont="1"/>
    <xf numFmtId="0" fontId="3" fillId="0" borderId="0" xfId="81" quotePrefix="1" applyFont="1" applyFill="1" applyAlignment="1">
      <alignment horizontal="center" vertical="top"/>
    </xf>
    <xf numFmtId="0" fontId="13" fillId="0" borderId="0" xfId="0" applyNumberFormat="1" applyFont="1"/>
    <xf numFmtId="0" fontId="5" fillId="0" borderId="0" xfId="0" applyNumberFormat="1" applyFont="1" applyFill="1" applyAlignment="1"/>
    <xf numFmtId="0" fontId="5" fillId="0" borderId="0" xfId="82" applyFont="1" applyFill="1">
      <alignment vertical="top"/>
      <protection locked="0"/>
    </xf>
    <xf numFmtId="0" fontId="5" fillId="0" borderId="0" xfId="0" applyNumberFormat="1" applyFont="1" applyFill="1" applyAlignment="1">
      <alignment horizontal="left" indent="1"/>
    </xf>
    <xf numFmtId="179" fontId="5" fillId="0" borderId="1" xfId="32" applyNumberFormat="1" applyFont="1" applyFill="1" applyBorder="1" applyAlignment="1"/>
    <xf numFmtId="0" fontId="3" fillId="0" borderId="0" xfId="81" quotePrefix="1" applyFont="1" applyFill="1" applyBorder="1" applyAlignment="1">
      <alignment horizontal="center" vertical="top"/>
    </xf>
    <xf numFmtId="166" fontId="5" fillId="0" borderId="0" xfId="32" quotePrefix="1" applyNumberFormat="1" applyFont="1" applyFill="1" applyBorder="1" applyAlignment="1">
      <alignment horizontal="center" vertical="top"/>
    </xf>
    <xf numFmtId="0" fontId="5" fillId="0" borderId="0" xfId="82" applyFont="1" applyFill="1" applyBorder="1">
      <alignment vertical="top"/>
      <protection locked="0"/>
    </xf>
    <xf numFmtId="179" fontId="5" fillId="0" borderId="0" xfId="32" applyNumberFormat="1" applyFont="1" applyFill="1" applyBorder="1" applyAlignment="1"/>
    <xf numFmtId="0" fontId="5" fillId="0" borderId="0" xfId="0" applyFont="1" applyFill="1" applyBorder="1"/>
    <xf numFmtId="166" fontId="5" fillId="0" borderId="0" xfId="32" applyNumberFormat="1" applyFont="1" applyFill="1" applyBorder="1" applyAlignment="1" applyProtection="1">
      <alignment vertical="top"/>
      <protection locked="0"/>
    </xf>
    <xf numFmtId="166" fontId="8" fillId="0" borderId="0" xfId="32" applyNumberFormat="1" applyFont="1" applyFill="1" applyBorder="1" applyAlignment="1">
      <alignment vertical="top"/>
    </xf>
    <xf numFmtId="166" fontId="5" fillId="0" borderId="0" xfId="32" applyNumberFormat="1" applyFont="1" applyFill="1" applyBorder="1" applyAlignment="1"/>
    <xf numFmtId="166" fontId="8" fillId="0" borderId="0" xfId="32" applyNumberFormat="1" applyFont="1" applyFill="1" applyBorder="1" applyAlignment="1" applyProtection="1">
      <alignment vertical="top"/>
      <protection locked="0"/>
    </xf>
    <xf numFmtId="0" fontId="33" fillId="0" borderId="0" xfId="75" applyFont="1" applyFill="1" applyAlignment="1">
      <alignment vertical="top"/>
    </xf>
    <xf numFmtId="0" fontId="0" fillId="0" borderId="0" xfId="0" applyAlignment="1">
      <alignment vertical="top"/>
    </xf>
    <xf numFmtId="0" fontId="36" fillId="0" borderId="0" xfId="62" applyFont="1" applyFill="1" applyAlignment="1">
      <alignment horizontal="left"/>
    </xf>
    <xf numFmtId="0" fontId="37" fillId="0" borderId="0" xfId="0" applyFont="1" applyFill="1" applyAlignment="1">
      <alignment horizontal="left"/>
    </xf>
    <xf numFmtId="0" fontId="33" fillId="0" borderId="0" xfId="0" applyFont="1" applyFill="1"/>
    <xf numFmtId="0" fontId="37" fillId="0" borderId="0" xfId="0" applyFont="1" applyFill="1" applyAlignment="1">
      <alignment horizontal="left" indent="1"/>
    </xf>
    <xf numFmtId="0" fontId="33" fillId="0" borderId="0" xfId="0" applyFont="1" applyFill="1" applyAlignment="1">
      <alignment vertical="center"/>
    </xf>
    <xf numFmtId="0" fontId="37" fillId="0" borderId="0" xfId="0" applyFont="1" applyFill="1" applyAlignment="1">
      <alignment horizontal="center"/>
    </xf>
    <xf numFmtId="0" fontId="33" fillId="0" borderId="0" xfId="0" applyFont="1" applyFill="1" applyAlignment="1">
      <alignment horizontal="center"/>
    </xf>
    <xf numFmtId="0" fontId="36" fillId="0" borderId="0" xfId="0" applyFont="1" applyAlignment="1">
      <alignment horizontal="center" vertical="center"/>
    </xf>
    <xf numFmtId="0" fontId="13" fillId="0" borderId="0" xfId="3" applyFont="1" applyFill="1" applyAlignment="1">
      <alignment horizontal="center"/>
    </xf>
    <xf numFmtId="166" fontId="13" fillId="0" borderId="0" xfId="32" applyNumberFormat="1" applyFont="1" applyFill="1" applyAlignment="1"/>
    <xf numFmtId="166" fontId="13" fillId="0" borderId="7" xfId="32" applyNumberFormat="1" applyFont="1" applyFill="1" applyBorder="1" applyAlignment="1"/>
    <xf numFmtId="166" fontId="8" fillId="0" borderId="7" xfId="32" applyNumberFormat="1" applyFont="1" applyFill="1" applyBorder="1" applyAlignment="1"/>
    <xf numFmtId="0" fontId="13" fillId="0" borderId="0" xfId="3" applyFont="1" applyFill="1" applyAlignment="1">
      <alignment horizontal="left" vertical="center"/>
    </xf>
    <xf numFmtId="0" fontId="35" fillId="0" borderId="0" xfId="0" quotePrefix="1" applyFont="1" applyAlignment="1">
      <alignment horizontal="center" vertical="center"/>
    </xf>
    <xf numFmtId="0" fontId="5" fillId="0" borderId="0" xfId="3" quotePrefix="1" applyFont="1" applyFill="1" applyAlignment="1">
      <alignment horizontal="center" vertical="center"/>
    </xf>
    <xf numFmtId="166" fontId="13" fillId="0" borderId="0" xfId="1" applyNumberFormat="1" applyFont="1" applyFill="1" applyBorder="1" applyAlignment="1">
      <protection locked="0"/>
    </xf>
    <xf numFmtId="0" fontId="33" fillId="0" borderId="0" xfId="75" applyFont="1" applyFill="1" applyAlignment="1">
      <alignment horizontal="justify" vertical="top" wrapText="1"/>
    </xf>
    <xf numFmtId="49" fontId="8" fillId="0" borderId="0" xfId="7" applyNumberFormat="1" applyFont="1" applyFill="1" applyAlignment="1">
      <alignment horizontal="justify" vertical="top" wrapText="1"/>
    </xf>
    <xf numFmtId="166" fontId="3" fillId="0" borderId="5" xfId="32" applyNumberFormat="1" applyFont="1" applyFill="1" applyBorder="1"/>
    <xf numFmtId="43" fontId="5" fillId="0" borderId="0" xfId="32" applyFont="1" applyFill="1" applyAlignment="1">
      <alignment vertical="top"/>
    </xf>
    <xf numFmtId="0" fontId="40" fillId="0" borderId="0" xfId="17" applyFont="1" applyFill="1" applyAlignment="1"/>
    <xf numFmtId="0" fontId="41" fillId="0" borderId="0" xfId="0" applyFont="1"/>
    <xf numFmtId="0" fontId="35" fillId="0" borderId="0" xfId="0" applyFont="1" applyFill="1"/>
    <xf numFmtId="0" fontId="33" fillId="0" borderId="0" xfId="0" applyFont="1" applyFill="1" applyBorder="1"/>
    <xf numFmtId="0" fontId="0" fillId="0" borderId="0" xfId="0" quotePrefix="1" applyNumberFormat="1" applyFill="1"/>
    <xf numFmtId="0" fontId="0" fillId="0" borderId="0" xfId="0" applyFill="1"/>
    <xf numFmtId="166" fontId="5" fillId="0" borderId="0" xfId="32" quotePrefix="1" applyNumberFormat="1" applyFont="1" applyFill="1" applyBorder="1" applyAlignment="1">
      <alignment horizontal="right" vertical="center"/>
    </xf>
    <xf numFmtId="0" fontId="8" fillId="0" borderId="0" xfId="17" applyFont="1" applyFill="1" applyBorder="1" applyAlignment="1">
      <alignment horizontal="center"/>
    </xf>
    <xf numFmtId="0" fontId="5" fillId="0" borderId="0" xfId="8" applyFont="1" applyFill="1" applyAlignment="1">
      <alignment horizontal="justify" vertical="top" wrapText="1"/>
    </xf>
    <xf numFmtId="37" fontId="37" fillId="0" borderId="0" xfId="0" quotePrefix="1" applyNumberFormat="1" applyFont="1" applyFill="1" applyAlignment="1" applyProtection="1">
      <alignment horizontal="center"/>
    </xf>
    <xf numFmtId="10" fontId="5" fillId="0" borderId="0" xfId="30" quotePrefix="1" applyNumberFormat="1" applyFont="1" applyFill="1" applyBorder="1" applyAlignment="1">
      <alignment vertical="center"/>
    </xf>
    <xf numFmtId="10" fontId="3" fillId="0" borderId="7" xfId="30" quotePrefix="1" applyNumberFormat="1" applyFont="1" applyFill="1" applyBorder="1" applyAlignment="1">
      <alignment vertical="center"/>
    </xf>
    <xf numFmtId="10" fontId="3" fillId="0" borderId="7" xfId="30" applyNumberFormat="1" applyFont="1" applyFill="1" applyBorder="1" applyAlignment="1">
      <alignment vertical="center"/>
    </xf>
    <xf numFmtId="10" fontId="20" fillId="0" borderId="0" xfId="30" applyNumberFormat="1" applyFont="1" applyBorder="1" applyAlignment="1"/>
    <xf numFmtId="10" fontId="5" fillId="0" borderId="0" xfId="30" applyNumberFormat="1" applyFont="1" applyFill="1" applyBorder="1" applyAlignment="1">
      <alignment vertical="center"/>
    </xf>
    <xf numFmtId="175" fontId="8" fillId="0" borderId="0" xfId="17" applyNumberFormat="1" applyFont="1" applyFill="1" applyAlignment="1">
      <alignment horizontal="left"/>
    </xf>
    <xf numFmtId="41" fontId="8" fillId="0" borderId="0" xfId="21" applyNumberFormat="1" applyFont="1" applyFill="1" applyBorder="1" applyAlignment="1">
      <alignment vertical="center"/>
    </xf>
    <xf numFmtId="0" fontId="5" fillId="0" borderId="0" xfId="8" applyFont="1" applyFill="1" applyAlignment="1">
      <alignment horizontal="left" vertical="top" wrapText="1"/>
    </xf>
    <xf numFmtId="0" fontId="5" fillId="0" borderId="0" xfId="8" applyFont="1" applyFill="1" applyAlignment="1">
      <alignment horizontal="justify" vertical="top" wrapText="1"/>
    </xf>
    <xf numFmtId="166" fontId="8" fillId="0" borderId="0" xfId="30" quotePrefix="1" applyNumberFormat="1" applyFont="1" applyFill="1" applyBorder="1" applyAlignment="1">
      <alignment horizontal="center" vertical="center"/>
    </xf>
    <xf numFmtId="3" fontId="5" fillId="0" borderId="0" xfId="0" applyNumberFormat="1" applyFont="1" applyFill="1" applyAlignment="1">
      <alignment vertical="top"/>
    </xf>
    <xf numFmtId="0" fontId="5" fillId="0" borderId="0" xfId="8" applyFont="1" applyFill="1" applyAlignment="1">
      <alignment horizontal="justify" vertical="top" wrapText="1"/>
    </xf>
    <xf numFmtId="0" fontId="5" fillId="0" borderId="0" xfId="8" applyFont="1" applyFill="1" applyAlignment="1">
      <alignment horizontal="left" vertical="top" wrapText="1"/>
    </xf>
    <xf numFmtId="3" fontId="3" fillId="0" borderId="0" xfId="0" applyNumberFormat="1" applyFont="1" applyFill="1" applyAlignment="1">
      <alignment horizontal="center" vertical="top" wrapText="1"/>
    </xf>
    <xf numFmtId="3" fontId="3" fillId="0" borderId="0" xfId="0" applyNumberFormat="1" applyFont="1" applyFill="1" applyAlignment="1">
      <alignment horizontal="center" vertical="top"/>
    </xf>
    <xf numFmtId="166" fontId="3" fillId="0" borderId="2" xfId="32" applyNumberFormat="1" applyFont="1" applyFill="1" applyBorder="1" applyAlignment="1">
      <alignment horizontal="center" vertical="top"/>
    </xf>
    <xf numFmtId="0" fontId="0" fillId="0" borderId="0" xfId="0" applyAlignment="1">
      <alignment horizontal="left" indent="1"/>
    </xf>
    <xf numFmtId="0" fontId="0" fillId="0" borderId="0" xfId="0" applyNumberFormat="1"/>
    <xf numFmtId="43" fontId="8" fillId="0" borderId="0" xfId="32" applyFont="1" applyFill="1" applyAlignment="1"/>
    <xf numFmtId="10" fontId="8" fillId="0" borderId="0" xfId="32" applyNumberFormat="1" applyFont="1" applyFill="1" applyAlignment="1"/>
    <xf numFmtId="10" fontId="8" fillId="0" borderId="0" xfId="32" applyNumberFormat="1" applyFont="1" applyFill="1" applyAlignment="1">
      <alignment horizontal="center"/>
    </xf>
    <xf numFmtId="43" fontId="5" fillId="0" borderId="0" xfId="18" applyNumberFormat="1" applyFont="1" applyFill="1" applyAlignment="1" applyProtection="1">
      <alignment vertical="center"/>
    </xf>
    <xf numFmtId="0" fontId="13" fillId="0" borderId="0" xfId="3" applyFont="1" applyFill="1" applyBorder="1" applyAlignment="1">
      <alignment horizontal="left" indent="1"/>
    </xf>
    <xf numFmtId="0" fontId="13" fillId="0" borderId="0" xfId="3" applyNumberFormat="1" applyFont="1" applyFill="1" applyBorder="1" applyAlignment="1">
      <alignment vertical="top"/>
    </xf>
    <xf numFmtId="1" fontId="5" fillId="0" borderId="0" xfId="82" applyNumberFormat="1" applyFont="1" applyFill="1" applyBorder="1">
      <alignment vertical="top"/>
      <protection locked="0"/>
    </xf>
    <xf numFmtId="0" fontId="5" fillId="0" borderId="0" xfId="8" applyFont="1" applyFill="1" applyAlignment="1">
      <alignment horizontal="justify" vertical="top" wrapText="1"/>
    </xf>
    <xf numFmtId="0" fontId="5" fillId="0" borderId="0" xfId="8" applyFont="1" applyFill="1" applyAlignment="1">
      <alignment horizontal="left" vertical="top" wrapText="1"/>
    </xf>
    <xf numFmtId="0" fontId="8" fillId="0" borderId="0" xfId="3" applyNumberFormat="1" applyFont="1" applyFill="1" applyAlignment="1">
      <alignment horizontal="justify" vertical="top" wrapText="1"/>
    </xf>
    <xf numFmtId="0" fontId="5" fillId="0" borderId="0" xfId="1" applyNumberFormat="1" applyFont="1" applyFill="1" applyBorder="1" applyAlignment="1">
      <alignment horizontal="center" vertical="top"/>
      <protection locked="0"/>
    </xf>
    <xf numFmtId="0" fontId="8" fillId="0" borderId="0" xfId="14" applyNumberFormat="1" applyFont="1" applyFill="1" applyAlignment="1">
      <alignment horizontal="justify" vertical="center" wrapText="1"/>
    </xf>
    <xf numFmtId="10" fontId="8" fillId="0" borderId="0" xfId="30" applyNumberFormat="1" applyFont="1" applyBorder="1" applyAlignment="1"/>
    <xf numFmtId="10" fontId="13" fillId="0" borderId="7" xfId="30" applyNumberFormat="1" applyFont="1" applyBorder="1" applyAlignment="1"/>
    <xf numFmtId="43" fontId="3" fillId="0" borderId="7" xfId="18" applyNumberFormat="1" applyFont="1" applyFill="1" applyBorder="1" applyAlignment="1">
      <alignment horizontal="center" vertical="center"/>
    </xf>
    <xf numFmtId="43" fontId="3" fillId="0" borderId="0" xfId="18" applyNumberFormat="1" applyFont="1" applyFill="1" applyBorder="1" applyAlignment="1">
      <alignment horizontal="center" vertical="center"/>
    </xf>
    <xf numFmtId="43" fontId="5" fillId="0" borderId="7" xfId="18" applyNumberFormat="1" applyFont="1" applyFill="1" applyBorder="1" applyAlignment="1">
      <alignment horizontal="center" vertical="center"/>
    </xf>
    <xf numFmtId="41" fontId="13" fillId="0" borderId="0" xfId="29" applyNumberFormat="1" applyFont="1" applyFill="1" applyBorder="1"/>
    <xf numFmtId="0" fontId="42" fillId="0" borderId="0" xfId="0" applyFont="1" applyFill="1" applyAlignment="1">
      <alignment horizontal="center"/>
    </xf>
    <xf numFmtId="175" fontId="43" fillId="0" borderId="0" xfId="0" applyNumberFormat="1" applyFont="1" applyFill="1" applyAlignment="1">
      <alignment horizontal="left"/>
    </xf>
    <xf numFmtId="0" fontId="44" fillId="0" borderId="0" xfId="0" applyFont="1" applyFill="1" applyAlignment="1" applyProtection="1">
      <alignment horizontal="left"/>
      <protection locked="0"/>
    </xf>
    <xf numFmtId="0" fontId="44" fillId="0" borderId="0" xfId="0" applyFont="1" applyFill="1" applyBorder="1" applyAlignment="1">
      <alignment vertical="top"/>
    </xf>
    <xf numFmtId="0" fontId="45" fillId="0" borderId="0" xfId="0" applyFont="1" applyFill="1" applyAlignment="1" applyProtection="1">
      <alignment horizontal="left"/>
      <protection locked="0"/>
    </xf>
    <xf numFmtId="0" fontId="46" fillId="0" borderId="0" xfId="0" applyFont="1" applyFill="1" applyAlignment="1" applyProtection="1">
      <alignment horizontal="left"/>
      <protection locked="0"/>
    </xf>
    <xf numFmtId="0" fontId="14" fillId="0" borderId="0" xfId="0" applyFont="1" applyFill="1" applyAlignment="1" applyProtection="1">
      <alignment horizontal="left"/>
      <protection locked="0"/>
    </xf>
    <xf numFmtId="0" fontId="14" fillId="0" borderId="0" xfId="0" applyFont="1" applyFill="1" applyBorder="1" applyAlignment="1">
      <alignment vertical="top"/>
    </xf>
    <xf numFmtId="0" fontId="47" fillId="0" borderId="0" xfId="0" applyFont="1" applyFill="1" applyAlignment="1"/>
    <xf numFmtId="0" fontId="14" fillId="0" borderId="0" xfId="0" applyFont="1" applyFill="1" applyAlignment="1" applyProtection="1">
      <alignment vertical="top" wrapText="1"/>
      <protection locked="0"/>
    </xf>
    <xf numFmtId="0" fontId="42" fillId="0" borderId="0" xfId="39" applyFont="1" applyFill="1" applyAlignment="1"/>
    <xf numFmtId="166" fontId="42" fillId="0" borderId="0" xfId="39" applyNumberFormat="1" applyFont="1" applyFill="1" applyAlignment="1"/>
    <xf numFmtId="0" fontId="43" fillId="0" borderId="0" xfId="39" applyFont="1" applyFill="1"/>
    <xf numFmtId="166" fontId="48" fillId="0" borderId="0" xfId="1" applyNumberFormat="1" applyFont="1" applyFill="1" applyAlignment="1">
      <alignment vertical="top"/>
      <protection locked="0"/>
    </xf>
    <xf numFmtId="0" fontId="48" fillId="0" borderId="0" xfId="3" applyFont="1" applyFill="1" applyAlignment="1">
      <alignment vertical="top"/>
    </xf>
    <xf numFmtId="16" fontId="42" fillId="0" borderId="0" xfId="39" quotePrefix="1" applyNumberFormat="1" applyFont="1" applyFill="1" applyAlignment="1"/>
    <xf numFmtId="0" fontId="46" fillId="0" borderId="0" xfId="39" applyFont="1" applyFill="1" applyAlignment="1" applyProtection="1">
      <protection locked="0"/>
    </xf>
    <xf numFmtId="0" fontId="46" fillId="0" borderId="0" xfId="39" applyFont="1" applyFill="1" applyAlignment="1"/>
    <xf numFmtId="166" fontId="46" fillId="0" borderId="0" xfId="85" applyNumberFormat="1" applyFont="1" applyFill="1" applyAlignment="1">
      <alignment horizontal="center"/>
    </xf>
    <xf numFmtId="17" fontId="46" fillId="0" borderId="0" xfId="39" applyNumberFormat="1" applyFont="1" applyFill="1" applyAlignment="1">
      <alignment horizontal="center"/>
    </xf>
    <xf numFmtId="0" fontId="46" fillId="0" borderId="0" xfId="1" applyNumberFormat="1" applyFont="1" applyFill="1" applyAlignment="1">
      <alignment vertical="top"/>
      <protection locked="0"/>
    </xf>
    <xf numFmtId="0" fontId="49" fillId="0" borderId="0" xfId="1" applyNumberFormat="1" applyFont="1" applyFill="1" applyAlignment="1">
      <alignment vertical="top"/>
      <protection locked="0"/>
    </xf>
    <xf numFmtId="166" fontId="46" fillId="0" borderId="0" xfId="1" applyNumberFormat="1" applyFont="1" applyFill="1" applyAlignment="1">
      <alignment vertical="top"/>
      <protection locked="0"/>
    </xf>
    <xf numFmtId="0" fontId="48" fillId="0" borderId="0" xfId="1" applyNumberFormat="1" applyFont="1" applyFill="1" applyAlignment="1">
      <alignment vertical="top"/>
      <protection locked="0"/>
    </xf>
    <xf numFmtId="0" fontId="46" fillId="0" borderId="0" xfId="1" applyNumberFormat="1" applyFont="1" applyFill="1" applyAlignment="1">
      <alignment vertical="center"/>
      <protection locked="0"/>
    </xf>
    <xf numFmtId="166" fontId="48" fillId="0" borderId="0" xfId="3" applyNumberFormat="1" applyFont="1" applyFill="1" applyAlignment="1">
      <alignment vertical="top"/>
    </xf>
    <xf numFmtId="0" fontId="49" fillId="0" borderId="0" xfId="3" applyFont="1" applyFill="1" applyAlignment="1">
      <alignment vertical="top"/>
    </xf>
    <xf numFmtId="16" fontId="46" fillId="0" borderId="0" xfId="1" quotePrefix="1" applyNumberFormat="1" applyFont="1" applyFill="1" applyBorder="1" applyAlignment="1">
      <alignment horizontal="center" vertical="top"/>
      <protection locked="0"/>
    </xf>
    <xf numFmtId="166" fontId="46" fillId="0" borderId="0" xfId="1" quotePrefix="1" applyNumberFormat="1" applyFont="1" applyFill="1" applyBorder="1" applyAlignment="1">
      <alignment horizontal="center" vertical="top"/>
      <protection locked="0"/>
    </xf>
    <xf numFmtId="0" fontId="46" fillId="0" borderId="0" xfId="1" applyNumberFormat="1" applyFont="1" applyFill="1" applyBorder="1" applyAlignment="1">
      <alignment vertical="top"/>
      <protection locked="0"/>
    </xf>
    <xf numFmtId="166" fontId="14" fillId="0" borderId="0" xfId="1" quotePrefix="1" applyNumberFormat="1" applyFont="1" applyFill="1" applyBorder="1" applyAlignment="1">
      <alignment horizontal="center" vertical="top"/>
      <protection locked="0"/>
    </xf>
    <xf numFmtId="166" fontId="48" fillId="0" borderId="0" xfId="1" quotePrefix="1" applyNumberFormat="1" applyFont="1" applyFill="1" applyBorder="1" applyAlignment="1">
      <alignment horizontal="center" vertical="top"/>
      <protection locked="0"/>
    </xf>
    <xf numFmtId="0" fontId="48" fillId="0" borderId="0" xfId="3" applyNumberFormat="1" applyFont="1" applyFill="1" applyAlignment="1">
      <alignment vertical="top"/>
    </xf>
    <xf numFmtId="166" fontId="46" fillId="0" borderId="0" xfId="3" applyNumberFormat="1" applyFont="1" applyFill="1" applyAlignment="1">
      <alignment vertical="top"/>
    </xf>
    <xf numFmtId="0" fontId="46" fillId="0" borderId="0" xfId="3" applyFont="1" applyFill="1" applyAlignment="1">
      <alignment horizontal="center" vertical="top"/>
    </xf>
    <xf numFmtId="0" fontId="46" fillId="0" borderId="0" xfId="5" applyFont="1" applyFill="1" applyAlignment="1">
      <alignment horizontal="center" vertical="top"/>
    </xf>
    <xf numFmtId="0" fontId="48" fillId="0" borderId="0" xfId="3" applyFont="1" applyFill="1" applyAlignment="1">
      <alignment horizontal="center" vertical="top"/>
    </xf>
    <xf numFmtId="0" fontId="49" fillId="0" borderId="0" xfId="3" applyFont="1" applyFill="1" applyAlignment="1">
      <alignment horizontal="center" vertical="top"/>
    </xf>
    <xf numFmtId="166" fontId="48" fillId="0" borderId="0" xfId="3" applyNumberFormat="1" applyFont="1" applyFill="1" applyAlignment="1">
      <alignment horizontal="center" vertical="top"/>
    </xf>
    <xf numFmtId="0" fontId="48" fillId="0" borderId="0" xfId="3" applyFont="1" applyFill="1" applyAlignment="1">
      <alignment horizontal="left" vertical="top"/>
    </xf>
    <xf numFmtId="166" fontId="48" fillId="0" borderId="0" xfId="1" applyNumberFormat="1" applyFont="1" applyFill="1" applyAlignment="1">
      <alignment horizontal="right" vertical="top"/>
      <protection locked="0"/>
    </xf>
    <xf numFmtId="166" fontId="49" fillId="0" borderId="0" xfId="1" applyNumberFormat="1" applyFont="1" applyFill="1" applyAlignment="1">
      <alignment horizontal="right" vertical="top"/>
      <protection locked="0"/>
    </xf>
    <xf numFmtId="166" fontId="46" fillId="0" borderId="0" xfId="1" applyNumberFormat="1" applyFont="1" applyFill="1" applyAlignment="1">
      <alignment horizontal="right" vertical="top"/>
      <protection locked="0"/>
    </xf>
    <xf numFmtId="166" fontId="46" fillId="0" borderId="0" xfId="1" applyNumberFormat="1" applyFont="1" applyFill="1" applyBorder="1" applyAlignment="1">
      <alignment horizontal="right" vertical="top"/>
      <protection locked="0"/>
    </xf>
    <xf numFmtId="166" fontId="48" fillId="0" borderId="0" xfId="1" applyNumberFormat="1" applyFont="1" applyFill="1" applyBorder="1" applyAlignment="1">
      <alignment horizontal="right" vertical="top"/>
      <protection locked="0"/>
    </xf>
    <xf numFmtId="166" fontId="48" fillId="0" borderId="0" xfId="1" applyNumberFormat="1" applyFont="1" applyFill="1" applyBorder="1" applyAlignment="1">
      <alignment vertical="top"/>
      <protection locked="0"/>
    </xf>
    <xf numFmtId="166" fontId="48" fillId="0" borderId="0" xfId="1" quotePrefix="1" applyNumberFormat="1" applyFont="1" applyFill="1" applyAlignment="1">
      <alignment vertical="top"/>
      <protection locked="0"/>
    </xf>
    <xf numFmtId="166" fontId="49" fillId="0" borderId="0" xfId="1" applyNumberFormat="1" applyFont="1" applyFill="1" applyBorder="1" applyAlignment="1">
      <alignment horizontal="right" vertical="top"/>
      <protection locked="0"/>
    </xf>
    <xf numFmtId="166" fontId="46" fillId="0" borderId="0" xfId="1" applyNumberFormat="1" applyFont="1" applyFill="1" applyBorder="1" applyAlignment="1">
      <alignment vertical="top"/>
      <protection locked="0"/>
    </xf>
    <xf numFmtId="0" fontId="48" fillId="0" borderId="0" xfId="3" applyFont="1" applyFill="1" applyAlignment="1">
      <alignment horizontal="left" vertical="top" indent="1"/>
    </xf>
    <xf numFmtId="0" fontId="46" fillId="0" borderId="0" xfId="3" applyFont="1" applyFill="1" applyAlignment="1">
      <alignment vertical="top"/>
    </xf>
    <xf numFmtId="166" fontId="50" fillId="0" borderId="3" xfId="1" applyNumberFormat="1" applyFont="1" applyFill="1" applyBorder="1" applyAlignment="1">
      <alignment horizontal="right" vertical="top"/>
      <protection locked="0"/>
    </xf>
    <xf numFmtId="166" fontId="48" fillId="0" borderId="3" xfId="1" applyNumberFormat="1" applyFont="1" applyFill="1" applyBorder="1" applyAlignment="1">
      <alignment horizontal="right" vertical="top"/>
      <protection locked="0"/>
    </xf>
    <xf numFmtId="166" fontId="49" fillId="0" borderId="0" xfId="3" applyNumberFormat="1" applyFont="1" applyFill="1" applyAlignment="1">
      <alignment vertical="top"/>
    </xf>
    <xf numFmtId="0" fontId="48" fillId="0" borderId="0" xfId="3" applyFont="1" applyFill="1" applyAlignment="1">
      <alignment horizontal="center" vertical="center"/>
    </xf>
    <xf numFmtId="0" fontId="48" fillId="0" borderId="0" xfId="1" applyNumberFormat="1" applyFont="1" applyFill="1" applyAlignment="1">
      <alignment horizontal="left" vertical="top" indent="1"/>
      <protection locked="0"/>
    </xf>
    <xf numFmtId="0" fontId="48" fillId="0" borderId="0" xfId="1" quotePrefix="1" applyNumberFormat="1" applyFont="1" applyFill="1" applyBorder="1" applyAlignment="1">
      <alignment horizontal="center" vertical="top"/>
      <protection locked="0"/>
    </xf>
    <xf numFmtId="0" fontId="48" fillId="0" borderId="0" xfId="1" applyNumberFormat="1" applyFont="1" applyFill="1" applyAlignment="1">
      <alignment horizontal="left" vertical="top"/>
      <protection locked="0"/>
    </xf>
    <xf numFmtId="0" fontId="46" fillId="0" borderId="0" xfId="3" applyFont="1" applyFill="1" applyAlignment="1" applyProtection="1">
      <alignment vertical="top"/>
      <protection locked="0"/>
    </xf>
    <xf numFmtId="166" fontId="46" fillId="0" borderId="3" xfId="1" applyNumberFormat="1" applyFont="1" applyFill="1" applyBorder="1" applyAlignment="1">
      <alignment horizontal="right" vertical="top"/>
      <protection locked="0"/>
    </xf>
    <xf numFmtId="166" fontId="50" fillId="0" borderId="0" xfId="1" applyNumberFormat="1" applyFont="1" applyFill="1" applyBorder="1" applyAlignment="1">
      <alignment horizontal="right" vertical="top"/>
      <protection locked="0"/>
    </xf>
    <xf numFmtId="166" fontId="14" fillId="0" borderId="0" xfId="1" applyNumberFormat="1" applyFont="1" applyFill="1" applyBorder="1" applyAlignment="1">
      <alignment horizontal="right" vertical="top"/>
      <protection locked="0"/>
    </xf>
    <xf numFmtId="0" fontId="14" fillId="0" borderId="0" xfId="3" applyFont="1" applyFill="1" applyAlignment="1" applyProtection="1">
      <alignment vertical="top"/>
      <protection locked="0"/>
    </xf>
    <xf numFmtId="0" fontId="14" fillId="0" borderId="0" xfId="1" applyNumberFormat="1" applyFont="1" applyFill="1" applyBorder="1" applyAlignment="1">
      <alignment horizontal="center" vertical="top"/>
      <protection locked="0"/>
    </xf>
    <xf numFmtId="166" fontId="28" fillId="0" borderId="3" xfId="1" applyNumberFormat="1" applyFont="1" applyFill="1" applyBorder="1" applyAlignment="1">
      <alignment vertical="top"/>
      <protection locked="0"/>
    </xf>
    <xf numFmtId="166" fontId="29" fillId="0" borderId="3" xfId="1" applyNumberFormat="1" applyFont="1" applyFill="1" applyBorder="1" applyAlignment="1">
      <alignment vertical="top"/>
      <protection locked="0"/>
    </xf>
    <xf numFmtId="3" fontId="48" fillId="0" borderId="0" xfId="1" applyNumberFormat="1" applyFont="1" applyFill="1" applyAlignment="1">
      <alignment vertical="top"/>
      <protection locked="0"/>
    </xf>
    <xf numFmtId="3" fontId="48" fillId="0" borderId="0" xfId="1" applyNumberFormat="1" applyFont="1" applyFill="1" applyBorder="1" applyAlignment="1">
      <alignment vertical="top"/>
      <protection locked="0"/>
    </xf>
    <xf numFmtId="3" fontId="49" fillId="0" borderId="0" xfId="1" applyNumberFormat="1" applyFont="1" applyFill="1" applyBorder="1" applyAlignment="1">
      <alignment vertical="top"/>
      <protection locked="0"/>
    </xf>
    <xf numFmtId="0" fontId="48" fillId="0" borderId="0" xfId="3" applyFont="1" applyFill="1" applyBorder="1" applyAlignment="1">
      <alignment vertical="top"/>
    </xf>
    <xf numFmtId="3" fontId="48" fillId="0" borderId="0" xfId="3" applyNumberFormat="1" applyFont="1" applyFill="1" applyAlignment="1">
      <alignment vertical="top"/>
    </xf>
    <xf numFmtId="0" fontId="48" fillId="0" borderId="0" xfId="3" applyNumberFormat="1" applyFont="1" applyFill="1" applyAlignment="1" applyProtection="1">
      <alignment vertical="top"/>
      <protection locked="0"/>
    </xf>
    <xf numFmtId="0" fontId="48" fillId="0" borderId="0" xfId="3" quotePrefix="1" applyFont="1" applyFill="1" applyAlignment="1" applyProtection="1">
      <alignment horizontal="center" vertical="top"/>
      <protection locked="0"/>
    </xf>
    <xf numFmtId="166" fontId="48" fillId="0" borderId="0" xfId="3" applyNumberFormat="1" applyFont="1" applyFill="1" applyAlignment="1" applyProtection="1">
      <alignment horizontal="center" vertical="top"/>
      <protection locked="0"/>
    </xf>
    <xf numFmtId="0" fontId="48" fillId="0" borderId="0" xfId="3" applyFont="1" applyFill="1" applyBorder="1" applyAlignment="1" applyProtection="1">
      <alignment horizontal="center" vertical="top"/>
      <protection locked="0"/>
    </xf>
    <xf numFmtId="166" fontId="48" fillId="0" borderId="0" xfId="3" applyNumberFormat="1" applyFont="1" applyFill="1" applyAlignment="1" applyProtection="1">
      <alignment vertical="top"/>
      <protection locked="0"/>
    </xf>
    <xf numFmtId="0" fontId="49" fillId="0" borderId="0" xfId="3" applyFont="1" applyFill="1" applyAlignment="1" applyProtection="1">
      <alignment horizontal="center" vertical="top"/>
      <protection locked="0"/>
    </xf>
    <xf numFmtId="0" fontId="46" fillId="0" borderId="0" xfId="3" applyNumberFormat="1" applyFont="1" applyFill="1" applyAlignment="1" applyProtection="1">
      <alignment vertical="center"/>
      <protection locked="0"/>
    </xf>
    <xf numFmtId="3" fontId="48" fillId="0" borderId="0" xfId="1" applyNumberFormat="1" applyFont="1" applyFill="1" applyAlignment="1">
      <alignment vertical="center"/>
      <protection locked="0"/>
    </xf>
    <xf numFmtId="3" fontId="48" fillId="0" borderId="0" xfId="1" applyNumberFormat="1" applyFont="1" applyFill="1" applyBorder="1" applyAlignment="1">
      <alignment vertical="center"/>
      <protection locked="0"/>
    </xf>
    <xf numFmtId="0" fontId="49" fillId="0" borderId="0" xfId="3" applyFont="1" applyFill="1" applyAlignment="1" applyProtection="1">
      <alignment horizontal="center" vertical="center"/>
      <protection locked="0"/>
    </xf>
    <xf numFmtId="166" fontId="46" fillId="0" borderId="0" xfId="3" applyNumberFormat="1" applyFont="1" applyFill="1" applyBorder="1" applyAlignment="1" applyProtection="1">
      <alignment horizontal="center" vertical="center"/>
      <protection locked="0"/>
    </xf>
    <xf numFmtId="166" fontId="14" fillId="0" borderId="7" xfId="3" applyNumberFormat="1" applyFont="1" applyFill="1" applyBorder="1" applyAlignment="1" applyProtection="1">
      <alignment horizontal="center" vertical="center"/>
      <protection locked="0"/>
    </xf>
    <xf numFmtId="166" fontId="48" fillId="0" borderId="0" xfId="3" applyNumberFormat="1" applyFont="1" applyFill="1" applyBorder="1" applyAlignment="1" applyProtection="1">
      <alignment horizontal="center" vertical="center"/>
      <protection locked="0"/>
    </xf>
    <xf numFmtId="0" fontId="48" fillId="0" borderId="0" xfId="3" applyFont="1" applyFill="1" applyBorder="1" applyAlignment="1">
      <alignment vertical="center"/>
    </xf>
    <xf numFmtId="3" fontId="48" fillId="0" borderId="0" xfId="3" applyNumberFormat="1" applyFont="1" applyFill="1" applyAlignment="1">
      <alignment vertical="center"/>
    </xf>
    <xf numFmtId="0" fontId="46" fillId="0" borderId="0" xfId="3" applyNumberFormat="1" applyFont="1" applyFill="1" applyAlignment="1" applyProtection="1">
      <alignment vertical="top"/>
      <protection locked="0"/>
    </xf>
    <xf numFmtId="166" fontId="46" fillId="0" borderId="0" xfId="3" applyNumberFormat="1" applyFont="1" applyFill="1" applyBorder="1" applyAlignment="1" applyProtection="1">
      <alignment horizontal="center" vertical="top"/>
      <protection locked="0"/>
    </xf>
    <xf numFmtId="166" fontId="14" fillId="0" borderId="0" xfId="3" applyNumberFormat="1" applyFont="1" applyFill="1" applyBorder="1" applyAlignment="1" applyProtection="1">
      <alignment horizontal="center" vertical="top"/>
      <protection locked="0"/>
    </xf>
    <xf numFmtId="166" fontId="48" fillId="0" borderId="0" xfId="3" applyNumberFormat="1" applyFont="1" applyFill="1" applyBorder="1" applyAlignment="1" applyProtection="1">
      <alignment horizontal="center" vertical="top"/>
      <protection locked="0"/>
    </xf>
    <xf numFmtId="0" fontId="46" fillId="0" borderId="0" xfId="0" applyFont="1" applyFill="1" applyAlignment="1">
      <alignment vertical="top"/>
    </xf>
    <xf numFmtId="9" fontId="48" fillId="0" borderId="0" xfId="30" applyFont="1" applyFill="1" applyBorder="1" applyAlignment="1" applyProtection="1">
      <alignment horizontal="center" vertical="top"/>
      <protection locked="0"/>
    </xf>
    <xf numFmtId="0" fontId="48" fillId="0" borderId="0" xfId="0" applyFont="1" applyFill="1" applyAlignment="1">
      <alignment vertical="top"/>
    </xf>
    <xf numFmtId="166" fontId="14" fillId="0" borderId="4" xfId="3" applyNumberFormat="1" applyFont="1" applyFill="1" applyBorder="1" applyAlignment="1" applyProtection="1">
      <alignment horizontal="center" vertical="top"/>
      <protection locked="0"/>
    </xf>
    <xf numFmtId="0" fontId="14" fillId="0" borderId="0" xfId="0" applyFont="1" applyFill="1" applyAlignment="1">
      <alignment vertical="top"/>
    </xf>
    <xf numFmtId="166" fontId="14" fillId="0" borderId="6" xfId="3" applyNumberFormat="1" applyFont="1" applyFill="1" applyBorder="1" applyAlignment="1" applyProtection="1">
      <alignment horizontal="center" vertical="top"/>
      <protection locked="0"/>
    </xf>
    <xf numFmtId="166" fontId="14" fillId="0" borderId="7" xfId="3" applyNumberFormat="1" applyFont="1" applyFill="1" applyBorder="1" applyAlignment="1" applyProtection="1">
      <alignment horizontal="center" vertical="top"/>
      <protection locked="0"/>
    </xf>
    <xf numFmtId="0" fontId="50" fillId="0" borderId="0" xfId="0" applyFont="1" applyFill="1" applyAlignment="1">
      <alignment vertical="top"/>
    </xf>
    <xf numFmtId="0" fontId="48" fillId="0" borderId="0" xfId="0" quotePrefix="1" applyFont="1" applyFill="1" applyAlignment="1">
      <alignment vertical="top"/>
    </xf>
    <xf numFmtId="0" fontId="46" fillId="0" borderId="0" xfId="0" applyFont="1" applyFill="1" applyAlignment="1">
      <alignment vertical="center"/>
    </xf>
    <xf numFmtId="3" fontId="48" fillId="0" borderId="0" xfId="1" quotePrefix="1" applyNumberFormat="1" applyFont="1" applyFill="1" applyBorder="1" applyAlignment="1">
      <alignment horizontal="center" vertical="top"/>
      <protection locked="0"/>
    </xf>
    <xf numFmtId="41" fontId="48" fillId="0" borderId="0" xfId="1" applyNumberFormat="1" applyFont="1" applyFill="1" applyBorder="1" applyAlignment="1">
      <alignment vertical="top"/>
      <protection locked="0"/>
    </xf>
    <xf numFmtId="0" fontId="14" fillId="0" borderId="0" xfId="0" applyFont="1" applyFill="1" applyAlignment="1"/>
    <xf numFmtId="0" fontId="48" fillId="0" borderId="0" xfId="1" applyNumberFormat="1" applyFont="1" applyFill="1" applyBorder="1" applyAlignment="1">
      <alignment vertical="top"/>
      <protection locked="0"/>
    </xf>
    <xf numFmtId="0" fontId="49" fillId="0" borderId="0" xfId="3" applyFont="1" applyFill="1" applyBorder="1" applyAlignment="1">
      <alignment vertical="top"/>
    </xf>
    <xf numFmtId="166" fontId="48" fillId="0" borderId="0" xfId="3" applyNumberFormat="1" applyFont="1" applyFill="1" applyBorder="1" applyAlignment="1">
      <alignment vertical="top"/>
    </xf>
    <xf numFmtId="166" fontId="14" fillId="0" borderId="0" xfId="3" applyNumberFormat="1" applyFont="1" applyFill="1" applyBorder="1" applyAlignment="1" applyProtection="1">
      <alignment horizontal="center" vertical="center"/>
      <protection locked="0"/>
    </xf>
    <xf numFmtId="0" fontId="14" fillId="0" borderId="0" xfId="3" applyNumberFormat="1" applyFont="1" applyFill="1" applyAlignment="1" applyProtection="1">
      <alignment vertical="center"/>
      <protection locked="0"/>
    </xf>
    <xf numFmtId="166" fontId="46" fillId="0" borderId="3" xfId="3" applyNumberFormat="1" applyFont="1" applyFill="1" applyBorder="1" applyAlignment="1" applyProtection="1">
      <alignment horizontal="center" vertical="center"/>
      <protection locked="0"/>
    </xf>
    <xf numFmtId="166" fontId="14" fillId="0" borderId="3" xfId="3" applyNumberFormat="1" applyFont="1" applyFill="1" applyBorder="1" applyAlignment="1" applyProtection="1">
      <alignment horizontal="center" vertical="center"/>
      <protection locked="0"/>
    </xf>
    <xf numFmtId="0" fontId="44" fillId="0" borderId="0" xfId="0" applyFont="1" applyFill="1" applyAlignment="1"/>
    <xf numFmtId="166" fontId="50" fillId="0" borderId="4" xfId="18" applyNumberFormat="1" applyFont="1" applyFill="1" applyBorder="1"/>
    <xf numFmtId="166" fontId="48" fillId="0" borderId="4" xfId="18" applyNumberFormat="1" applyFont="1" applyFill="1" applyBorder="1"/>
    <xf numFmtId="166" fontId="50" fillId="0" borderId="5" xfId="18" applyNumberFormat="1" applyFont="1" applyFill="1" applyBorder="1"/>
    <xf numFmtId="166" fontId="48" fillId="0" borderId="5" xfId="18" applyNumberFormat="1" applyFont="1" applyFill="1" applyBorder="1"/>
    <xf numFmtId="166" fontId="50" fillId="0" borderId="6" xfId="18" applyNumberFormat="1" applyFont="1" applyFill="1" applyBorder="1"/>
    <xf numFmtId="166" fontId="48" fillId="0" borderId="6" xfId="18" applyNumberFormat="1" applyFont="1" applyFill="1" applyBorder="1"/>
    <xf numFmtId="166" fontId="50" fillId="0" borderId="7" xfId="39" applyNumberFormat="1" applyFont="1" applyFill="1" applyBorder="1"/>
    <xf numFmtId="166" fontId="48" fillId="0" borderId="0" xfId="39" applyNumberFormat="1" applyFont="1" applyFill="1" applyAlignment="1">
      <alignment vertical="center"/>
    </xf>
    <xf numFmtId="166" fontId="48" fillId="0" borderId="7" xfId="39" applyNumberFormat="1" applyFont="1" applyFill="1" applyBorder="1"/>
    <xf numFmtId="0" fontId="43" fillId="0" borderId="0" xfId="39" applyFont="1" applyFill="1" applyAlignment="1">
      <alignment horizontal="center"/>
    </xf>
    <xf numFmtId="0" fontId="42" fillId="0" borderId="0" xfId="39" applyFont="1" applyFill="1"/>
    <xf numFmtId="0" fontId="43" fillId="0" borderId="0" xfId="39" applyFont="1" applyFill="1" applyBorder="1"/>
    <xf numFmtId="43" fontId="43" fillId="0" borderId="0" xfId="32" applyFont="1" applyFill="1"/>
    <xf numFmtId="166" fontId="43" fillId="0" borderId="0" xfId="35" applyNumberFormat="1" applyFont="1" applyFill="1"/>
    <xf numFmtId="166" fontId="43" fillId="0" borderId="0" xfId="39" applyNumberFormat="1" applyFont="1" applyFill="1"/>
    <xf numFmtId="173" fontId="43" fillId="0" borderId="0" xfId="39" applyNumberFormat="1" applyFont="1" applyFill="1"/>
    <xf numFmtId="0" fontId="14" fillId="0" borderId="0" xfId="39" applyFont="1" applyFill="1" applyAlignment="1"/>
    <xf numFmtId="43" fontId="43" fillId="0" borderId="0" xfId="39" applyNumberFormat="1" applyFont="1" applyFill="1"/>
    <xf numFmtId="0" fontId="42" fillId="0" borderId="0" xfId="39" applyFont="1" applyFill="1" applyBorder="1" applyAlignment="1"/>
    <xf numFmtId="0" fontId="43" fillId="0" borderId="0" xfId="39" applyFont="1" applyFill="1" applyAlignment="1"/>
    <xf numFmtId="43" fontId="43" fillId="0" borderId="0" xfId="32" applyFont="1" applyFill="1" applyAlignment="1"/>
    <xf numFmtId="166" fontId="43" fillId="0" borderId="0" xfId="35" applyNumberFormat="1" applyFont="1" applyFill="1" applyAlignment="1"/>
    <xf numFmtId="0" fontId="42" fillId="0" borderId="0" xfId="39" applyFont="1" applyFill="1" applyAlignment="1">
      <alignment horizontal="center"/>
    </xf>
    <xf numFmtId="173" fontId="42" fillId="0" borderId="0" xfId="39" applyNumberFormat="1" applyFont="1" applyFill="1" applyAlignment="1">
      <alignment horizontal="center"/>
    </xf>
    <xf numFmtId="0" fontId="46" fillId="0" borderId="0" xfId="39" applyFont="1" applyFill="1" applyProtection="1">
      <protection locked="0"/>
    </xf>
    <xf numFmtId="0" fontId="51" fillId="0" borderId="0" xfId="39" applyFont="1" applyFill="1" applyProtection="1">
      <protection locked="0"/>
    </xf>
    <xf numFmtId="0" fontId="14" fillId="0" borderId="0" xfId="0" applyFont="1" applyFill="1" applyAlignment="1" applyProtection="1">
      <alignment horizontal="justify" vertical="justify" wrapText="1"/>
      <protection locked="0"/>
    </xf>
    <xf numFmtId="166" fontId="50" fillId="0" borderId="0" xfId="1" applyNumberFormat="1" applyFont="1" applyFill="1" applyAlignment="1">
      <alignment horizontal="center" vertical="top"/>
      <protection locked="0"/>
    </xf>
    <xf numFmtId="49" fontId="46" fillId="0" borderId="2" xfId="1" quotePrefix="1" applyNumberFormat="1" applyFont="1" applyFill="1" applyBorder="1" applyAlignment="1">
      <alignment horizontal="center" vertical="top"/>
      <protection locked="0"/>
    </xf>
    <xf numFmtId="16" fontId="46" fillId="0" borderId="2" xfId="1" quotePrefix="1" applyNumberFormat="1" applyFont="1" applyFill="1" applyBorder="1" applyAlignment="1">
      <alignment horizontal="center" vertical="top"/>
      <protection locked="0"/>
    </xf>
    <xf numFmtId="0" fontId="46" fillId="0" borderId="0" xfId="5" quotePrefix="1" applyFont="1" applyFill="1" applyAlignment="1">
      <alignment horizontal="center" vertical="top"/>
    </xf>
    <xf numFmtId="0" fontId="46" fillId="0" borderId="0" xfId="5" applyFont="1" applyFill="1" applyAlignment="1">
      <alignment horizontal="center" vertical="top"/>
    </xf>
    <xf numFmtId="0" fontId="42" fillId="0" borderId="0" xfId="0" applyFont="1" applyFill="1" applyAlignment="1">
      <alignment horizontal="center"/>
    </xf>
    <xf numFmtId="175" fontId="43" fillId="0" borderId="0" xfId="0" applyNumberFormat="1" applyFont="1" applyFill="1" applyAlignment="1">
      <alignment horizontal="left"/>
    </xf>
    <xf numFmtId="0" fontId="47" fillId="0" borderId="0" xfId="0" applyFont="1" applyFill="1" applyAlignment="1">
      <alignment horizontal="center"/>
    </xf>
    <xf numFmtId="0" fontId="3" fillId="0" borderId="0" xfId="0" applyNumberFormat="1" applyFont="1" applyFill="1" applyAlignment="1">
      <alignment horizontal="center"/>
    </xf>
    <xf numFmtId="0" fontId="3" fillId="0" borderId="0" xfId="3" quotePrefix="1" applyFont="1" applyFill="1" applyAlignment="1">
      <alignment horizontal="center"/>
    </xf>
    <xf numFmtId="0" fontId="3" fillId="0" borderId="0" xfId="3" applyFont="1" applyFill="1" applyAlignment="1">
      <alignment horizontal="center"/>
    </xf>
    <xf numFmtId="166" fontId="3" fillId="0" borderId="0" xfId="1" applyNumberFormat="1" applyFont="1" applyFill="1" applyBorder="1" applyAlignment="1">
      <alignment horizontal="center" vertical="center" wrapText="1"/>
      <protection locked="0"/>
    </xf>
    <xf numFmtId="0" fontId="3" fillId="0" borderId="0" xfId="3" applyFont="1" applyFill="1" applyAlignment="1">
      <alignment horizontal="center" vertical="center" wrapText="1"/>
    </xf>
    <xf numFmtId="0" fontId="3" fillId="0" borderId="0" xfId="3" applyFont="1" applyFill="1" applyAlignment="1">
      <alignment horizontal="center" vertical="top"/>
    </xf>
    <xf numFmtId="49" fontId="3" fillId="0" borderId="2" xfId="1" quotePrefix="1" applyNumberFormat="1" applyFont="1" applyFill="1" applyBorder="1" applyAlignment="1">
      <alignment horizontal="center" vertical="top"/>
      <protection locked="0"/>
    </xf>
    <xf numFmtId="16" fontId="3" fillId="0" borderId="2" xfId="1" quotePrefix="1" applyNumberFormat="1" applyFont="1" applyFill="1" applyBorder="1" applyAlignment="1">
      <alignment horizontal="center" vertical="top"/>
      <protection locked="0"/>
    </xf>
    <xf numFmtId="0" fontId="3" fillId="0" borderId="0" xfId="5" quotePrefix="1" applyFont="1" applyFill="1" applyAlignment="1">
      <alignment horizontal="center" vertical="top"/>
    </xf>
    <xf numFmtId="0" fontId="3" fillId="0" borderId="0" xfId="5" applyFont="1" applyFill="1" applyAlignment="1">
      <alignment horizontal="center" vertical="top"/>
    </xf>
    <xf numFmtId="0" fontId="3" fillId="0" borderId="0" xfId="2" applyFont="1" applyFill="1" applyAlignment="1">
      <alignment horizontal="center" vertical="top"/>
    </xf>
    <xf numFmtId="49" fontId="3" fillId="0" borderId="2" xfId="35" quotePrefix="1" applyNumberFormat="1" applyFont="1" applyFill="1" applyBorder="1" applyAlignment="1">
      <alignment horizontal="center" vertical="top"/>
    </xf>
    <xf numFmtId="16" fontId="3" fillId="0" borderId="2" xfId="35" quotePrefix="1" applyNumberFormat="1" applyFont="1" applyFill="1" applyBorder="1" applyAlignment="1">
      <alignment horizontal="center" vertical="top"/>
    </xf>
    <xf numFmtId="0" fontId="3" fillId="0" borderId="0" xfId="0" applyFont="1" applyFill="1" applyAlignment="1">
      <alignment horizontal="center" wrapText="1"/>
    </xf>
    <xf numFmtId="0" fontId="3" fillId="0" borderId="0" xfId="0" applyNumberFormat="1" applyFont="1" applyFill="1" applyAlignment="1">
      <alignment horizontal="left"/>
    </xf>
    <xf numFmtId="0" fontId="3" fillId="0" borderId="0" xfId="0" applyFont="1" applyFill="1" applyAlignment="1">
      <alignment horizontal="center" vertical="top"/>
    </xf>
    <xf numFmtId="0" fontId="3" fillId="0" borderId="11" xfId="0" applyFont="1" applyFill="1" applyBorder="1" applyAlignment="1">
      <alignment horizontal="center" vertical="top"/>
    </xf>
    <xf numFmtId="0" fontId="3" fillId="0" borderId="0" xfId="0" quotePrefix="1" applyFont="1" applyFill="1" applyAlignment="1">
      <alignment horizontal="center" vertical="top"/>
    </xf>
    <xf numFmtId="0" fontId="3" fillId="0" borderId="0" xfId="3" applyFont="1" applyFill="1" applyAlignment="1">
      <alignment horizontal="left" vertical="top" indent="1"/>
    </xf>
    <xf numFmtId="0" fontId="3" fillId="0" borderId="0" xfId="1" applyNumberFormat="1" applyFont="1" applyFill="1" applyAlignment="1">
      <alignment horizontal="center" vertical="top"/>
      <protection locked="0"/>
    </xf>
    <xf numFmtId="0" fontId="3" fillId="0" borderId="2" xfId="28" applyFont="1" applyFill="1" applyBorder="1" applyAlignment="1">
      <alignment horizontal="center"/>
    </xf>
    <xf numFmtId="0" fontId="3" fillId="0" borderId="0" xfId="5" quotePrefix="1" applyFont="1" applyFill="1" applyAlignment="1">
      <alignment horizontal="center"/>
    </xf>
    <xf numFmtId="0" fontId="3" fillId="0" borderId="0" xfId="5" applyFont="1" applyFill="1" applyAlignment="1">
      <alignment horizontal="center"/>
    </xf>
    <xf numFmtId="0" fontId="5" fillId="0" borderId="0" xfId="8" applyFont="1" applyFill="1" applyAlignment="1">
      <alignment horizontal="justify" vertical="top" wrapText="1"/>
    </xf>
    <xf numFmtId="0" fontId="8" fillId="0" borderId="0" xfId="7" applyFont="1" applyFill="1" applyAlignment="1">
      <alignment horizontal="justify" vertical="top" wrapText="1"/>
    </xf>
    <xf numFmtId="49" fontId="8" fillId="0" borderId="0" xfId="7" applyNumberFormat="1" applyFont="1" applyFill="1" applyAlignment="1">
      <alignment horizontal="justify" vertical="top" wrapText="1"/>
    </xf>
    <xf numFmtId="0" fontId="8" fillId="0" borderId="0" xfId="7" applyNumberFormat="1" applyFont="1" applyFill="1" applyAlignment="1">
      <alignment horizontal="justify" vertical="top" wrapText="1"/>
    </xf>
    <xf numFmtId="0" fontId="5" fillId="0" borderId="0" xfId="8" applyFont="1" applyFill="1" applyAlignment="1">
      <alignment horizontal="left" vertical="top" wrapText="1"/>
    </xf>
    <xf numFmtId="0" fontId="8" fillId="0" borderId="0" xfId="7" applyFont="1" applyFill="1" applyAlignment="1">
      <alignment horizontal="left" vertical="top" wrapText="1"/>
    </xf>
    <xf numFmtId="0" fontId="8" fillId="0" borderId="0" xfId="4" applyFont="1" applyFill="1" applyAlignment="1">
      <alignment horizontal="left" vertical="top" wrapText="1"/>
    </xf>
    <xf numFmtId="0" fontId="3" fillId="0" borderId="0" xfId="3" quotePrefix="1" applyFont="1" applyFill="1" applyAlignment="1">
      <alignment horizontal="center" vertical="center"/>
    </xf>
    <xf numFmtId="0" fontId="8" fillId="0" borderId="0" xfId="0" applyFont="1" applyAlignment="1">
      <alignment horizontal="justify" wrapText="1"/>
    </xf>
    <xf numFmtId="0" fontId="8" fillId="0" borderId="0" xfId="0" applyFont="1" applyAlignment="1">
      <alignment horizontal="justify" vertical="top" wrapText="1"/>
    </xf>
    <xf numFmtId="0" fontId="33" fillId="0" borderId="0" xfId="75" applyFont="1" applyFill="1" applyAlignment="1">
      <alignment horizontal="justify" vertical="top"/>
    </xf>
    <xf numFmtId="0" fontId="37" fillId="0" borderId="0" xfId="75" applyFont="1" applyFill="1" applyAlignment="1">
      <alignment horizontal="justify" vertical="top"/>
    </xf>
    <xf numFmtId="0" fontId="33" fillId="0" borderId="0" xfId="75" applyFont="1" applyFill="1" applyAlignment="1">
      <alignment horizontal="justify" vertical="top" wrapText="1"/>
    </xf>
    <xf numFmtId="0" fontId="37" fillId="0" borderId="0" xfId="75" applyFont="1" applyFill="1" applyAlignment="1">
      <alignment horizontal="justify" vertical="top" wrapText="1"/>
    </xf>
    <xf numFmtId="0" fontId="3" fillId="0" borderId="4" xfId="7" quotePrefix="1" applyFont="1" applyFill="1" applyBorder="1" applyAlignment="1">
      <alignment horizontal="center" vertical="center" wrapText="1"/>
    </xf>
    <xf numFmtId="0" fontId="3" fillId="0" borderId="5" xfId="7" quotePrefix="1" applyFont="1" applyFill="1" applyBorder="1" applyAlignment="1">
      <alignment horizontal="center" vertical="center" wrapText="1"/>
    </xf>
    <xf numFmtId="0" fontId="3" fillId="0" borderId="6" xfId="7" quotePrefix="1" applyFont="1" applyFill="1" applyBorder="1" applyAlignment="1">
      <alignment horizontal="center" vertical="center" wrapText="1"/>
    </xf>
    <xf numFmtId="166" fontId="3" fillId="0" borderId="4" xfId="32" applyNumberFormat="1" applyFont="1" applyFill="1" applyBorder="1" applyAlignment="1">
      <alignment horizontal="center" vertical="center" wrapText="1"/>
    </xf>
    <xf numFmtId="166" fontId="3" fillId="0" borderId="5" xfId="32" quotePrefix="1" applyNumberFormat="1" applyFont="1" applyFill="1" applyBorder="1" applyAlignment="1">
      <alignment horizontal="center" vertical="center" wrapText="1"/>
    </xf>
    <xf numFmtId="166" fontId="3" fillId="0" borderId="6" xfId="32" quotePrefix="1" applyNumberFormat="1" applyFont="1" applyFill="1" applyBorder="1" applyAlignment="1">
      <alignment horizontal="center" vertical="center" wrapText="1"/>
    </xf>
    <xf numFmtId="0" fontId="8" fillId="0" borderId="0" xfId="14" applyNumberFormat="1" applyFont="1" applyFill="1" applyAlignment="1">
      <alignment horizontal="left" vertical="center" wrapText="1"/>
    </xf>
    <xf numFmtId="0" fontId="8" fillId="0" borderId="0" xfId="14" applyNumberFormat="1" applyFont="1" applyFill="1" applyAlignment="1">
      <alignment horizontal="justify" vertical="center" wrapText="1"/>
    </xf>
    <xf numFmtId="171" fontId="13" fillId="0" borderId="4" xfId="15" quotePrefix="1" applyNumberFormat="1" applyFont="1" applyFill="1" applyBorder="1" applyAlignment="1">
      <alignment horizontal="center" vertical="center" wrapText="1"/>
    </xf>
    <xf numFmtId="171" fontId="13" fillId="0" borderId="5" xfId="15" quotePrefix="1" applyNumberFormat="1" applyFont="1" applyFill="1" applyBorder="1" applyAlignment="1">
      <alignment horizontal="center" vertical="center" wrapText="1"/>
    </xf>
    <xf numFmtId="171" fontId="13" fillId="0" borderId="6" xfId="15" quotePrefix="1" applyNumberFormat="1" applyFont="1" applyFill="1" applyBorder="1" applyAlignment="1">
      <alignment horizontal="center" vertical="center" wrapText="1"/>
    </xf>
    <xf numFmtId="171" fontId="3" fillId="0" borderId="4" xfId="15" quotePrefix="1" applyNumberFormat="1" applyFont="1" applyFill="1" applyBorder="1" applyAlignment="1">
      <alignment horizontal="center" vertical="center" wrapText="1"/>
    </xf>
    <xf numFmtId="171" fontId="3" fillId="0" borderId="5" xfId="15" quotePrefix="1" applyNumberFormat="1" applyFont="1" applyFill="1" applyBorder="1" applyAlignment="1">
      <alignment horizontal="center" vertical="center" wrapText="1"/>
    </xf>
    <xf numFmtId="171" fontId="3" fillId="0" borderId="6" xfId="15" quotePrefix="1" applyNumberFormat="1" applyFont="1" applyFill="1" applyBorder="1" applyAlignment="1">
      <alignment horizontal="center" vertical="center" wrapText="1"/>
    </xf>
    <xf numFmtId="0" fontId="3" fillId="0" borderId="3" xfId="7" quotePrefix="1" applyFont="1" applyFill="1" applyBorder="1" applyAlignment="1">
      <alignment horizontal="center" vertical="center"/>
    </xf>
    <xf numFmtId="10" fontId="3" fillId="0" borderId="4" xfId="30" quotePrefix="1" applyNumberFormat="1" applyFont="1" applyFill="1" applyBorder="1" applyAlignment="1">
      <alignment horizontal="center" vertical="center" wrapText="1"/>
    </xf>
    <xf numFmtId="10" fontId="3" fillId="0" borderId="5" xfId="30" quotePrefix="1" applyNumberFormat="1" applyFont="1" applyFill="1" applyBorder="1" applyAlignment="1">
      <alignment horizontal="center" vertical="center" wrapText="1"/>
    </xf>
    <xf numFmtId="10" fontId="3" fillId="0" borderId="6" xfId="30" quotePrefix="1" applyNumberFormat="1" applyFont="1" applyFill="1" applyBorder="1" applyAlignment="1">
      <alignment horizontal="center" vertical="center" wrapText="1"/>
    </xf>
    <xf numFmtId="9" fontId="3" fillId="0" borderId="4" xfId="16" quotePrefix="1" applyFont="1" applyFill="1" applyBorder="1" applyAlignment="1">
      <alignment horizontal="center" vertical="center" wrapText="1"/>
    </xf>
    <xf numFmtId="9" fontId="3" fillId="0" borderId="5" xfId="16" quotePrefix="1" applyFont="1" applyFill="1" applyBorder="1" applyAlignment="1">
      <alignment horizontal="center" vertical="center" wrapText="1"/>
    </xf>
    <xf numFmtId="9" fontId="3" fillId="0" borderId="6" xfId="16" quotePrefix="1" applyFont="1" applyFill="1" applyBorder="1" applyAlignment="1">
      <alignment horizontal="center" vertical="center" wrapText="1"/>
    </xf>
    <xf numFmtId="0" fontId="3" fillId="0" borderId="10" xfId="15" quotePrefix="1" applyNumberFormat="1" applyFont="1" applyFill="1" applyBorder="1" applyAlignment="1">
      <alignment horizontal="center" vertical="center" wrapText="1"/>
    </xf>
    <xf numFmtId="0" fontId="3" fillId="0" borderId="11" xfId="15" quotePrefix="1" applyNumberFormat="1" applyFont="1" applyFill="1" applyBorder="1" applyAlignment="1">
      <alignment horizontal="center" vertical="center" wrapText="1"/>
    </xf>
    <xf numFmtId="0" fontId="3" fillId="0" borderId="12" xfId="15" quotePrefix="1" applyNumberFormat="1" applyFont="1" applyFill="1" applyBorder="1" applyAlignment="1">
      <alignment horizontal="center" vertical="center" wrapText="1"/>
    </xf>
    <xf numFmtId="0" fontId="3" fillId="0" borderId="8" xfId="14" quotePrefix="1" applyNumberFormat="1" applyFont="1" applyFill="1" applyBorder="1" applyAlignment="1">
      <alignment horizontal="center" vertical="center" wrapText="1"/>
    </xf>
    <xf numFmtId="0" fontId="3" fillId="0" borderId="9" xfId="14" quotePrefix="1" applyNumberFormat="1" applyFont="1" applyFill="1" applyBorder="1" applyAlignment="1">
      <alignment horizontal="center" vertical="center" wrapText="1"/>
    </xf>
    <xf numFmtId="0" fontId="3" fillId="0" borderId="13" xfId="14" quotePrefix="1" applyNumberFormat="1" applyFont="1" applyFill="1" applyBorder="1" applyAlignment="1">
      <alignment horizontal="center" vertical="center" wrapText="1"/>
    </xf>
    <xf numFmtId="0" fontId="3" fillId="0" borderId="14" xfId="14" quotePrefix="1" applyNumberFormat="1" applyFont="1" applyFill="1" applyBorder="1" applyAlignment="1">
      <alignment horizontal="center" vertical="center" wrapText="1"/>
    </xf>
    <xf numFmtId="0" fontId="3" fillId="0" borderId="15" xfId="14" quotePrefix="1" applyNumberFormat="1" applyFont="1" applyFill="1" applyBorder="1" applyAlignment="1">
      <alignment horizontal="center" vertical="center" wrapText="1"/>
    </xf>
    <xf numFmtId="0" fontId="3" fillId="0" borderId="16" xfId="14" quotePrefix="1" applyNumberFormat="1" applyFont="1" applyFill="1" applyBorder="1" applyAlignment="1">
      <alignment horizontal="center" vertical="center" wrapText="1"/>
    </xf>
    <xf numFmtId="10" fontId="8" fillId="0" borderId="0" xfId="32" applyNumberFormat="1" applyFont="1" applyFill="1" applyAlignment="1">
      <alignment horizontal="center"/>
    </xf>
    <xf numFmtId="0" fontId="3" fillId="0" borderId="4" xfId="20" applyFont="1" applyFill="1" applyBorder="1" applyAlignment="1">
      <alignment horizontal="center" vertical="center" wrapText="1"/>
    </xf>
    <xf numFmtId="0" fontId="3" fillId="0" borderId="6" xfId="20" applyFont="1" applyFill="1" applyBorder="1" applyAlignment="1">
      <alignment horizontal="center" vertical="center" wrapText="1"/>
    </xf>
    <xf numFmtId="0" fontId="3" fillId="0" borderId="9" xfId="20" applyFont="1" applyFill="1" applyBorder="1" applyAlignment="1">
      <alignment horizontal="center" vertical="center" wrapText="1"/>
    </xf>
    <xf numFmtId="0" fontId="3" fillId="0" borderId="16" xfId="20" applyFont="1" applyFill="1" applyBorder="1" applyAlignment="1">
      <alignment horizontal="center" vertical="center" wrapText="1"/>
    </xf>
    <xf numFmtId="0" fontId="3" fillId="0" borderId="10" xfId="17" applyFont="1" applyFill="1" applyBorder="1" applyAlignment="1">
      <alignment horizontal="center" vertical="top"/>
    </xf>
    <xf numFmtId="0" fontId="3" fillId="0" borderId="11" xfId="17" applyFont="1" applyFill="1" applyBorder="1" applyAlignment="1">
      <alignment horizontal="center" vertical="top"/>
    </xf>
    <xf numFmtId="0" fontId="3" fillId="0" borderId="12" xfId="17" applyFont="1" applyFill="1" applyBorder="1" applyAlignment="1">
      <alignment horizontal="center" vertical="top"/>
    </xf>
    <xf numFmtId="0" fontId="3" fillId="0" borderId="4" xfId="21" applyNumberFormat="1" applyFont="1" applyFill="1" applyBorder="1" applyAlignment="1">
      <alignment horizontal="center" vertical="center" wrapText="1"/>
    </xf>
    <xf numFmtId="0" fontId="3" fillId="0" borderId="6" xfId="21" applyNumberFormat="1" applyFont="1" applyFill="1" applyBorder="1" applyAlignment="1">
      <alignment horizontal="center" vertical="center" wrapText="1"/>
    </xf>
    <xf numFmtId="0" fontId="3" fillId="0" borderId="8" xfId="21" applyNumberFormat="1" applyFont="1" applyFill="1" applyBorder="1" applyAlignment="1">
      <alignment horizontal="center" vertical="center" wrapText="1"/>
    </xf>
    <xf numFmtId="0" fontId="3" fillId="0" borderId="9" xfId="21" applyNumberFormat="1" applyFont="1" applyFill="1" applyBorder="1" applyAlignment="1">
      <alignment horizontal="center" vertical="center" wrapText="1"/>
    </xf>
    <xf numFmtId="0" fontId="3" fillId="0" borderId="15" xfId="21" applyNumberFormat="1" applyFont="1" applyFill="1" applyBorder="1" applyAlignment="1">
      <alignment horizontal="center" vertical="center" wrapText="1"/>
    </xf>
    <xf numFmtId="0" fontId="3" fillId="0" borderId="16" xfId="21" applyNumberFormat="1" applyFont="1" applyFill="1" applyBorder="1" applyAlignment="1">
      <alignment horizontal="center" vertical="center" wrapText="1"/>
    </xf>
    <xf numFmtId="0" fontId="3" fillId="0" borderId="0" xfId="21" quotePrefix="1" applyNumberFormat="1" applyFont="1" applyFill="1" applyBorder="1" applyAlignment="1">
      <alignment horizontal="center" vertical="center"/>
    </xf>
    <xf numFmtId="0" fontId="8" fillId="0" borderId="0" xfId="17" applyFont="1" applyFill="1" applyBorder="1" applyAlignment="1">
      <alignment vertical="center"/>
    </xf>
    <xf numFmtId="0" fontId="3" fillId="0" borderId="3" xfId="17" quotePrefix="1" applyFont="1" applyFill="1" applyBorder="1" applyAlignment="1">
      <alignment horizontal="center"/>
    </xf>
    <xf numFmtId="173" fontId="3" fillId="0" borderId="4" xfId="18" applyNumberFormat="1" applyFont="1" applyFill="1" applyBorder="1" applyAlignment="1" applyProtection="1">
      <alignment horizontal="center" vertical="center" wrapText="1"/>
    </xf>
    <xf numFmtId="173" fontId="3" fillId="0" borderId="5" xfId="18" applyNumberFormat="1" applyFont="1" applyFill="1" applyBorder="1" applyAlignment="1" applyProtection="1">
      <alignment horizontal="center" vertical="center" wrapText="1"/>
    </xf>
    <xf numFmtId="173" fontId="3" fillId="0" borderId="6" xfId="18" applyNumberFormat="1" applyFont="1" applyFill="1" applyBorder="1" applyAlignment="1" applyProtection="1">
      <alignment horizontal="center" vertical="center" wrapText="1"/>
    </xf>
    <xf numFmtId="173" fontId="3" fillId="0" borderId="8" xfId="18" applyNumberFormat="1" applyFont="1" applyFill="1" applyBorder="1" applyAlignment="1" applyProtection="1">
      <alignment horizontal="center" vertical="center" wrapText="1"/>
    </xf>
    <xf numFmtId="173" fontId="3" fillId="0" borderId="9" xfId="18" applyNumberFormat="1" applyFont="1" applyFill="1" applyBorder="1" applyAlignment="1" applyProtection="1">
      <alignment horizontal="center" vertical="center" wrapText="1"/>
    </xf>
    <xf numFmtId="173" fontId="3" fillId="0" borderId="13" xfId="18" applyNumberFormat="1" applyFont="1" applyFill="1" applyBorder="1" applyAlignment="1" applyProtection="1">
      <alignment horizontal="center" vertical="center" wrapText="1"/>
    </xf>
    <xf numFmtId="173" fontId="3" fillId="0" borderId="14" xfId="18" applyNumberFormat="1" applyFont="1" applyFill="1" applyBorder="1" applyAlignment="1" applyProtection="1">
      <alignment horizontal="center" vertical="center" wrapText="1"/>
    </xf>
    <xf numFmtId="173" fontId="3" fillId="0" borderId="15" xfId="18" applyNumberFormat="1" applyFont="1" applyFill="1" applyBorder="1" applyAlignment="1" applyProtection="1">
      <alignment horizontal="center" vertical="center" wrapText="1"/>
    </xf>
    <xf numFmtId="173" fontId="3" fillId="0" borderId="16" xfId="18" applyNumberFormat="1" applyFont="1" applyFill="1" applyBorder="1" applyAlignment="1" applyProtection="1">
      <alignment horizontal="center" vertical="center" wrapText="1"/>
    </xf>
    <xf numFmtId="49" fontId="3" fillId="0" borderId="4" xfId="18" applyNumberFormat="1" applyFont="1" applyFill="1" applyBorder="1" applyAlignment="1" applyProtection="1">
      <alignment horizontal="center" vertical="center" wrapText="1"/>
    </xf>
    <xf numFmtId="49" fontId="3" fillId="0" borderId="5" xfId="18" applyNumberFormat="1" applyFont="1" applyFill="1" applyBorder="1" applyAlignment="1" applyProtection="1">
      <alignment horizontal="center" vertical="center" wrapText="1"/>
    </xf>
    <xf numFmtId="49" fontId="3" fillId="0" borderId="6" xfId="18" applyNumberFormat="1" applyFont="1" applyFill="1" applyBorder="1" applyAlignment="1" applyProtection="1">
      <alignment horizontal="center" vertical="center" wrapText="1"/>
    </xf>
    <xf numFmtId="166" fontId="3" fillId="0" borderId="10" xfId="18" applyNumberFormat="1" applyFont="1" applyFill="1" applyBorder="1" applyAlignment="1">
      <alignment horizontal="center" vertical="center"/>
    </xf>
    <xf numFmtId="166" fontId="3" fillId="0" borderId="11" xfId="18" applyNumberFormat="1" applyFont="1" applyFill="1" applyBorder="1" applyAlignment="1">
      <alignment horizontal="center" vertical="center"/>
    </xf>
    <xf numFmtId="166" fontId="3" fillId="0" borderId="12" xfId="18" applyNumberFormat="1" applyFont="1" applyFill="1" applyBorder="1" applyAlignment="1">
      <alignment horizontal="center" vertical="center"/>
    </xf>
    <xf numFmtId="0" fontId="3" fillId="0" borderId="3" xfId="21" quotePrefix="1" applyNumberFormat="1" applyFont="1" applyFill="1" applyBorder="1" applyAlignment="1">
      <alignment horizontal="center" vertical="center"/>
    </xf>
    <xf numFmtId="173" fontId="3" fillId="0" borderId="10" xfId="18" applyNumberFormat="1" applyFont="1" applyFill="1" applyBorder="1" applyAlignment="1">
      <alignment horizontal="center" vertical="center"/>
    </xf>
    <xf numFmtId="173" fontId="3" fillId="0" borderId="11" xfId="18" applyNumberFormat="1" applyFont="1" applyFill="1" applyBorder="1" applyAlignment="1">
      <alignment horizontal="center" vertical="center"/>
    </xf>
    <xf numFmtId="173" fontId="3" fillId="0" borderId="12" xfId="18" applyNumberFormat="1" applyFont="1" applyFill="1" applyBorder="1" applyAlignment="1">
      <alignment horizontal="center" vertical="center"/>
    </xf>
    <xf numFmtId="166" fontId="3" fillId="0" borderId="3" xfId="18" quotePrefix="1" applyNumberFormat="1" applyFont="1" applyFill="1" applyBorder="1" applyAlignment="1">
      <alignment horizontal="center"/>
    </xf>
    <xf numFmtId="173" fontId="3" fillId="0" borderId="8" xfId="33" applyNumberFormat="1" applyFont="1" applyFill="1" applyBorder="1" applyAlignment="1">
      <alignment horizontal="center" vertical="center" wrapText="1"/>
    </xf>
    <xf numFmtId="173" fontId="3" fillId="0" borderId="13" xfId="33" applyNumberFormat="1" applyFont="1" applyFill="1" applyBorder="1" applyAlignment="1">
      <alignment horizontal="center" vertical="center" wrapText="1"/>
    </xf>
    <xf numFmtId="173" fontId="3" fillId="0" borderId="15" xfId="33" applyNumberFormat="1" applyFont="1" applyFill="1" applyBorder="1" applyAlignment="1">
      <alignment horizontal="center" vertical="center" wrapText="1"/>
    </xf>
    <xf numFmtId="0" fontId="3" fillId="2" borderId="3" xfId="3" quotePrefix="1" applyFont="1" applyFill="1" applyBorder="1" applyAlignment="1">
      <alignment horizontal="center"/>
    </xf>
    <xf numFmtId="0" fontId="3" fillId="2" borderId="0" xfId="3" quotePrefix="1" applyNumberFormat="1" applyFont="1" applyFill="1" applyBorder="1" applyAlignment="1">
      <alignment horizontal="center"/>
    </xf>
    <xf numFmtId="15" fontId="3" fillId="0" borderId="0" xfId="8" applyNumberFormat="1" applyFont="1" applyFill="1" applyAlignment="1">
      <alignment horizontal="center" vertical="top" wrapText="1"/>
    </xf>
    <xf numFmtId="0" fontId="8" fillId="0" borderId="0" xfId="3" applyNumberFormat="1" applyFont="1" applyFill="1" applyAlignment="1" applyProtection="1">
      <alignment horizontal="left" vertical="top" wrapText="1"/>
      <protection locked="0"/>
    </xf>
    <xf numFmtId="0" fontId="3" fillId="0" borderId="0" xfId="8" quotePrefix="1" applyFont="1" applyFill="1" applyAlignment="1">
      <alignment horizontal="left" vertical="top"/>
    </xf>
    <xf numFmtId="0" fontId="3" fillId="0" borderId="0" xfId="8" applyFont="1" applyFill="1" applyAlignment="1">
      <alignment horizontal="left" vertical="top"/>
    </xf>
    <xf numFmtId="37" fontId="37" fillId="0" borderId="0" xfId="0" quotePrefix="1" applyNumberFormat="1" applyFont="1" applyFill="1" applyAlignment="1" applyProtection="1">
      <alignment horizontal="center"/>
    </xf>
    <xf numFmtId="0" fontId="8" fillId="0" borderId="0" xfId="3" applyNumberFormat="1" applyFont="1" applyFill="1" applyAlignment="1">
      <alignment horizontal="justify" vertical="top" wrapText="1"/>
    </xf>
    <xf numFmtId="0" fontId="3" fillId="0" borderId="17" xfId="80" applyFont="1" applyFill="1" applyBorder="1" applyAlignment="1">
      <alignment horizontal="center" vertical="center" wrapText="1"/>
    </xf>
    <xf numFmtId="0" fontId="3" fillId="0" borderId="0" xfId="81" quotePrefix="1" applyFont="1" applyFill="1" applyAlignment="1">
      <alignment horizontal="center" vertical="top"/>
    </xf>
    <xf numFmtId="0" fontId="8" fillId="0" borderId="0" xfId="3" applyNumberFormat="1" applyFont="1" applyFill="1" applyAlignment="1">
      <alignment horizontal="left" vertical="top" wrapText="1"/>
    </xf>
    <xf numFmtId="0" fontId="3" fillId="0" borderId="0" xfId="3" quotePrefix="1" applyFont="1" applyFill="1" applyAlignment="1">
      <alignment horizontal="center" wrapText="1"/>
    </xf>
    <xf numFmtId="49" fontId="3" fillId="0" borderId="2" xfId="1" quotePrefix="1" applyNumberFormat="1" applyFont="1" applyFill="1" applyBorder="1" applyAlignment="1">
      <alignment horizontal="center" vertical="center"/>
      <protection locked="0"/>
    </xf>
    <xf numFmtId="0" fontId="3" fillId="0" borderId="0" xfId="8" applyFont="1" applyFill="1" applyAlignment="1">
      <alignment horizontal="center" vertical="top" wrapText="1"/>
    </xf>
    <xf numFmtId="0" fontId="8" fillId="0" borderId="0" xfId="3" quotePrefix="1" applyNumberFormat="1" applyFont="1" applyFill="1" applyAlignment="1">
      <alignment horizontal="justify" vertical="top" wrapText="1"/>
    </xf>
    <xf numFmtId="0" fontId="3" fillId="0" borderId="0" xfId="3" applyFont="1" applyFill="1" applyBorder="1" applyAlignment="1">
      <alignment horizontal="center" vertical="center"/>
    </xf>
    <xf numFmtId="0" fontId="8" fillId="0" borderId="0" xfId="3" applyFont="1" applyFill="1" applyAlignment="1">
      <alignment horizontal="justify" vertical="top" wrapText="1"/>
    </xf>
    <xf numFmtId="0" fontId="3" fillId="0" borderId="0" xfId="3" applyFont="1" applyFill="1" applyBorder="1" applyAlignment="1">
      <alignment horizontal="justify" vertical="top" wrapText="1"/>
    </xf>
    <xf numFmtId="0" fontId="3" fillId="0" borderId="0" xfId="3" quotePrefix="1" applyFont="1" applyFill="1" applyBorder="1" applyAlignment="1">
      <alignment horizontal="left" vertical="top" wrapText="1" indent="1"/>
    </xf>
    <xf numFmtId="15" fontId="3" fillId="0" borderId="0" xfId="38" quotePrefix="1" applyNumberFormat="1" applyFont="1" applyFill="1" applyBorder="1" applyAlignment="1">
      <alignment horizontal="center" vertical="top"/>
    </xf>
    <xf numFmtId="0" fontId="3" fillId="0" borderId="17" xfId="80" quotePrefix="1" applyFont="1" applyFill="1" applyBorder="1" applyAlignment="1">
      <alignment horizontal="center" vertical="center" wrapText="1"/>
    </xf>
    <xf numFmtId="0" fontId="5" fillId="4" borderId="0" xfId="3" applyNumberFormat="1" applyFont="1" applyFill="1" applyAlignment="1">
      <alignment horizontal="justify" vertical="top" wrapText="1"/>
    </xf>
    <xf numFmtId="0" fontId="3" fillId="0" borderId="0" xfId="8" applyFont="1" applyFill="1" applyAlignment="1">
      <alignment horizontal="left"/>
    </xf>
    <xf numFmtId="0" fontId="8" fillId="0" borderId="0" xfId="14" applyNumberFormat="1" applyFont="1" applyFill="1" applyAlignment="1">
      <alignment horizontal="justify" vertical="top" wrapText="1"/>
    </xf>
    <xf numFmtId="0" fontId="8" fillId="0" borderId="0" xfId="3" applyNumberFormat="1" applyFont="1" applyFill="1" applyAlignment="1" applyProtection="1">
      <alignment horizontal="justify" vertical="top" wrapText="1"/>
    </xf>
    <xf numFmtId="0" fontId="5" fillId="0" borderId="0" xfId="3" applyNumberFormat="1" applyFont="1" applyFill="1" applyBorder="1" applyAlignment="1">
      <alignment horizontal="justify" vertical="top" wrapText="1"/>
    </xf>
    <xf numFmtId="0" fontId="39" fillId="0" borderId="0" xfId="0" applyFont="1" applyAlignment="1">
      <alignment horizontal="justify" vertical="top" wrapText="1"/>
    </xf>
    <xf numFmtId="0" fontId="27" fillId="0" borderId="2" xfId="38" applyFont="1" applyFill="1" applyBorder="1" applyAlignment="1">
      <alignment horizontal="center"/>
    </xf>
    <xf numFmtId="0" fontId="27" fillId="0" borderId="0" xfId="38" applyFont="1" applyFill="1" applyBorder="1" applyAlignment="1">
      <alignment horizontal="center"/>
    </xf>
    <xf numFmtId="0" fontId="27" fillId="0" borderId="4" xfId="38" applyNumberFormat="1" applyFont="1" applyFill="1" applyBorder="1" applyAlignment="1">
      <alignment horizontal="center" vertical="center" wrapText="1"/>
    </xf>
    <xf numFmtId="0" fontId="27" fillId="0" borderId="5" xfId="38" applyNumberFormat="1" applyFont="1" applyFill="1" applyBorder="1" applyAlignment="1">
      <alignment horizontal="center" vertical="center" wrapText="1"/>
    </xf>
    <xf numFmtId="0" fontId="27" fillId="0" borderId="6" xfId="38" applyNumberFormat="1" applyFont="1" applyFill="1" applyBorder="1" applyAlignment="1">
      <alignment horizontal="center" vertical="center" wrapText="1"/>
    </xf>
    <xf numFmtId="0" fontId="27" fillId="0" borderId="17" xfId="38" applyNumberFormat="1" applyFont="1" applyFill="1" applyBorder="1" applyAlignment="1">
      <alignment horizontal="center" vertical="center" wrapText="1"/>
    </xf>
    <xf numFmtId="0" fontId="27" fillId="0" borderId="0" xfId="38" quotePrefix="1" applyFont="1" applyFill="1" applyAlignment="1">
      <alignment horizontal="center"/>
    </xf>
    <xf numFmtId="0" fontId="28" fillId="0" borderId="0" xfId="39" quotePrefix="1" applyFont="1" applyFill="1" applyAlignment="1">
      <alignment horizontal="center"/>
    </xf>
    <xf numFmtId="0" fontId="21" fillId="0" borderId="0" xfId="2" applyFont="1" applyAlignment="1">
      <alignment horizontal="center"/>
    </xf>
    <xf numFmtId="0" fontId="3" fillId="0" borderId="0" xfId="7" applyFont="1" applyFill="1" applyBorder="1" applyAlignment="1">
      <alignment horizontal="center"/>
    </xf>
    <xf numFmtId="0" fontId="3" fillId="0" borderId="0" xfId="7" applyFont="1" applyFill="1" applyAlignment="1">
      <alignment horizontal="center"/>
    </xf>
    <xf numFmtId="16" fontId="3" fillId="0" borderId="0" xfId="7" applyNumberFormat="1" applyFont="1" applyFill="1" applyAlignment="1">
      <alignment horizontal="center"/>
    </xf>
    <xf numFmtId="16" fontId="3" fillId="0" borderId="2" xfId="7" quotePrefix="1" applyNumberFormat="1" applyFont="1" applyFill="1" applyBorder="1" applyAlignment="1">
      <alignment horizontal="center" vertical="center" wrapText="1"/>
    </xf>
    <xf numFmtId="166" fontId="3" fillId="0" borderId="0" xfId="7" quotePrefix="1" applyNumberFormat="1" applyFont="1" applyFill="1" applyAlignment="1">
      <alignment horizontal="center"/>
    </xf>
    <xf numFmtId="0" fontId="27" fillId="0" borderId="0" xfId="64" quotePrefix="1" applyFont="1" applyFill="1" applyAlignment="1">
      <alignment horizontal="center" vertical="top"/>
    </xf>
    <xf numFmtId="0" fontId="31" fillId="6" borderId="17" xfId="64" applyFont="1" applyFill="1" applyBorder="1" applyAlignment="1">
      <alignment vertical="top"/>
    </xf>
    <xf numFmtId="0" fontId="27" fillId="7" borderId="17" xfId="64" applyFont="1" applyFill="1" applyBorder="1" applyAlignment="1">
      <alignment horizontal="justify" vertical="top" wrapText="1"/>
    </xf>
    <xf numFmtId="0" fontId="27" fillId="0" borderId="0" xfId="64" applyFont="1" applyFill="1" applyAlignment="1">
      <alignment horizontal="center" vertical="top"/>
    </xf>
    <xf numFmtId="0" fontId="27" fillId="0" borderId="2" xfId="64" applyFont="1" applyFill="1" applyBorder="1" applyAlignment="1">
      <alignment horizontal="center" vertical="top"/>
    </xf>
    <xf numFmtId="0" fontId="27" fillId="0" borderId="0" xfId="64" applyFont="1" applyFill="1" applyBorder="1" applyAlignment="1">
      <alignment horizontal="center" vertical="top"/>
    </xf>
  </cellXfs>
  <cellStyles count="86">
    <cellStyle name="=C:\WINNT\SYSTEM32\COMMAND.COM" xfId="4"/>
    <cellStyle name="=C:\WINNT\SYSTEM32\COMMAND.COM 2" xfId="40"/>
    <cellStyle name="=C:\WINNT\SYSTEM32\COMMAND.COM 2 2" xfId="41"/>
    <cellStyle name="=C:\WINNT\SYSTEM32\COMMAND.COM 2 2 2" xfId="42"/>
    <cellStyle name="=C:\WINNT\SYSTEM32\COMMAND.COM 2 2 2 2" xfId="38"/>
    <cellStyle name="=C:\WINNT\SYSTEM32\COMMAND.COM 2 3" xfId="77"/>
    <cellStyle name="=C:\WINNT\SYSTEM32\COMMAND.COM 3" xfId="12"/>
    <cellStyle name="=C:\WINNT\SYSTEM32\COMMAND.COM 3 3" xfId="23"/>
    <cellStyle name="=C:\WINNT\SYSTEM32\COMMAND.COM_AFS___HFT____Invest_note 2" xfId="19"/>
    <cellStyle name="=C:\WINNT\SYSTEM32\COMMAND.COM_IGI IIF interim 2009 Accounts (Final)" xfId="81"/>
    <cellStyle name="Comma" xfId="32" builtinId="3"/>
    <cellStyle name="Comma 10" xfId="66"/>
    <cellStyle name="Comma 10 2 2" xfId="37"/>
    <cellStyle name="Comma 10 2 4" xfId="85"/>
    <cellStyle name="Comma 11" xfId="18"/>
    <cellStyle name="Comma 11 10" xfId="43"/>
    <cellStyle name="Comma 12" xfId="44"/>
    <cellStyle name="Comma 2" xfId="1"/>
    <cellStyle name="Comma 2 10" xfId="22"/>
    <cellStyle name="Comma 2 2" xfId="35"/>
    <cellStyle name="Comma 2 2 2" xfId="9"/>
    <cellStyle name="Comma 2 2 2 2 2" xfId="73"/>
    <cellStyle name="Comma 2 2 3" xfId="36"/>
    <cellStyle name="Comma 2 2 4" xfId="74"/>
    <cellStyle name="Comma 2 7" xfId="45"/>
    <cellStyle name="Comma 2 7 2" xfId="79"/>
    <cellStyle name="Comma 2_Invstment Portions 2008 2 2 2" xfId="15"/>
    <cellStyle name="Comma 3" xfId="6"/>
    <cellStyle name="Comma 3 2" xfId="46"/>
    <cellStyle name="Comma 3 3 2" xfId="47"/>
    <cellStyle name="Comma 4" xfId="65"/>
    <cellStyle name="Comma 5" xfId="29"/>
    <cellStyle name="Comma 6" xfId="83"/>
    <cellStyle name="Comma 8 2" xfId="21"/>
    <cellStyle name="Comma 8 2 2" xfId="72"/>
    <cellStyle name="Normal" xfId="0" builtinId="0"/>
    <cellStyle name="Normal - Style1" xfId="8"/>
    <cellStyle name="Normal - Style1 2" xfId="24"/>
    <cellStyle name="Normal 10" xfId="25"/>
    <cellStyle name="Normal 11" xfId="48"/>
    <cellStyle name="Normal 12" xfId="49"/>
    <cellStyle name="Normal 13" xfId="27"/>
    <cellStyle name="Normal 13 10" xfId="34"/>
    <cellStyle name="Normal 14" xfId="50"/>
    <cellStyle name="Normal 14 2" xfId="76"/>
    <cellStyle name="Normal 15" xfId="51"/>
    <cellStyle name="Normal 16" xfId="52"/>
    <cellStyle name="Normal 17" xfId="53"/>
    <cellStyle name="Normal 18 3" xfId="63"/>
    <cellStyle name="Normal 2" xfId="2"/>
    <cellStyle name="Normal 2 10 2" xfId="39"/>
    <cellStyle name="Normal 2 2" xfId="3"/>
    <cellStyle name="Normal 2 2 2" xfId="7"/>
    <cellStyle name="Normal 2 2 2 2" xfId="54"/>
    <cellStyle name="Normal 2 2 2 3" xfId="82"/>
    <cellStyle name="Normal 2 4 2" xfId="71"/>
    <cellStyle name="Normal 2 7" xfId="70"/>
    <cellStyle name="Normal 2 8" xfId="55"/>
    <cellStyle name="Normal 22" xfId="67"/>
    <cellStyle name="Normal 3" xfId="5"/>
    <cellStyle name="Normal 3 2" xfId="20"/>
    <cellStyle name="Normal 3 3" xfId="69"/>
    <cellStyle name="Normal 33" xfId="56"/>
    <cellStyle name="Normal 4" xfId="28"/>
    <cellStyle name="Normal 479" xfId="75"/>
    <cellStyle name="Normal 5" xfId="64"/>
    <cellStyle name="Normal 6 2" xfId="17"/>
    <cellStyle name="Normal 6 2 2" xfId="31"/>
    <cellStyle name="Normal 7" xfId="57"/>
    <cellStyle name="Normal 73" xfId="84"/>
    <cellStyle name="Normal 8" xfId="58"/>
    <cellStyle name="Normal 8 2" xfId="59"/>
    <cellStyle name="Normal 9" xfId="60"/>
    <cellStyle name="Normal_DCF Jun 30, 2007" xfId="33"/>
    <cellStyle name="Normal_DSF Dec 2007 (11.1.08)" xfId="11"/>
    <cellStyle name="Normal_DSF Dec 2007 (11.1.08) 2" xfId="68"/>
    <cellStyle name="Normal_Final accou by farrukh PCMF" xfId="13"/>
    <cellStyle name="Normal_Half_Yearly_Accounts_NCF_2006__auditors_" xfId="10"/>
    <cellStyle name="Normal_Portfolio" xfId="14"/>
    <cellStyle name="Normal1" xfId="26"/>
    <cellStyle name="Percent" xfId="30" builtinId="5"/>
    <cellStyle name="Percent 2" xfId="16"/>
    <cellStyle name="Style 1" xfId="61"/>
    <cellStyle name="Style 1 10" xfId="80"/>
    <cellStyle name="Style 1 2" xfId="62"/>
    <cellStyle name="Style 1 3" xfId="78"/>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21" Type="http://schemas.openxmlformats.org/officeDocument/2006/relationships/externalLink" Target="externalLinks/externalLink5.xml"/><Relationship Id="rId34"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4.xml"/><Relationship Id="rId37" Type="http://schemas.openxmlformats.org/officeDocument/2006/relationships/customXml" Target="../customXml/item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36" Type="http://schemas.openxmlformats.org/officeDocument/2006/relationships/customXml" Target="../customXml/item8.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 Id="rId30" Type="http://schemas.openxmlformats.org/officeDocument/2006/relationships/customXml" Target="../customXml/item2.xml"/><Relationship Id="rId35" Type="http://schemas.openxmlformats.org/officeDocument/2006/relationships/customXml" Target="../customXml/item7.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8</xdr:col>
      <xdr:colOff>0</xdr:colOff>
      <xdr:row>93</xdr:row>
      <xdr:rowOff>0</xdr:rowOff>
    </xdr:from>
    <xdr:to>
      <xdr:col>8</xdr:col>
      <xdr:colOff>126999</xdr:colOff>
      <xdr:row>142</xdr:row>
      <xdr:rowOff>95248</xdr:rowOff>
    </xdr:to>
    <xdr:sp macro="" textlink="">
      <xdr:nvSpPr>
        <xdr:cNvPr id="3" name="TextBox 2"/>
        <xdr:cNvSpPr txBox="1"/>
      </xdr:nvSpPr>
      <xdr:spPr>
        <a:xfrm rot="7672501">
          <a:off x="4455584" y="20404666"/>
          <a:ext cx="7069665" cy="126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71437</xdr:colOff>
      <xdr:row>45</xdr:row>
      <xdr:rowOff>1</xdr:rowOff>
    </xdr:from>
    <xdr:to>
      <xdr:col>8</xdr:col>
      <xdr:colOff>761999</xdr:colOff>
      <xdr:row>52</xdr:row>
      <xdr:rowOff>100013</xdr:rowOff>
    </xdr:to>
    <xdr:sp macro="" textlink="">
      <xdr:nvSpPr>
        <xdr:cNvPr id="2" name="TextBox 1"/>
        <xdr:cNvSpPr txBox="1"/>
      </xdr:nvSpPr>
      <xdr:spPr>
        <a:xfrm>
          <a:off x="71437" y="8715376"/>
          <a:ext cx="66198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64</xdr:row>
      <xdr:rowOff>31750</xdr:rowOff>
    </xdr:from>
    <xdr:to>
      <xdr:col>6</xdr:col>
      <xdr:colOff>751415</xdr:colOff>
      <xdr:row>72</xdr:row>
      <xdr:rowOff>126999</xdr:rowOff>
    </xdr:to>
    <xdr:sp macro="" textlink="">
      <xdr:nvSpPr>
        <xdr:cNvPr id="2" name="TextBox 1"/>
        <xdr:cNvSpPr txBox="1"/>
      </xdr:nvSpPr>
      <xdr:spPr>
        <a:xfrm>
          <a:off x="0" y="11472333"/>
          <a:ext cx="6741582" cy="1365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10584</xdr:rowOff>
    </xdr:from>
    <xdr:to>
      <xdr:col>8</xdr:col>
      <xdr:colOff>0</xdr:colOff>
      <xdr:row>28</xdr:row>
      <xdr:rowOff>144992</xdr:rowOff>
    </xdr:to>
    <xdr:sp macro="" textlink="">
      <xdr:nvSpPr>
        <xdr:cNvPr id="2" name="TextBox 1"/>
        <xdr:cNvSpPr txBox="1"/>
      </xdr:nvSpPr>
      <xdr:spPr>
        <a:xfrm>
          <a:off x="0" y="4360334"/>
          <a:ext cx="66198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65</xdr:row>
      <xdr:rowOff>133351</xdr:rowOff>
    </xdr:from>
    <xdr:to>
      <xdr:col>16</xdr:col>
      <xdr:colOff>85724</xdr:colOff>
      <xdr:row>74</xdr:row>
      <xdr:rowOff>76200</xdr:rowOff>
    </xdr:to>
    <xdr:sp macro="" textlink="">
      <xdr:nvSpPr>
        <xdr:cNvPr id="2" name="TextBox 1"/>
        <xdr:cNvSpPr txBox="1"/>
      </xdr:nvSpPr>
      <xdr:spPr>
        <a:xfrm>
          <a:off x="304800" y="11115676"/>
          <a:ext cx="9010649" cy="1400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52</xdr:row>
      <xdr:rowOff>0</xdr:rowOff>
    </xdr:from>
    <xdr:to>
      <xdr:col>19</xdr:col>
      <xdr:colOff>79375</xdr:colOff>
      <xdr:row>60</xdr:row>
      <xdr:rowOff>28575</xdr:rowOff>
    </xdr:to>
    <xdr:sp macro="" textlink="">
      <xdr:nvSpPr>
        <xdr:cNvPr id="2" name="TextBox 1"/>
        <xdr:cNvSpPr txBox="1"/>
      </xdr:nvSpPr>
      <xdr:spPr>
        <a:xfrm>
          <a:off x="381000" y="8339667"/>
          <a:ext cx="66198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10</xdr:col>
      <xdr:colOff>447675</xdr:colOff>
      <xdr:row>124</xdr:row>
      <xdr:rowOff>0</xdr:rowOff>
    </xdr:from>
    <xdr:ext cx="112048" cy="20193"/>
    <xdr:sp macro="" textlink="">
      <xdr:nvSpPr>
        <xdr:cNvPr id="2" name="Text Box 2"/>
        <xdr:cNvSpPr txBox="1">
          <a:spLocks noChangeAspect="1" noChangeArrowheads="1"/>
        </xdr:cNvSpPr>
      </xdr:nvSpPr>
      <xdr:spPr bwMode="auto">
        <a:xfrm>
          <a:off x="5876925" y="20078700"/>
          <a:ext cx="112048" cy="2019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10</xdr:col>
      <xdr:colOff>457200</xdr:colOff>
      <xdr:row>124</xdr:row>
      <xdr:rowOff>0</xdr:rowOff>
    </xdr:from>
    <xdr:ext cx="108238" cy="3810"/>
    <xdr:sp macro="" textlink="">
      <xdr:nvSpPr>
        <xdr:cNvPr id="3" name="Text Box 3"/>
        <xdr:cNvSpPr txBox="1">
          <a:spLocks noChangeAspect="1" noChangeArrowheads="1"/>
        </xdr:cNvSpPr>
      </xdr:nvSpPr>
      <xdr:spPr bwMode="auto">
        <a:xfrm>
          <a:off x="5886450" y="20078700"/>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10</xdr:col>
      <xdr:colOff>447675</xdr:colOff>
      <xdr:row>124</xdr:row>
      <xdr:rowOff>0</xdr:rowOff>
    </xdr:from>
    <xdr:ext cx="112048" cy="23241"/>
    <xdr:sp macro="" textlink="">
      <xdr:nvSpPr>
        <xdr:cNvPr id="4" name="Text Box 2"/>
        <xdr:cNvSpPr txBox="1">
          <a:spLocks noChangeAspect="1" noChangeArrowheads="1"/>
        </xdr:cNvSpPr>
      </xdr:nvSpPr>
      <xdr:spPr bwMode="auto">
        <a:xfrm>
          <a:off x="5876925" y="20078700"/>
          <a:ext cx="112048" cy="2324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10</xdr:col>
      <xdr:colOff>457200</xdr:colOff>
      <xdr:row>124</xdr:row>
      <xdr:rowOff>0</xdr:rowOff>
    </xdr:from>
    <xdr:ext cx="108238" cy="3810"/>
    <xdr:sp macro="" textlink="">
      <xdr:nvSpPr>
        <xdr:cNvPr id="5" name="Text Box 3"/>
        <xdr:cNvSpPr txBox="1">
          <a:spLocks noChangeAspect="1" noChangeArrowheads="1"/>
        </xdr:cNvSpPr>
      </xdr:nvSpPr>
      <xdr:spPr bwMode="auto">
        <a:xfrm>
          <a:off x="5886450" y="20078700"/>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447675</xdr:colOff>
      <xdr:row>34</xdr:row>
      <xdr:rowOff>0</xdr:rowOff>
    </xdr:from>
    <xdr:ext cx="112048" cy="20193"/>
    <xdr:sp macro="" textlink="">
      <xdr:nvSpPr>
        <xdr:cNvPr id="2" name="Text Box 2"/>
        <xdr:cNvSpPr txBox="1">
          <a:spLocks noChangeAspect="1" noChangeArrowheads="1"/>
        </xdr:cNvSpPr>
      </xdr:nvSpPr>
      <xdr:spPr bwMode="auto">
        <a:xfrm>
          <a:off x="7419975" y="3609975"/>
          <a:ext cx="112048" cy="2019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9</xdr:col>
      <xdr:colOff>457200</xdr:colOff>
      <xdr:row>34</xdr:row>
      <xdr:rowOff>0</xdr:rowOff>
    </xdr:from>
    <xdr:ext cx="108238" cy="3810"/>
    <xdr:sp macro="" textlink="">
      <xdr:nvSpPr>
        <xdr:cNvPr id="3" name="Text Box 3"/>
        <xdr:cNvSpPr txBox="1">
          <a:spLocks noChangeAspect="1" noChangeArrowheads="1"/>
        </xdr:cNvSpPr>
      </xdr:nvSpPr>
      <xdr:spPr bwMode="auto">
        <a:xfrm>
          <a:off x="7429500" y="3609975"/>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9</xdr:col>
      <xdr:colOff>447675</xdr:colOff>
      <xdr:row>34</xdr:row>
      <xdr:rowOff>0</xdr:rowOff>
    </xdr:from>
    <xdr:ext cx="112048" cy="23241"/>
    <xdr:sp macro="" textlink="">
      <xdr:nvSpPr>
        <xdr:cNvPr id="4" name="Text Box 2"/>
        <xdr:cNvSpPr txBox="1">
          <a:spLocks noChangeAspect="1" noChangeArrowheads="1"/>
        </xdr:cNvSpPr>
      </xdr:nvSpPr>
      <xdr:spPr bwMode="auto">
        <a:xfrm>
          <a:off x="7419975" y="3609975"/>
          <a:ext cx="112048" cy="2324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9</xdr:col>
      <xdr:colOff>457200</xdr:colOff>
      <xdr:row>34</xdr:row>
      <xdr:rowOff>0</xdr:rowOff>
    </xdr:from>
    <xdr:ext cx="108238" cy="3810"/>
    <xdr:sp macro="" textlink="">
      <xdr:nvSpPr>
        <xdr:cNvPr id="5" name="Text Box 3"/>
        <xdr:cNvSpPr txBox="1">
          <a:spLocks noChangeAspect="1" noChangeArrowheads="1"/>
        </xdr:cNvSpPr>
      </xdr:nvSpPr>
      <xdr:spPr bwMode="auto">
        <a:xfrm>
          <a:off x="7429500" y="3609975"/>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9</xdr:col>
      <xdr:colOff>447675</xdr:colOff>
      <xdr:row>50</xdr:row>
      <xdr:rowOff>0</xdr:rowOff>
    </xdr:from>
    <xdr:ext cx="112048" cy="20193"/>
    <xdr:sp macro="" textlink="">
      <xdr:nvSpPr>
        <xdr:cNvPr id="6" name="Text Box 2"/>
        <xdr:cNvSpPr txBox="1">
          <a:spLocks noChangeAspect="1" noChangeArrowheads="1"/>
        </xdr:cNvSpPr>
      </xdr:nvSpPr>
      <xdr:spPr bwMode="auto">
        <a:xfrm>
          <a:off x="8332258" y="6741583"/>
          <a:ext cx="112048" cy="2019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9</xdr:col>
      <xdr:colOff>457200</xdr:colOff>
      <xdr:row>50</xdr:row>
      <xdr:rowOff>0</xdr:rowOff>
    </xdr:from>
    <xdr:ext cx="108238" cy="3810"/>
    <xdr:sp macro="" textlink="">
      <xdr:nvSpPr>
        <xdr:cNvPr id="7" name="Text Box 3"/>
        <xdr:cNvSpPr txBox="1">
          <a:spLocks noChangeAspect="1" noChangeArrowheads="1"/>
        </xdr:cNvSpPr>
      </xdr:nvSpPr>
      <xdr:spPr bwMode="auto">
        <a:xfrm>
          <a:off x="8341783" y="6741583"/>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9</xdr:col>
      <xdr:colOff>447675</xdr:colOff>
      <xdr:row>50</xdr:row>
      <xdr:rowOff>0</xdr:rowOff>
    </xdr:from>
    <xdr:ext cx="112048" cy="23241"/>
    <xdr:sp macro="" textlink="">
      <xdr:nvSpPr>
        <xdr:cNvPr id="8" name="Text Box 2"/>
        <xdr:cNvSpPr txBox="1">
          <a:spLocks noChangeAspect="1" noChangeArrowheads="1"/>
        </xdr:cNvSpPr>
      </xdr:nvSpPr>
      <xdr:spPr bwMode="auto">
        <a:xfrm>
          <a:off x="8332258" y="6741583"/>
          <a:ext cx="112048" cy="2324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9</xdr:col>
      <xdr:colOff>457200</xdr:colOff>
      <xdr:row>50</xdr:row>
      <xdr:rowOff>0</xdr:rowOff>
    </xdr:from>
    <xdr:ext cx="108238" cy="3810"/>
    <xdr:sp macro="" textlink="">
      <xdr:nvSpPr>
        <xdr:cNvPr id="9" name="Text Box 3"/>
        <xdr:cNvSpPr txBox="1">
          <a:spLocks noChangeAspect="1" noChangeArrowheads="1"/>
        </xdr:cNvSpPr>
      </xdr:nvSpPr>
      <xdr:spPr bwMode="auto">
        <a:xfrm>
          <a:off x="8341783" y="6741583"/>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455083</xdr:colOff>
      <xdr:row>236</xdr:row>
      <xdr:rowOff>105834</xdr:rowOff>
    </xdr:from>
    <xdr:to>
      <xdr:col>9</xdr:col>
      <xdr:colOff>153458</xdr:colOff>
      <xdr:row>245</xdr:row>
      <xdr:rowOff>39159</xdr:rowOff>
    </xdr:to>
    <xdr:sp macro="" textlink="">
      <xdr:nvSpPr>
        <xdr:cNvPr id="2" name="TextBox 1"/>
        <xdr:cNvSpPr txBox="1"/>
      </xdr:nvSpPr>
      <xdr:spPr>
        <a:xfrm>
          <a:off x="889000" y="34163001"/>
          <a:ext cx="66198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Administrator\Desktop\Documents%20and%20Settings\Abeer%20Jamil\Desktop\Documents%20and%20Settings\imran.ahmad\Desktop\Public\AUDIT2004\AMAN\Sc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khifsr01\audit05\Documents%20and%20Settings\Trainee\My%20Documents\mod%20al-tijarah%202002\Sched.%20rec'd%20fm%20Client\ACC-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kppbrianfer\SC%20GROUP\Brian%20data\Indus%20Motor%20June%202004\Indus%20FINAL\Documents%20and%20Settings\rahat.hussain\Local%20Settings\Temp\Temporary%20Directory%201%20for%20merit.zip\Merit%20draft%20accounts%20FINAL%2028-07-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irtreasurybo\D\CLOSING\Backup%20of%20SEC31DEC01.xlk"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202231%20PIF%20-%20Financials%20-%20Dec%2031,%202014"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5110.1%20Bank%20Balances%20Combined%20Leadsheet%20FOR%20F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84.8.137\Audit%20C\Documents%20and%20Settings\vijaykukreja\Desktop\Vijay\2011%20-%2012\Financials\Dec%2011\Working\Documents%20and%20Settings\vijaykukreja\Application%20Data\Microsoft\Excel\Magnus-capital%20gain-TY%20201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ISJUL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heet"/>
      <sheetName val="Sheet1"/>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amp;L"/>
      <sheetName val="Cashflow"/>
      <sheetName val="Note 3-7"/>
      <sheetName val="Note 8-15"/>
      <sheetName val="Note 16-19"/>
      <sheetName val="Note 19.1-20.1"/>
      <sheetName val="Note 21-25"/>
      <sheetName val="Note 26-29"/>
      <sheetName val="29-30"/>
      <sheetName val="AL905"/>
      <sheetName val="FEb"/>
      <sheetName val="March 110"/>
      <sheetName val="MarchSL904"/>
      <sheetName val="Macro1"/>
      <sheetName val="BS-OVS"/>
      <sheetName val="Sheet4"/>
      <sheetName val="I-B"/>
      <sheetName val="I-BR"/>
      <sheetName val="BSDOMOVS"/>
      <sheetName val="29_30"/>
      <sheetName val="Sheet1"/>
      <sheetName val="TBPRICE"/>
      <sheetName val="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amp;L"/>
      <sheetName val="CF"/>
      <sheetName val="SCE"/>
      <sheetName val="1-4.14"/>
      <sheetName val="5-5.3"/>
      <sheetName val="6-29.2"/>
      <sheetName val="30-33"/>
      <sheetName val="34-38.2"/>
      <sheetName val="39-43"/>
      <sheetName val="P&amp;L Commentary"/>
      <sheetName val="34_38_2"/>
      <sheetName val="1-4_14"/>
      <sheetName val="5-5_3"/>
      <sheetName val="6-29_2"/>
      <sheetName val="34-38_2"/>
      <sheetName val="Sheet2"/>
      <sheetName val="Furniture"/>
      <sheetName val="UA-30"/>
      <sheetName val="IS"/>
      <sheetName val="FHBM 706"/>
      <sheetName val="Merit draft accounts FINAL 28-0"/>
      <sheetName val="F&amp;F"/>
      <sheetName val="1-4_141"/>
      <sheetName val="5-5_31"/>
      <sheetName val="6-29_21"/>
      <sheetName val="34-38_21"/>
      <sheetName val="3.2"/>
      <sheetName val="Summary"/>
      <sheetName val="Acct"/>
      <sheetName val="Master Exch Rate &amp; Discount"/>
      <sheetName val="6-19 (2016)"/>
      <sheetName val="P&amp;L_Commentary"/>
      <sheetName val="AL905"/>
      <sheetName val="1-4_142"/>
      <sheetName val="5-5_32"/>
      <sheetName val="6-29_22"/>
      <sheetName val="34-38_22"/>
      <sheetName val="3_2"/>
      <sheetName val="CLV assumptions"/>
      <sheetName val="FHBM_706"/>
      <sheetName val="Merit_draft_accounts_FINAL_28-0"/>
      <sheetName val="KeyData"/>
      <sheetName val="Set-up"/>
      <sheetName val="Mapping"/>
      <sheetName val="2002 P3"/>
      <sheetName val="Sep2004"/>
      <sheetName val="Accounts"/>
      <sheetName val="E"/>
      <sheetName val="Data"/>
      <sheetName val="Ratios Data"/>
      <sheetName val="S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M"/>
      <sheetName val="DALY"/>
      <sheetName val="O-N"/>
      <sheetName val="F-HL"/>
      <sheetName val="F-RR"/>
      <sheetName val="F-REP"/>
      <sheetName val="T-HL"/>
      <sheetName val="T.REP"/>
      <sheetName val="T.RR"/>
      <sheetName val="P-HL"/>
      <sheetName val="P-RR"/>
      <sheetName val="P-REP"/>
      <sheetName val="TFC-H"/>
      <sheetName val="TFC-RR"/>
      <sheetName val="NIT"/>
      <sheetName val="COI"/>
      <sheetName val="SHR"/>
      <sheetName val="SHR-RR"/>
      <sheetName val="TENOR"/>
      <sheetName val="SUM"/>
      <sheetName val="SUM1"/>
      <sheetName val="SHAMS"/>
      <sheetName val="BR"/>
      <sheetName val="AMOR"/>
      <sheetName val="MTM"/>
      <sheetName val="AVA"/>
      <sheetName val="KH-32"/>
      <sheetName val="PREV"/>
      <sheetName val="HO"/>
      <sheetName val="ACCT"/>
      <sheetName val="ANA"/>
      <sheetName val="IN-EX"/>
      <sheetName val="TBPRICE"/>
      <sheetName val="BK"/>
      <sheetName val="Sheet1"/>
      <sheetName val="34-38.2"/>
      <sheetName val="H-7.1 Listed TFC"/>
    </sheetNames>
    <sheetDataSet>
      <sheetData sheetId="0"/>
      <sheetData sheetId="1"/>
      <sheetData sheetId="2"/>
      <sheetData sheetId="3">
        <row r="1">
          <cell r="AH1">
            <v>37342</v>
          </cell>
        </row>
      </sheetData>
      <sheetData sheetId="4">
        <row r="1">
          <cell r="AI1">
            <v>0</v>
          </cell>
        </row>
      </sheetData>
      <sheetData sheetId="5">
        <row r="2">
          <cell r="D2">
            <v>37341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F5">
            <v>37340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Distribution"/>
      <sheetName val="UHA"/>
      <sheetName val="CF"/>
      <sheetName val="Note 1-5"/>
      <sheetName val="Note 5.2"/>
      <sheetName val="Note 5.4-7"/>
      <sheetName val="Notes 8-10"/>
      <sheetName val="Note 11"/>
      <sheetName val="Cash Flow working"/>
      <sheetName val="For UHF"/>
      <sheetName val="RP Working"/>
      <sheetName val="Lead"/>
      <sheetName val="Links"/>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F2" t="str">
            <v>Preliminary</v>
          </cell>
          <cell r="H2" t="str">
            <v>AJE</v>
          </cell>
          <cell r="I2" t="str">
            <v>Adjusted</v>
          </cell>
          <cell r="J2" t="str">
            <v>RJE</v>
          </cell>
          <cell r="K2" t="str">
            <v>Dec '14</v>
          </cell>
          <cell r="M2" t="str">
            <v>Jun'14 /Dec'13</v>
          </cell>
          <cell r="N2">
            <v>0</v>
          </cell>
          <cell r="O2">
            <v>0</v>
          </cell>
        </row>
        <row r="4">
          <cell r="F4">
            <v>3</v>
          </cell>
          <cell r="H4">
            <v>0</v>
          </cell>
          <cell r="I4">
            <v>3</v>
          </cell>
          <cell r="J4">
            <v>0</v>
          </cell>
          <cell r="K4">
            <v>3</v>
          </cell>
          <cell r="M4">
            <v>3236</v>
          </cell>
        </row>
        <row r="5">
          <cell r="F5">
            <v>205</v>
          </cell>
          <cell r="H5">
            <v>0</v>
          </cell>
          <cell r="I5">
            <v>205</v>
          </cell>
          <cell r="J5">
            <v>0</v>
          </cell>
          <cell r="K5">
            <v>205</v>
          </cell>
          <cell r="M5">
            <v>60</v>
          </cell>
        </row>
        <row r="6">
          <cell r="F6">
            <v>11</v>
          </cell>
          <cell r="H6">
            <v>0</v>
          </cell>
          <cell r="I6">
            <v>11</v>
          </cell>
          <cell r="J6">
            <v>0</v>
          </cell>
          <cell r="K6">
            <v>11</v>
          </cell>
          <cell r="M6">
            <v>11</v>
          </cell>
        </row>
        <row r="7">
          <cell r="F7">
            <v>2</v>
          </cell>
          <cell r="H7">
            <v>0</v>
          </cell>
          <cell r="I7">
            <v>2</v>
          </cell>
          <cell r="J7">
            <v>0</v>
          </cell>
          <cell r="K7">
            <v>2</v>
          </cell>
          <cell r="M7">
            <v>245090</v>
          </cell>
        </row>
        <row r="8">
          <cell r="F8">
            <v>2496</v>
          </cell>
          <cell r="H8">
            <v>0</v>
          </cell>
          <cell r="I8">
            <v>2496</v>
          </cell>
          <cell r="J8">
            <v>0</v>
          </cell>
          <cell r="K8">
            <v>2496</v>
          </cell>
          <cell r="M8">
            <v>8964</v>
          </cell>
        </row>
        <row r="9">
          <cell r="F9">
            <v>813</v>
          </cell>
          <cell r="H9">
            <v>0</v>
          </cell>
          <cell r="I9">
            <v>813</v>
          </cell>
          <cell r="J9">
            <v>0</v>
          </cell>
          <cell r="K9">
            <v>813</v>
          </cell>
          <cell r="M9">
            <v>1968</v>
          </cell>
        </row>
        <row r="10">
          <cell r="F10">
            <v>1410</v>
          </cell>
          <cell r="H10">
            <v>0</v>
          </cell>
          <cell r="I10">
            <v>1410</v>
          </cell>
          <cell r="J10">
            <v>0</v>
          </cell>
          <cell r="K10">
            <v>1410</v>
          </cell>
          <cell r="M10">
            <v>2518</v>
          </cell>
        </row>
        <row r="11">
          <cell r="F11">
            <v>10</v>
          </cell>
          <cell r="H11">
            <v>0</v>
          </cell>
          <cell r="I11">
            <v>10</v>
          </cell>
          <cell r="J11">
            <v>0</v>
          </cell>
          <cell r="K11">
            <v>10</v>
          </cell>
          <cell r="M11">
            <v>444</v>
          </cell>
        </row>
        <row r="12">
          <cell r="F12">
            <v>956</v>
          </cell>
          <cell r="H12">
            <v>0</v>
          </cell>
          <cell r="I12">
            <v>956</v>
          </cell>
          <cell r="J12">
            <v>0</v>
          </cell>
          <cell r="K12">
            <v>956</v>
          </cell>
          <cell r="M12">
            <v>941</v>
          </cell>
        </row>
        <row r="13">
          <cell r="F13">
            <v>4</v>
          </cell>
          <cell r="H13">
            <v>0</v>
          </cell>
          <cell r="I13">
            <v>4</v>
          </cell>
          <cell r="J13">
            <v>0</v>
          </cell>
          <cell r="K13">
            <v>4</v>
          </cell>
          <cell r="M13">
            <v>6</v>
          </cell>
        </row>
        <row r="14">
          <cell r="F14">
            <v>23</v>
          </cell>
          <cell r="H14">
            <v>0</v>
          </cell>
          <cell r="I14">
            <v>23</v>
          </cell>
          <cell r="J14">
            <v>0</v>
          </cell>
          <cell r="K14">
            <v>23</v>
          </cell>
          <cell r="M14">
            <v>5</v>
          </cell>
        </row>
        <row r="15">
          <cell r="F15">
            <v>0</v>
          </cell>
          <cell r="H15">
            <v>0</v>
          </cell>
          <cell r="I15">
            <v>0</v>
          </cell>
          <cell r="J15">
            <v>0</v>
          </cell>
          <cell r="K15">
            <v>0</v>
          </cell>
          <cell r="M15">
            <v>0</v>
          </cell>
        </row>
        <row r="16">
          <cell r="F16">
            <v>0</v>
          </cell>
          <cell r="H16">
            <v>0</v>
          </cell>
          <cell r="I16">
            <v>0</v>
          </cell>
          <cell r="J16">
            <v>0</v>
          </cell>
          <cell r="K16">
            <v>0</v>
          </cell>
          <cell r="M16">
            <v>0</v>
          </cell>
        </row>
        <row r="17">
          <cell r="F17">
            <v>0</v>
          </cell>
          <cell r="H17">
            <v>0</v>
          </cell>
          <cell r="I17">
            <v>0</v>
          </cell>
          <cell r="J17">
            <v>0</v>
          </cell>
          <cell r="K17">
            <v>0</v>
          </cell>
          <cell r="M17">
            <v>0</v>
          </cell>
        </row>
        <row r="18">
          <cell r="F18">
            <v>0</v>
          </cell>
          <cell r="H18">
            <v>0</v>
          </cell>
          <cell r="I18">
            <v>0</v>
          </cell>
          <cell r="J18">
            <v>0</v>
          </cell>
          <cell r="K18">
            <v>0</v>
          </cell>
          <cell r="M18">
            <v>0</v>
          </cell>
        </row>
        <row r="19">
          <cell r="F19">
            <v>0</v>
          </cell>
          <cell r="H19">
            <v>0</v>
          </cell>
          <cell r="I19">
            <v>0</v>
          </cell>
          <cell r="J19">
            <v>0</v>
          </cell>
          <cell r="K19">
            <v>0</v>
          </cell>
          <cell r="M19">
            <v>0</v>
          </cell>
        </row>
        <row r="20">
          <cell r="F20">
            <v>0</v>
          </cell>
          <cell r="H20">
            <v>0</v>
          </cell>
          <cell r="I20">
            <v>0</v>
          </cell>
          <cell r="J20">
            <v>0</v>
          </cell>
          <cell r="K20">
            <v>0</v>
          </cell>
          <cell r="M20">
            <v>0</v>
          </cell>
        </row>
        <row r="21">
          <cell r="F21">
            <v>0</v>
          </cell>
          <cell r="H21">
            <v>0</v>
          </cell>
          <cell r="I21">
            <v>0</v>
          </cell>
          <cell r="J21">
            <v>0</v>
          </cell>
          <cell r="K21">
            <v>0</v>
          </cell>
          <cell r="M21">
            <v>0</v>
          </cell>
        </row>
        <row r="22">
          <cell r="F22">
            <v>0</v>
          </cell>
          <cell r="H22">
            <v>0</v>
          </cell>
          <cell r="I22">
            <v>0</v>
          </cell>
          <cell r="J22">
            <v>0</v>
          </cell>
          <cell r="K22">
            <v>0</v>
          </cell>
          <cell r="M22">
            <v>0</v>
          </cell>
        </row>
        <row r="23">
          <cell r="F23">
            <v>0</v>
          </cell>
          <cell r="H23">
            <v>0</v>
          </cell>
          <cell r="I23">
            <v>0</v>
          </cell>
          <cell r="J23">
            <v>0</v>
          </cell>
          <cell r="K23">
            <v>0</v>
          </cell>
          <cell r="M23">
            <v>0</v>
          </cell>
        </row>
        <row r="24">
          <cell r="F24">
            <v>0</v>
          </cell>
          <cell r="H24">
            <v>0</v>
          </cell>
          <cell r="I24">
            <v>0</v>
          </cell>
          <cell r="J24">
            <v>0</v>
          </cell>
          <cell r="K24">
            <v>0</v>
          </cell>
          <cell r="M24">
            <v>0</v>
          </cell>
        </row>
        <row r="25">
          <cell r="F25">
            <v>5933</v>
          </cell>
          <cell r="H25">
            <v>0</v>
          </cell>
          <cell r="I25">
            <v>5933</v>
          </cell>
          <cell r="J25">
            <v>0</v>
          </cell>
          <cell r="K25">
            <v>5933</v>
          </cell>
          <cell r="M25">
            <v>263243</v>
          </cell>
        </row>
        <row r="27">
          <cell r="F27">
            <v>0</v>
          </cell>
          <cell r="H27">
            <v>0</v>
          </cell>
          <cell r="I27">
            <v>0</v>
          </cell>
          <cell r="J27">
            <v>0</v>
          </cell>
          <cell r="K27">
            <v>0</v>
          </cell>
          <cell r="M27">
            <v>0</v>
          </cell>
        </row>
        <row r="28">
          <cell r="F28">
            <v>0</v>
          </cell>
          <cell r="H28">
            <v>0</v>
          </cell>
          <cell r="I28">
            <v>0</v>
          </cell>
          <cell r="J28">
            <v>0</v>
          </cell>
          <cell r="K28">
            <v>0</v>
          </cell>
          <cell r="M28">
            <v>0</v>
          </cell>
        </row>
        <row r="29">
          <cell r="F29">
            <v>0</v>
          </cell>
          <cell r="H29">
            <v>0</v>
          </cell>
          <cell r="I29">
            <v>0</v>
          </cell>
          <cell r="J29">
            <v>0</v>
          </cell>
          <cell r="K29">
            <v>0</v>
          </cell>
          <cell r="M29">
            <v>0</v>
          </cell>
        </row>
        <row r="30">
          <cell r="F30">
            <v>0</v>
          </cell>
          <cell r="H30">
            <v>0</v>
          </cell>
          <cell r="I30">
            <v>0</v>
          </cell>
          <cell r="J30">
            <v>0</v>
          </cell>
          <cell r="K30">
            <v>0</v>
          </cell>
          <cell r="M30">
            <v>0</v>
          </cell>
        </row>
        <row r="31">
          <cell r="F31">
            <v>0</v>
          </cell>
          <cell r="H31">
            <v>0</v>
          </cell>
          <cell r="I31">
            <v>0</v>
          </cell>
          <cell r="J31">
            <v>0</v>
          </cell>
          <cell r="K31">
            <v>0</v>
          </cell>
          <cell r="M31">
            <v>0</v>
          </cell>
        </row>
        <row r="32">
          <cell r="F32">
            <v>0</v>
          </cell>
          <cell r="H32">
            <v>0</v>
          </cell>
          <cell r="I32">
            <v>0</v>
          </cell>
          <cell r="J32">
            <v>0</v>
          </cell>
          <cell r="K32">
            <v>0</v>
          </cell>
          <cell r="M32">
            <v>0</v>
          </cell>
        </row>
        <row r="34">
          <cell r="F34">
            <v>342727</v>
          </cell>
          <cell r="H34">
            <v>0</v>
          </cell>
          <cell r="I34">
            <v>342727</v>
          </cell>
          <cell r="J34">
            <v>0</v>
          </cell>
          <cell r="K34">
            <v>342727</v>
          </cell>
          <cell r="M34">
            <v>385663</v>
          </cell>
        </row>
        <row r="35">
          <cell r="F35">
            <v>5467</v>
          </cell>
          <cell r="H35">
            <v>0</v>
          </cell>
          <cell r="I35">
            <v>5467</v>
          </cell>
          <cell r="J35">
            <v>0</v>
          </cell>
          <cell r="K35">
            <v>5467</v>
          </cell>
          <cell r="M35">
            <v>5790</v>
          </cell>
        </row>
        <row r="36">
          <cell r="F36">
            <v>-16286</v>
          </cell>
          <cell r="H36">
            <v>0</v>
          </cell>
          <cell r="I36">
            <v>-16286</v>
          </cell>
          <cell r="J36">
            <v>0</v>
          </cell>
          <cell r="K36">
            <v>-16286</v>
          </cell>
          <cell r="M36">
            <v>-20933</v>
          </cell>
        </row>
        <row r="37">
          <cell r="F37">
            <v>0</v>
          </cell>
          <cell r="H37">
            <v>0</v>
          </cell>
          <cell r="I37">
            <v>0</v>
          </cell>
          <cell r="J37">
            <v>0</v>
          </cell>
          <cell r="K37">
            <v>0</v>
          </cell>
          <cell r="M37">
            <v>0</v>
          </cell>
        </row>
        <row r="38">
          <cell r="F38">
            <v>-16465</v>
          </cell>
          <cell r="H38">
            <v>0</v>
          </cell>
          <cell r="I38">
            <v>-16465</v>
          </cell>
          <cell r="J38">
            <v>0</v>
          </cell>
          <cell r="K38">
            <v>-16465</v>
          </cell>
          <cell r="M38">
            <v>-19758</v>
          </cell>
        </row>
        <row r="39">
          <cell r="F39">
            <v>-8120</v>
          </cell>
          <cell r="H39">
            <v>0</v>
          </cell>
          <cell r="I39">
            <v>-8120</v>
          </cell>
          <cell r="J39">
            <v>0</v>
          </cell>
          <cell r="K39">
            <v>-8120</v>
          </cell>
          <cell r="M39">
            <v>-16241</v>
          </cell>
        </row>
        <row r="40">
          <cell r="F40">
            <v>59926</v>
          </cell>
          <cell r="H40">
            <v>0</v>
          </cell>
          <cell r="I40">
            <v>59926</v>
          </cell>
          <cell r="J40">
            <v>0</v>
          </cell>
          <cell r="K40">
            <v>59926</v>
          </cell>
          <cell r="M40">
            <v>50768</v>
          </cell>
        </row>
        <row r="41">
          <cell r="F41">
            <v>-59926</v>
          </cell>
          <cell r="H41">
            <v>0</v>
          </cell>
          <cell r="I41">
            <v>-59926</v>
          </cell>
          <cell r="J41">
            <v>0</v>
          </cell>
          <cell r="K41">
            <v>-59926</v>
          </cell>
          <cell r="M41">
            <v>-50768</v>
          </cell>
        </row>
        <row r="42">
          <cell r="F42">
            <v>0</v>
          </cell>
          <cell r="H42">
            <v>0</v>
          </cell>
          <cell r="I42">
            <v>0</v>
          </cell>
          <cell r="J42">
            <v>0</v>
          </cell>
          <cell r="K42">
            <v>0</v>
          </cell>
          <cell r="M42">
            <v>33583</v>
          </cell>
        </row>
        <row r="43">
          <cell r="F43">
            <v>0</v>
          </cell>
          <cell r="H43">
            <v>0</v>
          </cell>
          <cell r="I43">
            <v>0</v>
          </cell>
          <cell r="J43">
            <v>0</v>
          </cell>
          <cell r="K43">
            <v>0</v>
          </cell>
          <cell r="M43">
            <v>0</v>
          </cell>
        </row>
        <row r="44">
          <cell r="F44">
            <v>0</v>
          </cell>
          <cell r="H44">
            <v>0</v>
          </cell>
          <cell r="I44">
            <v>0</v>
          </cell>
          <cell r="J44">
            <v>0</v>
          </cell>
          <cell r="K44">
            <v>0</v>
          </cell>
          <cell r="M44">
            <v>0</v>
          </cell>
        </row>
        <row r="45">
          <cell r="F45">
            <v>0</v>
          </cell>
          <cell r="H45">
            <v>0</v>
          </cell>
          <cell r="I45">
            <v>0</v>
          </cell>
          <cell r="J45">
            <v>0</v>
          </cell>
          <cell r="K45">
            <v>0</v>
          </cell>
          <cell r="M45">
            <v>0</v>
          </cell>
        </row>
        <row r="46">
          <cell r="F46">
            <v>0</v>
          </cell>
          <cell r="H46">
            <v>0</v>
          </cell>
          <cell r="I46">
            <v>0</v>
          </cell>
          <cell r="J46">
            <v>0</v>
          </cell>
          <cell r="K46">
            <v>0</v>
          </cell>
          <cell r="M46">
            <v>0</v>
          </cell>
        </row>
        <row r="47">
          <cell r="F47">
            <v>0</v>
          </cell>
          <cell r="H47">
            <v>0</v>
          </cell>
          <cell r="I47">
            <v>0</v>
          </cell>
          <cell r="J47">
            <v>0</v>
          </cell>
          <cell r="K47">
            <v>0</v>
          </cell>
          <cell r="M47">
            <v>0</v>
          </cell>
        </row>
        <row r="48">
          <cell r="F48">
            <v>0</v>
          </cell>
          <cell r="H48">
            <v>0</v>
          </cell>
          <cell r="I48">
            <v>0</v>
          </cell>
          <cell r="J48">
            <v>0</v>
          </cell>
          <cell r="K48">
            <v>0</v>
          </cell>
          <cell r="M48">
            <v>0</v>
          </cell>
        </row>
        <row r="49">
          <cell r="F49">
            <v>0</v>
          </cell>
          <cell r="H49">
            <v>0</v>
          </cell>
          <cell r="I49">
            <v>0</v>
          </cell>
          <cell r="J49">
            <v>0</v>
          </cell>
          <cell r="K49">
            <v>0</v>
          </cell>
          <cell r="M49">
            <v>0</v>
          </cell>
        </row>
        <row r="50">
          <cell r="F50">
            <v>0</v>
          </cell>
          <cell r="H50">
            <v>0</v>
          </cell>
          <cell r="I50">
            <v>0</v>
          </cell>
          <cell r="J50">
            <v>0</v>
          </cell>
          <cell r="K50">
            <v>0</v>
          </cell>
          <cell r="M50">
            <v>0</v>
          </cell>
        </row>
        <row r="51">
          <cell r="F51">
            <v>0</v>
          </cell>
          <cell r="H51">
            <v>0</v>
          </cell>
          <cell r="I51">
            <v>0</v>
          </cell>
          <cell r="J51">
            <v>0</v>
          </cell>
          <cell r="K51">
            <v>0</v>
          </cell>
          <cell r="M51">
            <v>0</v>
          </cell>
        </row>
        <row r="52">
          <cell r="F52">
            <v>0</v>
          </cell>
          <cell r="H52">
            <v>0</v>
          </cell>
          <cell r="I52">
            <v>0</v>
          </cell>
          <cell r="J52">
            <v>0</v>
          </cell>
          <cell r="K52">
            <v>0</v>
          </cell>
          <cell r="M52">
            <v>0</v>
          </cell>
        </row>
        <row r="53">
          <cell r="F53">
            <v>307323</v>
          </cell>
          <cell r="H53">
            <v>0</v>
          </cell>
          <cell r="I53">
            <v>307323</v>
          </cell>
          <cell r="J53">
            <v>0</v>
          </cell>
          <cell r="K53">
            <v>307323</v>
          </cell>
          <cell r="M53">
            <v>368104</v>
          </cell>
        </row>
        <row r="55">
          <cell r="F55">
            <v>0</v>
          </cell>
          <cell r="H55">
            <v>0</v>
          </cell>
          <cell r="I55">
            <v>0</v>
          </cell>
          <cell r="J55">
            <v>0</v>
          </cell>
          <cell r="K55">
            <v>0</v>
          </cell>
          <cell r="M55">
            <v>0</v>
          </cell>
        </row>
        <row r="57">
          <cell r="F57">
            <v>275039</v>
          </cell>
          <cell r="H57">
            <v>0</v>
          </cell>
          <cell r="I57">
            <v>275039</v>
          </cell>
          <cell r="J57">
            <v>0</v>
          </cell>
          <cell r="K57">
            <v>275039</v>
          </cell>
          <cell r="M57">
            <v>39</v>
          </cell>
        </row>
        <row r="58">
          <cell r="F58">
            <v>-50</v>
          </cell>
          <cell r="H58">
            <v>0</v>
          </cell>
          <cell r="I58">
            <v>-50</v>
          </cell>
          <cell r="J58">
            <v>0</v>
          </cell>
          <cell r="K58">
            <v>-50</v>
          </cell>
          <cell r="M58">
            <v>0</v>
          </cell>
        </row>
        <row r="59">
          <cell r="F59">
            <v>-3506</v>
          </cell>
          <cell r="H59">
            <v>0</v>
          </cell>
          <cell r="I59">
            <v>-3506</v>
          </cell>
          <cell r="J59">
            <v>0</v>
          </cell>
          <cell r="K59">
            <v>-3506</v>
          </cell>
          <cell r="M59">
            <v>-39</v>
          </cell>
        </row>
        <row r="60">
          <cell r="F60">
            <v>363349</v>
          </cell>
          <cell r="H60">
            <v>0</v>
          </cell>
          <cell r="I60">
            <v>363349</v>
          </cell>
          <cell r="J60">
            <v>0</v>
          </cell>
          <cell r="K60">
            <v>363349</v>
          </cell>
          <cell r="M60">
            <v>300849</v>
          </cell>
        </row>
        <row r="61">
          <cell r="F61">
            <v>14586</v>
          </cell>
          <cell r="H61">
            <v>0</v>
          </cell>
          <cell r="I61">
            <v>14586</v>
          </cell>
          <cell r="J61">
            <v>0</v>
          </cell>
          <cell r="K61">
            <v>14586</v>
          </cell>
          <cell r="M61">
            <v>-1206</v>
          </cell>
        </row>
        <row r="62">
          <cell r="F62">
            <v>-3532</v>
          </cell>
          <cell r="H62">
            <v>0</v>
          </cell>
          <cell r="I62">
            <v>-3532</v>
          </cell>
          <cell r="J62">
            <v>0</v>
          </cell>
          <cell r="K62">
            <v>-3532</v>
          </cell>
          <cell r="M62">
            <v>2273</v>
          </cell>
        </row>
        <row r="63">
          <cell r="F63">
            <v>66651</v>
          </cell>
          <cell r="H63">
            <v>0</v>
          </cell>
          <cell r="I63">
            <v>66651</v>
          </cell>
          <cell r="J63">
            <v>0</v>
          </cell>
          <cell r="K63">
            <v>66651</v>
          </cell>
          <cell r="M63">
            <v>66651</v>
          </cell>
        </row>
        <row r="64">
          <cell r="F64">
            <v>2644</v>
          </cell>
          <cell r="H64">
            <v>0</v>
          </cell>
          <cell r="I64">
            <v>2644</v>
          </cell>
          <cell r="J64">
            <v>0</v>
          </cell>
          <cell r="K64">
            <v>2644</v>
          </cell>
          <cell r="M64">
            <v>18</v>
          </cell>
        </row>
        <row r="65">
          <cell r="F65">
            <v>-79</v>
          </cell>
          <cell r="H65">
            <v>0</v>
          </cell>
          <cell r="I65">
            <v>-79</v>
          </cell>
          <cell r="J65">
            <v>0</v>
          </cell>
          <cell r="K65">
            <v>-79</v>
          </cell>
          <cell r="M65">
            <v>-79</v>
          </cell>
        </row>
        <row r="66">
          <cell r="F66">
            <v>0</v>
          </cell>
          <cell r="H66">
            <v>0</v>
          </cell>
          <cell r="I66">
            <v>0</v>
          </cell>
          <cell r="J66">
            <v>0</v>
          </cell>
          <cell r="K66">
            <v>0</v>
          </cell>
          <cell r="M66">
            <v>0</v>
          </cell>
        </row>
        <row r="67">
          <cell r="F67">
            <v>0</v>
          </cell>
          <cell r="H67">
            <v>0</v>
          </cell>
          <cell r="I67">
            <v>0</v>
          </cell>
          <cell r="J67">
            <v>0</v>
          </cell>
          <cell r="K67">
            <v>0</v>
          </cell>
          <cell r="M67">
            <v>0</v>
          </cell>
        </row>
        <row r="68">
          <cell r="F68">
            <v>0</v>
          </cell>
          <cell r="H68">
            <v>0</v>
          </cell>
          <cell r="I68">
            <v>0</v>
          </cell>
          <cell r="J68">
            <v>0</v>
          </cell>
          <cell r="K68">
            <v>0</v>
          </cell>
          <cell r="M68">
            <v>0</v>
          </cell>
        </row>
        <row r="69">
          <cell r="F69">
            <v>0</v>
          </cell>
          <cell r="H69">
            <v>0</v>
          </cell>
          <cell r="I69">
            <v>0</v>
          </cell>
          <cell r="J69">
            <v>0</v>
          </cell>
          <cell r="K69">
            <v>0</v>
          </cell>
          <cell r="M69">
            <v>0</v>
          </cell>
        </row>
        <row r="70">
          <cell r="F70">
            <v>0</v>
          </cell>
          <cell r="H70">
            <v>0</v>
          </cell>
          <cell r="I70">
            <v>0</v>
          </cell>
          <cell r="J70">
            <v>0</v>
          </cell>
          <cell r="K70">
            <v>0</v>
          </cell>
          <cell r="M70">
            <v>0</v>
          </cell>
        </row>
        <row r="71">
          <cell r="F71">
            <v>0</v>
          </cell>
          <cell r="H71">
            <v>0</v>
          </cell>
          <cell r="I71">
            <v>0</v>
          </cell>
          <cell r="J71">
            <v>0</v>
          </cell>
          <cell r="K71">
            <v>0</v>
          </cell>
          <cell r="M71">
            <v>0</v>
          </cell>
        </row>
        <row r="72">
          <cell r="F72">
            <v>0</v>
          </cell>
          <cell r="H72">
            <v>0</v>
          </cell>
          <cell r="I72">
            <v>0</v>
          </cell>
          <cell r="J72">
            <v>0</v>
          </cell>
          <cell r="K72">
            <v>0</v>
          </cell>
          <cell r="M72">
            <v>0</v>
          </cell>
        </row>
        <row r="73">
          <cell r="F73">
            <v>0</v>
          </cell>
          <cell r="H73">
            <v>0</v>
          </cell>
          <cell r="I73">
            <v>0</v>
          </cell>
          <cell r="J73">
            <v>0</v>
          </cell>
          <cell r="K73">
            <v>0</v>
          </cell>
          <cell r="M73">
            <v>0</v>
          </cell>
        </row>
        <row r="74">
          <cell r="F74">
            <v>715102</v>
          </cell>
          <cell r="H74">
            <v>0</v>
          </cell>
          <cell r="I74">
            <v>715102</v>
          </cell>
          <cell r="J74">
            <v>0</v>
          </cell>
          <cell r="K74">
            <v>715102</v>
          </cell>
          <cell r="M74">
            <v>368506</v>
          </cell>
        </row>
        <row r="76">
          <cell r="F76">
            <v>0</v>
          </cell>
          <cell r="H76">
            <v>0</v>
          </cell>
          <cell r="I76">
            <v>0</v>
          </cell>
          <cell r="J76">
            <v>0</v>
          </cell>
          <cell r="K76">
            <v>0</v>
          </cell>
          <cell r="M76">
            <v>0</v>
          </cell>
        </row>
        <row r="78">
          <cell r="F78">
            <v>0</v>
          </cell>
          <cell r="H78">
            <v>0</v>
          </cell>
          <cell r="I78">
            <v>0</v>
          </cell>
          <cell r="J78">
            <v>0</v>
          </cell>
          <cell r="K78">
            <v>0</v>
          </cell>
          <cell r="M78">
            <v>0</v>
          </cell>
        </row>
        <row r="80">
          <cell r="F80">
            <v>58</v>
          </cell>
          <cell r="H80">
            <v>0</v>
          </cell>
          <cell r="I80">
            <v>58</v>
          </cell>
          <cell r="J80">
            <v>0</v>
          </cell>
          <cell r="K80">
            <v>58</v>
          </cell>
          <cell r="M80">
            <v>55</v>
          </cell>
        </row>
        <row r="81">
          <cell r="F81">
            <v>5</v>
          </cell>
          <cell r="H81">
            <v>0</v>
          </cell>
          <cell r="I81">
            <v>5</v>
          </cell>
          <cell r="J81">
            <v>0</v>
          </cell>
          <cell r="K81">
            <v>5</v>
          </cell>
          <cell r="M81">
            <v>459</v>
          </cell>
        </row>
        <row r="82">
          <cell r="F82">
            <v>29</v>
          </cell>
          <cell r="H82">
            <v>0</v>
          </cell>
          <cell r="I82">
            <v>29</v>
          </cell>
          <cell r="J82">
            <v>0</v>
          </cell>
          <cell r="K82">
            <v>29</v>
          </cell>
          <cell r="M82">
            <v>30</v>
          </cell>
        </row>
        <row r="83">
          <cell r="F83">
            <v>18</v>
          </cell>
          <cell r="H83">
            <v>0</v>
          </cell>
          <cell r="I83">
            <v>18</v>
          </cell>
          <cell r="J83">
            <v>0</v>
          </cell>
          <cell r="K83">
            <v>18</v>
          </cell>
          <cell r="M83">
            <v>7</v>
          </cell>
        </row>
        <row r="84">
          <cell r="F84">
            <v>65</v>
          </cell>
          <cell r="H84">
            <v>0</v>
          </cell>
          <cell r="I84">
            <v>65</v>
          </cell>
          <cell r="J84">
            <v>0</v>
          </cell>
          <cell r="K84">
            <v>65</v>
          </cell>
          <cell r="M84">
            <v>36</v>
          </cell>
        </row>
        <row r="85">
          <cell r="F85">
            <v>705</v>
          </cell>
          <cell r="H85">
            <v>0</v>
          </cell>
          <cell r="I85">
            <v>705</v>
          </cell>
          <cell r="J85">
            <v>0</v>
          </cell>
          <cell r="K85">
            <v>705</v>
          </cell>
          <cell r="M85">
            <v>2</v>
          </cell>
        </row>
        <row r="86">
          <cell r="F86">
            <v>8209</v>
          </cell>
          <cell r="H86">
            <v>0</v>
          </cell>
          <cell r="I86">
            <v>8209</v>
          </cell>
          <cell r="J86">
            <v>0</v>
          </cell>
          <cell r="K86">
            <v>8209</v>
          </cell>
          <cell r="M86">
            <v>9114</v>
          </cell>
        </row>
        <row r="87">
          <cell r="F87">
            <v>16</v>
          </cell>
          <cell r="H87">
            <v>0</v>
          </cell>
          <cell r="I87">
            <v>16</v>
          </cell>
          <cell r="J87">
            <v>0</v>
          </cell>
          <cell r="K87">
            <v>16</v>
          </cell>
          <cell r="M87">
            <v>14</v>
          </cell>
        </row>
        <row r="88">
          <cell r="F88">
            <v>0</v>
          </cell>
          <cell r="H88">
            <v>0</v>
          </cell>
          <cell r="I88">
            <v>0</v>
          </cell>
          <cell r="J88">
            <v>0</v>
          </cell>
          <cell r="K88">
            <v>0</v>
          </cell>
          <cell r="M88">
            <v>1205</v>
          </cell>
        </row>
        <row r="89">
          <cell r="F89">
            <v>22323</v>
          </cell>
          <cell r="H89">
            <v>0</v>
          </cell>
          <cell r="I89">
            <v>22323</v>
          </cell>
          <cell r="J89">
            <v>0</v>
          </cell>
          <cell r="K89">
            <v>22323</v>
          </cell>
          <cell r="M89">
            <v>18544</v>
          </cell>
        </row>
        <row r="90">
          <cell r="F90">
            <v>0</v>
          </cell>
          <cell r="H90">
            <v>0</v>
          </cell>
          <cell r="I90">
            <v>0</v>
          </cell>
          <cell r="J90">
            <v>0</v>
          </cell>
          <cell r="K90">
            <v>0</v>
          </cell>
          <cell r="M90">
            <v>0</v>
          </cell>
        </row>
        <row r="91">
          <cell r="F91">
            <v>0</v>
          </cell>
          <cell r="H91">
            <v>0</v>
          </cell>
          <cell r="I91">
            <v>0</v>
          </cell>
          <cell r="J91">
            <v>0</v>
          </cell>
          <cell r="K91">
            <v>0</v>
          </cell>
          <cell r="M91">
            <v>0</v>
          </cell>
        </row>
        <row r="92">
          <cell r="F92">
            <v>0</v>
          </cell>
          <cell r="H92">
            <v>0</v>
          </cell>
          <cell r="I92">
            <v>0</v>
          </cell>
          <cell r="J92">
            <v>0</v>
          </cell>
          <cell r="K92">
            <v>0</v>
          </cell>
          <cell r="M92">
            <v>0</v>
          </cell>
        </row>
        <row r="93">
          <cell r="F93">
            <v>0</v>
          </cell>
          <cell r="H93">
            <v>0</v>
          </cell>
          <cell r="I93">
            <v>0</v>
          </cell>
          <cell r="J93">
            <v>0</v>
          </cell>
          <cell r="K93">
            <v>0</v>
          </cell>
          <cell r="M93">
            <v>0</v>
          </cell>
        </row>
        <row r="94">
          <cell r="F94">
            <v>0</v>
          </cell>
          <cell r="H94">
            <v>0</v>
          </cell>
          <cell r="I94">
            <v>0</v>
          </cell>
          <cell r="J94">
            <v>0</v>
          </cell>
          <cell r="K94">
            <v>0</v>
          </cell>
          <cell r="M94">
            <v>0</v>
          </cell>
        </row>
        <row r="95">
          <cell r="F95">
            <v>0</v>
          </cell>
          <cell r="H95">
            <v>0</v>
          </cell>
          <cell r="I95">
            <v>0</v>
          </cell>
          <cell r="J95">
            <v>0</v>
          </cell>
          <cell r="K95">
            <v>0</v>
          </cell>
          <cell r="M95">
            <v>0</v>
          </cell>
        </row>
        <row r="96">
          <cell r="F96">
            <v>0</v>
          </cell>
          <cell r="H96">
            <v>0</v>
          </cell>
          <cell r="I96">
            <v>0</v>
          </cell>
          <cell r="J96">
            <v>0</v>
          </cell>
          <cell r="K96">
            <v>0</v>
          </cell>
          <cell r="M96">
            <v>0</v>
          </cell>
        </row>
        <row r="97">
          <cell r="F97">
            <v>0</v>
          </cell>
          <cell r="H97">
            <v>0</v>
          </cell>
          <cell r="I97">
            <v>0</v>
          </cell>
          <cell r="J97">
            <v>0</v>
          </cell>
          <cell r="K97">
            <v>0</v>
          </cell>
          <cell r="M97">
            <v>0</v>
          </cell>
        </row>
        <row r="98">
          <cell r="F98">
            <v>0</v>
          </cell>
          <cell r="H98">
            <v>0</v>
          </cell>
          <cell r="I98">
            <v>0</v>
          </cell>
          <cell r="J98">
            <v>0</v>
          </cell>
          <cell r="K98">
            <v>0</v>
          </cell>
          <cell r="M98">
            <v>0</v>
          </cell>
        </row>
        <row r="99">
          <cell r="F99">
            <v>0</v>
          </cell>
          <cell r="H99">
            <v>0</v>
          </cell>
          <cell r="I99">
            <v>0</v>
          </cell>
          <cell r="J99">
            <v>0</v>
          </cell>
          <cell r="K99">
            <v>0</v>
          </cell>
          <cell r="M99">
            <v>0</v>
          </cell>
        </row>
        <row r="100">
          <cell r="F100">
            <v>0</v>
          </cell>
          <cell r="H100">
            <v>0</v>
          </cell>
          <cell r="I100">
            <v>0</v>
          </cell>
          <cell r="J100">
            <v>0</v>
          </cell>
          <cell r="K100">
            <v>0</v>
          </cell>
          <cell r="M100">
            <v>0</v>
          </cell>
        </row>
        <row r="101">
          <cell r="F101">
            <v>0</v>
          </cell>
          <cell r="H101">
            <v>0</v>
          </cell>
          <cell r="I101">
            <v>0</v>
          </cell>
          <cell r="J101">
            <v>0</v>
          </cell>
          <cell r="K101">
            <v>0</v>
          </cell>
          <cell r="M101">
            <v>0</v>
          </cell>
        </row>
        <row r="102">
          <cell r="F102">
            <v>0</v>
          </cell>
          <cell r="H102">
            <v>0</v>
          </cell>
          <cell r="I102">
            <v>0</v>
          </cell>
          <cell r="J102">
            <v>0</v>
          </cell>
          <cell r="K102">
            <v>0</v>
          </cell>
          <cell r="M102">
            <v>0</v>
          </cell>
        </row>
        <row r="103">
          <cell r="F103">
            <v>0</v>
          </cell>
          <cell r="H103">
            <v>0</v>
          </cell>
          <cell r="I103">
            <v>0</v>
          </cell>
          <cell r="J103">
            <v>0</v>
          </cell>
          <cell r="K103">
            <v>0</v>
          </cell>
          <cell r="M103">
            <v>0</v>
          </cell>
        </row>
        <row r="104">
          <cell r="F104">
            <v>0</v>
          </cell>
          <cell r="H104">
            <v>0</v>
          </cell>
          <cell r="I104">
            <v>0</v>
          </cell>
          <cell r="J104">
            <v>0</v>
          </cell>
          <cell r="K104">
            <v>0</v>
          </cell>
          <cell r="M104">
            <v>0</v>
          </cell>
        </row>
        <row r="105">
          <cell r="F105">
            <v>0</v>
          </cell>
          <cell r="H105">
            <v>0</v>
          </cell>
          <cell r="I105">
            <v>0</v>
          </cell>
          <cell r="J105">
            <v>0</v>
          </cell>
          <cell r="K105">
            <v>0</v>
          </cell>
          <cell r="M105">
            <v>0</v>
          </cell>
        </row>
        <row r="106">
          <cell r="F106">
            <v>0</v>
          </cell>
          <cell r="H106">
            <v>0</v>
          </cell>
          <cell r="I106">
            <v>0</v>
          </cell>
          <cell r="J106">
            <v>0</v>
          </cell>
          <cell r="K106">
            <v>0</v>
          </cell>
          <cell r="M106">
            <v>0</v>
          </cell>
        </row>
        <row r="107">
          <cell r="F107">
            <v>0</v>
          </cell>
          <cell r="H107">
            <v>0</v>
          </cell>
          <cell r="I107">
            <v>0</v>
          </cell>
          <cell r="J107">
            <v>0</v>
          </cell>
          <cell r="K107">
            <v>0</v>
          </cell>
          <cell r="M107">
            <v>0</v>
          </cell>
        </row>
        <row r="108">
          <cell r="F108">
            <v>0</v>
          </cell>
          <cell r="H108">
            <v>0</v>
          </cell>
          <cell r="I108">
            <v>0</v>
          </cell>
          <cell r="J108">
            <v>0</v>
          </cell>
          <cell r="K108">
            <v>0</v>
          </cell>
          <cell r="M108">
            <v>0</v>
          </cell>
        </row>
        <row r="109">
          <cell r="F109">
            <v>0</v>
          </cell>
          <cell r="H109">
            <v>0</v>
          </cell>
          <cell r="I109">
            <v>0</v>
          </cell>
          <cell r="J109">
            <v>0</v>
          </cell>
          <cell r="K109">
            <v>0</v>
          </cell>
          <cell r="M109">
            <v>0</v>
          </cell>
        </row>
        <row r="110">
          <cell r="F110">
            <v>0</v>
          </cell>
          <cell r="H110">
            <v>0</v>
          </cell>
          <cell r="I110">
            <v>0</v>
          </cell>
          <cell r="J110">
            <v>0</v>
          </cell>
          <cell r="K110">
            <v>0</v>
          </cell>
          <cell r="M110">
            <v>0</v>
          </cell>
        </row>
        <row r="111">
          <cell r="F111">
            <v>0</v>
          </cell>
          <cell r="H111">
            <v>0</v>
          </cell>
          <cell r="I111">
            <v>0</v>
          </cell>
          <cell r="J111">
            <v>0</v>
          </cell>
          <cell r="K111">
            <v>0</v>
          </cell>
          <cell r="M111">
            <v>0</v>
          </cell>
        </row>
        <row r="112">
          <cell r="F112">
            <v>0</v>
          </cell>
          <cell r="H112">
            <v>0</v>
          </cell>
          <cell r="I112">
            <v>0</v>
          </cell>
          <cell r="J112">
            <v>0</v>
          </cell>
          <cell r="K112">
            <v>0</v>
          </cell>
          <cell r="M112">
            <v>0</v>
          </cell>
        </row>
        <row r="113">
          <cell r="F113">
            <v>0</v>
          </cell>
          <cell r="H113">
            <v>0</v>
          </cell>
          <cell r="I113">
            <v>0</v>
          </cell>
          <cell r="J113">
            <v>0</v>
          </cell>
          <cell r="K113">
            <v>0</v>
          </cell>
          <cell r="M113">
            <v>0</v>
          </cell>
        </row>
        <row r="114">
          <cell r="F114">
            <v>0</v>
          </cell>
          <cell r="H114">
            <v>0</v>
          </cell>
          <cell r="I114">
            <v>0</v>
          </cell>
          <cell r="J114">
            <v>0</v>
          </cell>
          <cell r="K114">
            <v>0</v>
          </cell>
          <cell r="M114">
            <v>0</v>
          </cell>
        </row>
        <row r="115">
          <cell r="F115">
            <v>31428</v>
          </cell>
          <cell r="H115">
            <v>0</v>
          </cell>
          <cell r="I115">
            <v>31428</v>
          </cell>
          <cell r="J115">
            <v>0</v>
          </cell>
          <cell r="K115">
            <v>31428</v>
          </cell>
          <cell r="M115">
            <v>29466</v>
          </cell>
        </row>
        <row r="117">
          <cell r="F117">
            <v>0</v>
          </cell>
          <cell r="H117">
            <v>0</v>
          </cell>
          <cell r="I117">
            <v>0</v>
          </cell>
          <cell r="J117">
            <v>0</v>
          </cell>
          <cell r="K117">
            <v>0</v>
          </cell>
          <cell r="M117">
            <v>0</v>
          </cell>
        </row>
        <row r="118">
          <cell r="F118">
            <v>28014</v>
          </cell>
          <cell r="H118">
            <v>0</v>
          </cell>
          <cell r="I118">
            <v>28014</v>
          </cell>
          <cell r="J118">
            <v>0</v>
          </cell>
          <cell r="K118">
            <v>28014</v>
          </cell>
          <cell r="M118">
            <v>24753</v>
          </cell>
        </row>
        <row r="119">
          <cell r="F119">
            <v>-28014</v>
          </cell>
          <cell r="H119">
            <v>0</v>
          </cell>
          <cell r="I119">
            <v>-28014</v>
          </cell>
          <cell r="J119">
            <v>0</v>
          </cell>
          <cell r="K119">
            <v>-28014</v>
          </cell>
          <cell r="M119">
            <v>-24753</v>
          </cell>
        </row>
        <row r="120">
          <cell r="F120">
            <v>0</v>
          </cell>
          <cell r="H120">
            <v>0</v>
          </cell>
          <cell r="I120">
            <v>0</v>
          </cell>
          <cell r="J120">
            <v>0</v>
          </cell>
          <cell r="K120">
            <v>0</v>
          </cell>
          <cell r="M120">
            <v>0</v>
          </cell>
        </row>
        <row r="121">
          <cell r="F121">
            <v>0</v>
          </cell>
          <cell r="H121">
            <v>0</v>
          </cell>
          <cell r="I121">
            <v>0</v>
          </cell>
          <cell r="J121">
            <v>0</v>
          </cell>
          <cell r="K121">
            <v>0</v>
          </cell>
          <cell r="M121">
            <v>0</v>
          </cell>
        </row>
        <row r="122">
          <cell r="F122">
            <v>0</v>
          </cell>
          <cell r="H122">
            <v>0</v>
          </cell>
          <cell r="I122">
            <v>0</v>
          </cell>
          <cell r="J122">
            <v>0</v>
          </cell>
          <cell r="K122">
            <v>0</v>
          </cell>
          <cell r="M122">
            <v>0</v>
          </cell>
        </row>
        <row r="123">
          <cell r="F123">
            <v>0</v>
          </cell>
          <cell r="H123">
            <v>0</v>
          </cell>
          <cell r="I123">
            <v>0</v>
          </cell>
          <cell r="J123">
            <v>0</v>
          </cell>
          <cell r="K123">
            <v>0</v>
          </cell>
          <cell r="M123">
            <v>0</v>
          </cell>
        </row>
        <row r="124">
          <cell r="F124">
            <v>0</v>
          </cell>
          <cell r="H124">
            <v>0</v>
          </cell>
          <cell r="I124">
            <v>0</v>
          </cell>
          <cell r="J124">
            <v>0</v>
          </cell>
          <cell r="K124">
            <v>0</v>
          </cell>
          <cell r="M124">
            <v>0</v>
          </cell>
        </row>
        <row r="126">
          <cell r="F126">
            <v>136</v>
          </cell>
          <cell r="H126">
            <v>0</v>
          </cell>
          <cell r="I126">
            <v>136</v>
          </cell>
          <cell r="J126">
            <v>0</v>
          </cell>
          <cell r="K126">
            <v>136</v>
          </cell>
          <cell r="M126">
            <v>0</v>
          </cell>
        </row>
        <row r="127">
          <cell r="F127">
            <v>3927</v>
          </cell>
          <cell r="H127">
            <v>0</v>
          </cell>
          <cell r="I127">
            <v>3927</v>
          </cell>
          <cell r="J127">
            <v>0</v>
          </cell>
          <cell r="K127">
            <v>3927</v>
          </cell>
          <cell r="M127">
            <v>3927</v>
          </cell>
        </row>
        <row r="128">
          <cell r="F128">
            <v>0</v>
          </cell>
          <cell r="H128">
            <v>0</v>
          </cell>
          <cell r="I128">
            <v>0</v>
          </cell>
          <cell r="J128">
            <v>0</v>
          </cell>
          <cell r="K128">
            <v>0</v>
          </cell>
          <cell r="M128">
            <v>0</v>
          </cell>
        </row>
        <row r="129">
          <cell r="F129">
            <v>0</v>
          </cell>
          <cell r="H129">
            <v>0</v>
          </cell>
          <cell r="I129">
            <v>0</v>
          </cell>
          <cell r="J129">
            <v>0</v>
          </cell>
          <cell r="K129">
            <v>0</v>
          </cell>
          <cell r="M129">
            <v>0</v>
          </cell>
        </row>
        <row r="130">
          <cell r="F130">
            <v>0</v>
          </cell>
          <cell r="H130">
            <v>0</v>
          </cell>
          <cell r="I130">
            <v>0</v>
          </cell>
          <cell r="J130">
            <v>0</v>
          </cell>
          <cell r="K130">
            <v>0</v>
          </cell>
          <cell r="M130">
            <v>0</v>
          </cell>
        </row>
        <row r="131">
          <cell r="F131">
            <v>0</v>
          </cell>
          <cell r="H131">
            <v>0</v>
          </cell>
          <cell r="I131">
            <v>0</v>
          </cell>
          <cell r="J131">
            <v>0</v>
          </cell>
          <cell r="K131">
            <v>0</v>
          </cell>
          <cell r="M131">
            <v>0</v>
          </cell>
        </row>
        <row r="132">
          <cell r="F132">
            <v>0</v>
          </cell>
          <cell r="H132">
            <v>0</v>
          </cell>
          <cell r="I132">
            <v>0</v>
          </cell>
          <cell r="J132">
            <v>0</v>
          </cell>
          <cell r="K132">
            <v>0</v>
          </cell>
          <cell r="M132">
            <v>0</v>
          </cell>
        </row>
        <row r="133">
          <cell r="F133">
            <v>4063</v>
          </cell>
          <cell r="H133">
            <v>0</v>
          </cell>
          <cell r="I133">
            <v>4063</v>
          </cell>
          <cell r="J133">
            <v>0</v>
          </cell>
          <cell r="K133">
            <v>4063</v>
          </cell>
          <cell r="M133">
            <v>3927</v>
          </cell>
        </row>
        <row r="135">
          <cell r="F135">
            <v>2500</v>
          </cell>
          <cell r="H135">
            <v>0</v>
          </cell>
          <cell r="I135">
            <v>2500</v>
          </cell>
          <cell r="J135">
            <v>0</v>
          </cell>
          <cell r="K135">
            <v>2500</v>
          </cell>
          <cell r="M135">
            <v>2500</v>
          </cell>
        </row>
        <row r="136">
          <cell r="F136">
            <v>125</v>
          </cell>
          <cell r="H136">
            <v>0</v>
          </cell>
          <cell r="I136">
            <v>125</v>
          </cell>
          <cell r="J136">
            <v>0</v>
          </cell>
          <cell r="K136">
            <v>125</v>
          </cell>
          <cell r="M136">
            <v>125</v>
          </cell>
        </row>
        <row r="137">
          <cell r="F137">
            <v>0</v>
          </cell>
          <cell r="H137">
            <v>0</v>
          </cell>
          <cell r="I137">
            <v>0</v>
          </cell>
          <cell r="J137">
            <v>0</v>
          </cell>
          <cell r="K137">
            <v>0</v>
          </cell>
          <cell r="M137">
            <v>0</v>
          </cell>
        </row>
        <row r="138">
          <cell r="F138">
            <v>0</v>
          </cell>
          <cell r="H138">
            <v>0</v>
          </cell>
          <cell r="I138">
            <v>0</v>
          </cell>
          <cell r="J138">
            <v>0</v>
          </cell>
          <cell r="K138">
            <v>0</v>
          </cell>
          <cell r="M138">
            <v>0</v>
          </cell>
        </row>
        <row r="139">
          <cell r="F139">
            <v>2625</v>
          </cell>
          <cell r="H139">
            <v>0</v>
          </cell>
          <cell r="I139">
            <v>2625</v>
          </cell>
          <cell r="J139">
            <v>0</v>
          </cell>
          <cell r="K139">
            <v>2625</v>
          </cell>
          <cell r="M139">
            <v>2625</v>
          </cell>
        </row>
        <row r="141">
          <cell r="F141">
            <v>200</v>
          </cell>
          <cell r="H141">
            <v>0</v>
          </cell>
          <cell r="I141">
            <v>200</v>
          </cell>
          <cell r="J141">
            <v>0</v>
          </cell>
          <cell r="K141">
            <v>200</v>
          </cell>
          <cell r="M141">
            <v>200</v>
          </cell>
        </row>
        <row r="142">
          <cell r="F142">
            <v>0</v>
          </cell>
          <cell r="H142">
            <v>0</v>
          </cell>
          <cell r="I142">
            <v>0</v>
          </cell>
          <cell r="J142">
            <v>0</v>
          </cell>
          <cell r="K142">
            <v>0</v>
          </cell>
          <cell r="M142">
            <v>0</v>
          </cell>
        </row>
        <row r="143">
          <cell r="F143">
            <v>200</v>
          </cell>
          <cell r="H143">
            <v>0</v>
          </cell>
          <cell r="I143">
            <v>200</v>
          </cell>
          <cell r="J143">
            <v>0</v>
          </cell>
          <cell r="K143">
            <v>200</v>
          </cell>
          <cell r="M143">
            <v>200</v>
          </cell>
        </row>
        <row r="145">
          <cell r="F145">
            <v>1603</v>
          </cell>
          <cell r="H145">
            <v>0</v>
          </cell>
          <cell r="I145">
            <v>1603</v>
          </cell>
          <cell r="J145">
            <v>0</v>
          </cell>
          <cell r="K145">
            <v>1603</v>
          </cell>
          <cell r="M145">
            <v>1603</v>
          </cell>
        </row>
        <row r="146">
          <cell r="F146">
            <v>0</v>
          </cell>
          <cell r="H146">
            <v>0</v>
          </cell>
          <cell r="I146">
            <v>0</v>
          </cell>
          <cell r="J146">
            <v>0</v>
          </cell>
          <cell r="K146">
            <v>0</v>
          </cell>
          <cell r="M146">
            <v>0</v>
          </cell>
        </row>
        <row r="147">
          <cell r="F147">
            <v>1603</v>
          </cell>
          <cell r="H147">
            <v>0</v>
          </cell>
          <cell r="I147">
            <v>1603</v>
          </cell>
          <cell r="J147">
            <v>0</v>
          </cell>
          <cell r="K147">
            <v>1603</v>
          </cell>
          <cell r="M147">
            <v>1603</v>
          </cell>
        </row>
        <row r="149">
          <cell r="F149">
            <v>6</v>
          </cell>
          <cell r="H149">
            <v>0</v>
          </cell>
          <cell r="I149">
            <v>6</v>
          </cell>
          <cell r="J149">
            <v>0</v>
          </cell>
          <cell r="K149">
            <v>6</v>
          </cell>
          <cell r="M149">
            <v>6</v>
          </cell>
        </row>
        <row r="150">
          <cell r="F150">
            <v>8</v>
          </cell>
          <cell r="H150">
            <v>0</v>
          </cell>
          <cell r="I150">
            <v>8</v>
          </cell>
          <cell r="J150">
            <v>0</v>
          </cell>
          <cell r="K150">
            <v>8</v>
          </cell>
          <cell r="M150">
            <v>99</v>
          </cell>
        </row>
        <row r="151">
          <cell r="F151">
            <v>45</v>
          </cell>
          <cell r="H151">
            <v>0</v>
          </cell>
          <cell r="I151">
            <v>45</v>
          </cell>
          <cell r="J151">
            <v>0</v>
          </cell>
          <cell r="K151">
            <v>45</v>
          </cell>
          <cell r="M151">
            <v>0</v>
          </cell>
        </row>
        <row r="152">
          <cell r="F152">
            <v>672</v>
          </cell>
          <cell r="H152">
            <v>0</v>
          </cell>
          <cell r="I152">
            <v>672</v>
          </cell>
          <cell r="J152">
            <v>0</v>
          </cell>
          <cell r="K152">
            <v>672</v>
          </cell>
          <cell r="M152">
            <v>0</v>
          </cell>
        </row>
        <row r="153">
          <cell r="F153">
            <v>0</v>
          </cell>
          <cell r="H153">
            <v>0</v>
          </cell>
          <cell r="I153">
            <v>0</v>
          </cell>
          <cell r="J153">
            <v>0</v>
          </cell>
          <cell r="K153">
            <v>0</v>
          </cell>
          <cell r="M153">
            <v>0</v>
          </cell>
        </row>
        <row r="154">
          <cell r="F154">
            <v>0</v>
          </cell>
          <cell r="H154">
            <v>0</v>
          </cell>
          <cell r="I154">
            <v>0</v>
          </cell>
          <cell r="J154">
            <v>0</v>
          </cell>
          <cell r="K154">
            <v>0</v>
          </cell>
          <cell r="M154">
            <v>0</v>
          </cell>
        </row>
        <row r="155">
          <cell r="F155">
            <v>731</v>
          </cell>
          <cell r="H155">
            <v>0</v>
          </cell>
          <cell r="I155">
            <v>731</v>
          </cell>
          <cell r="J155">
            <v>0</v>
          </cell>
          <cell r="K155">
            <v>731</v>
          </cell>
          <cell r="M155">
            <v>105</v>
          </cell>
        </row>
        <row r="157">
          <cell r="F157">
            <v>0</v>
          </cell>
          <cell r="H157">
            <v>0</v>
          </cell>
          <cell r="I157">
            <v>0</v>
          </cell>
          <cell r="J157">
            <v>0</v>
          </cell>
          <cell r="K157">
            <v>0</v>
          </cell>
          <cell r="M157">
            <v>0</v>
          </cell>
        </row>
        <row r="159">
          <cell r="F159">
            <v>0</v>
          </cell>
          <cell r="H159">
            <v>0</v>
          </cell>
          <cell r="I159">
            <v>0</v>
          </cell>
          <cell r="J159">
            <v>0</v>
          </cell>
          <cell r="K159">
            <v>0</v>
          </cell>
          <cell r="M159">
            <v>0</v>
          </cell>
        </row>
        <row r="160">
          <cell r="F160">
            <v>0</v>
          </cell>
          <cell r="H160">
            <v>0</v>
          </cell>
          <cell r="I160">
            <v>0</v>
          </cell>
          <cell r="J160">
            <v>0</v>
          </cell>
          <cell r="K160">
            <v>0</v>
          </cell>
          <cell r="M160">
            <v>0</v>
          </cell>
        </row>
        <row r="161">
          <cell r="F161">
            <v>0</v>
          </cell>
          <cell r="H161">
            <v>0</v>
          </cell>
          <cell r="I161">
            <v>0</v>
          </cell>
          <cell r="J161">
            <v>0</v>
          </cell>
          <cell r="K161">
            <v>0</v>
          </cell>
          <cell r="M161">
            <v>0</v>
          </cell>
        </row>
        <row r="162">
          <cell r="F162">
            <v>0</v>
          </cell>
          <cell r="H162">
            <v>0</v>
          </cell>
          <cell r="I162">
            <v>0</v>
          </cell>
          <cell r="J162">
            <v>0</v>
          </cell>
          <cell r="K162">
            <v>0</v>
          </cell>
          <cell r="M162">
            <v>0</v>
          </cell>
        </row>
        <row r="163">
          <cell r="F163">
            <v>-1306</v>
          </cell>
          <cell r="H163">
            <v>0</v>
          </cell>
          <cell r="I163">
            <v>-1306</v>
          </cell>
          <cell r="J163">
            <v>0</v>
          </cell>
          <cell r="K163">
            <v>-1306</v>
          </cell>
          <cell r="M163">
            <v>-1243</v>
          </cell>
        </row>
        <row r="164">
          <cell r="F164">
            <v>-196</v>
          </cell>
          <cell r="H164">
            <v>0</v>
          </cell>
          <cell r="I164">
            <v>-196</v>
          </cell>
          <cell r="J164">
            <v>0</v>
          </cell>
          <cell r="K164">
            <v>-196</v>
          </cell>
          <cell r="M164">
            <v>-199</v>
          </cell>
        </row>
        <row r="165">
          <cell r="F165">
            <v>-1502</v>
          </cell>
          <cell r="H165">
            <v>0</v>
          </cell>
          <cell r="I165">
            <v>-1502</v>
          </cell>
          <cell r="J165">
            <v>0</v>
          </cell>
          <cell r="K165">
            <v>-1502</v>
          </cell>
          <cell r="M165">
            <v>-1442</v>
          </cell>
        </row>
        <row r="167">
          <cell r="F167">
            <v>0</v>
          </cell>
          <cell r="H167">
            <v>0</v>
          </cell>
          <cell r="I167">
            <v>0</v>
          </cell>
          <cell r="J167">
            <v>0</v>
          </cell>
          <cell r="K167">
            <v>0</v>
          </cell>
          <cell r="M167">
            <v>0</v>
          </cell>
        </row>
        <row r="168">
          <cell r="F168">
            <v>-146</v>
          </cell>
          <cell r="H168">
            <v>0</v>
          </cell>
          <cell r="I168">
            <v>-146</v>
          </cell>
          <cell r="J168">
            <v>0</v>
          </cell>
          <cell r="K168">
            <v>-146</v>
          </cell>
          <cell r="M168">
            <v>-140</v>
          </cell>
        </row>
        <row r="169">
          <cell r="F169">
            <v>-26</v>
          </cell>
          <cell r="H169">
            <v>0</v>
          </cell>
          <cell r="I169">
            <v>-26</v>
          </cell>
          <cell r="J169">
            <v>0</v>
          </cell>
          <cell r="K169">
            <v>-26</v>
          </cell>
          <cell r="M169">
            <v>-27</v>
          </cell>
        </row>
        <row r="170">
          <cell r="F170">
            <v>-172</v>
          </cell>
          <cell r="H170">
            <v>0</v>
          </cell>
          <cell r="I170">
            <v>-172</v>
          </cell>
          <cell r="J170">
            <v>0</v>
          </cell>
          <cell r="K170">
            <v>-172</v>
          </cell>
          <cell r="M170">
            <v>-167</v>
          </cell>
        </row>
        <row r="172">
          <cell r="F172">
            <v>0</v>
          </cell>
          <cell r="H172">
            <v>0</v>
          </cell>
          <cell r="I172">
            <v>0</v>
          </cell>
          <cell r="J172">
            <v>0</v>
          </cell>
          <cell r="K172">
            <v>0</v>
          </cell>
          <cell r="M172">
            <v>0</v>
          </cell>
        </row>
        <row r="173">
          <cell r="F173">
            <v>-384</v>
          </cell>
          <cell r="H173">
            <v>0</v>
          </cell>
          <cell r="I173">
            <v>-384</v>
          </cell>
          <cell r="J173">
            <v>0</v>
          </cell>
          <cell r="K173">
            <v>-384</v>
          </cell>
          <cell r="M173">
            <v>-757</v>
          </cell>
        </row>
        <row r="174">
          <cell r="F174">
            <v>-384</v>
          </cell>
          <cell r="H174">
            <v>0</v>
          </cell>
          <cell r="I174">
            <v>-384</v>
          </cell>
          <cell r="J174">
            <v>0</v>
          </cell>
          <cell r="K174">
            <v>-384</v>
          </cell>
          <cell r="M174">
            <v>-757</v>
          </cell>
        </row>
        <row r="176">
          <cell r="F176">
            <v>0</v>
          </cell>
          <cell r="H176">
            <v>0</v>
          </cell>
          <cell r="I176">
            <v>0</v>
          </cell>
          <cell r="J176">
            <v>0</v>
          </cell>
          <cell r="K176">
            <v>0</v>
          </cell>
          <cell r="M176">
            <v>0</v>
          </cell>
        </row>
        <row r="177">
          <cell r="F177">
            <v>0</v>
          </cell>
          <cell r="H177">
            <v>0</v>
          </cell>
          <cell r="I177">
            <v>0</v>
          </cell>
          <cell r="J177">
            <v>0</v>
          </cell>
          <cell r="K177">
            <v>0</v>
          </cell>
          <cell r="M177">
            <v>0</v>
          </cell>
        </row>
        <row r="178">
          <cell r="F178">
            <v>0</v>
          </cell>
          <cell r="H178">
            <v>0</v>
          </cell>
          <cell r="I178">
            <v>0</v>
          </cell>
          <cell r="J178">
            <v>0</v>
          </cell>
          <cell r="K178">
            <v>0</v>
          </cell>
          <cell r="M178">
            <v>0</v>
          </cell>
        </row>
        <row r="179">
          <cell r="F179">
            <v>-47</v>
          </cell>
          <cell r="H179">
            <v>0</v>
          </cell>
          <cell r="I179">
            <v>-47</v>
          </cell>
          <cell r="J179">
            <v>0</v>
          </cell>
          <cell r="K179">
            <v>-47</v>
          </cell>
          <cell r="M179">
            <v>-1414</v>
          </cell>
        </row>
        <row r="180">
          <cell r="F180">
            <v>-47</v>
          </cell>
          <cell r="H180">
            <v>0</v>
          </cell>
          <cell r="I180">
            <v>-47</v>
          </cell>
          <cell r="J180">
            <v>0</v>
          </cell>
          <cell r="K180">
            <v>-47</v>
          </cell>
          <cell r="M180">
            <v>-1414</v>
          </cell>
        </row>
        <row r="182">
          <cell r="F182">
            <v>0</v>
          </cell>
          <cell r="H182">
            <v>0</v>
          </cell>
          <cell r="I182">
            <v>0</v>
          </cell>
          <cell r="J182">
            <v>0</v>
          </cell>
          <cell r="K182">
            <v>0</v>
          </cell>
          <cell r="M182">
            <v>0</v>
          </cell>
        </row>
        <row r="184">
          <cell r="F184">
            <v>0</v>
          </cell>
          <cell r="H184">
            <v>0</v>
          </cell>
          <cell r="I184">
            <v>0</v>
          </cell>
          <cell r="J184">
            <v>0</v>
          </cell>
          <cell r="K184">
            <v>0</v>
          </cell>
          <cell r="M184">
            <v>0</v>
          </cell>
        </row>
        <row r="185">
          <cell r="F185">
            <v>0</v>
          </cell>
          <cell r="H185">
            <v>0</v>
          </cell>
          <cell r="I185">
            <v>0</v>
          </cell>
          <cell r="J185">
            <v>0</v>
          </cell>
          <cell r="K185">
            <v>0</v>
          </cell>
          <cell r="M185">
            <v>0</v>
          </cell>
        </row>
        <row r="186">
          <cell r="F186">
            <v>0</v>
          </cell>
          <cell r="H186">
            <v>0</v>
          </cell>
          <cell r="I186">
            <v>0</v>
          </cell>
          <cell r="J186">
            <v>0</v>
          </cell>
          <cell r="K186">
            <v>0</v>
          </cell>
          <cell r="M186">
            <v>0</v>
          </cell>
        </row>
        <row r="187">
          <cell r="F187">
            <v>0</v>
          </cell>
          <cell r="H187">
            <v>0</v>
          </cell>
          <cell r="I187">
            <v>0</v>
          </cell>
          <cell r="J187">
            <v>0</v>
          </cell>
          <cell r="K187">
            <v>0</v>
          </cell>
          <cell r="M187">
            <v>0</v>
          </cell>
        </row>
        <row r="188">
          <cell r="F188">
            <v>0</v>
          </cell>
          <cell r="H188">
            <v>0</v>
          </cell>
          <cell r="I188">
            <v>0</v>
          </cell>
          <cell r="J188">
            <v>0</v>
          </cell>
          <cell r="K188">
            <v>0</v>
          </cell>
          <cell r="M188">
            <v>0</v>
          </cell>
        </row>
        <row r="189">
          <cell r="F189">
            <v>0</v>
          </cell>
          <cell r="H189">
            <v>0</v>
          </cell>
          <cell r="I189">
            <v>0</v>
          </cell>
          <cell r="J189">
            <v>0</v>
          </cell>
          <cell r="K189">
            <v>0</v>
          </cell>
          <cell r="M189">
            <v>0</v>
          </cell>
        </row>
        <row r="190">
          <cell r="F190">
            <v>0</v>
          </cell>
          <cell r="H190">
            <v>0</v>
          </cell>
          <cell r="I190">
            <v>0</v>
          </cell>
          <cell r="J190">
            <v>0</v>
          </cell>
          <cell r="K190">
            <v>0</v>
          </cell>
          <cell r="M190">
            <v>0</v>
          </cell>
        </row>
        <row r="191">
          <cell r="F191">
            <v>0</v>
          </cell>
          <cell r="H191">
            <v>0</v>
          </cell>
          <cell r="I191">
            <v>0</v>
          </cell>
          <cell r="J191">
            <v>0</v>
          </cell>
          <cell r="K191">
            <v>0</v>
          </cell>
          <cell r="M191">
            <v>0</v>
          </cell>
        </row>
        <row r="192">
          <cell r="F192">
            <v>0</v>
          </cell>
          <cell r="H192">
            <v>0</v>
          </cell>
          <cell r="I192">
            <v>0</v>
          </cell>
          <cell r="J192">
            <v>0</v>
          </cell>
          <cell r="K192">
            <v>0</v>
          </cell>
          <cell r="M192">
            <v>0</v>
          </cell>
        </row>
        <row r="193">
          <cell r="F193">
            <v>0</v>
          </cell>
          <cell r="H193">
            <v>0</v>
          </cell>
          <cell r="I193">
            <v>0</v>
          </cell>
          <cell r="J193">
            <v>0</v>
          </cell>
          <cell r="K193">
            <v>0</v>
          </cell>
          <cell r="M193">
            <v>0</v>
          </cell>
        </row>
        <row r="194">
          <cell r="F194">
            <v>0</v>
          </cell>
          <cell r="H194">
            <v>0</v>
          </cell>
          <cell r="I194">
            <v>0</v>
          </cell>
          <cell r="J194">
            <v>0</v>
          </cell>
          <cell r="K194">
            <v>0</v>
          </cell>
          <cell r="M194">
            <v>0</v>
          </cell>
        </row>
        <row r="195">
          <cell r="F195">
            <v>0</v>
          </cell>
          <cell r="H195">
            <v>0</v>
          </cell>
          <cell r="I195">
            <v>0</v>
          </cell>
          <cell r="J195">
            <v>0</v>
          </cell>
          <cell r="K195">
            <v>0</v>
          </cell>
          <cell r="M195">
            <v>0</v>
          </cell>
        </row>
        <row r="196">
          <cell r="F196">
            <v>0</v>
          </cell>
          <cell r="H196">
            <v>0</v>
          </cell>
          <cell r="I196">
            <v>0</v>
          </cell>
          <cell r="J196">
            <v>0</v>
          </cell>
          <cell r="K196">
            <v>0</v>
          </cell>
          <cell r="M196">
            <v>0</v>
          </cell>
        </row>
        <row r="197">
          <cell r="F197">
            <v>0</v>
          </cell>
          <cell r="H197">
            <v>0</v>
          </cell>
          <cell r="I197">
            <v>0</v>
          </cell>
          <cell r="J197">
            <v>0</v>
          </cell>
          <cell r="K197">
            <v>0</v>
          </cell>
          <cell r="M197">
            <v>0</v>
          </cell>
        </row>
        <row r="198">
          <cell r="F198">
            <v>0</v>
          </cell>
          <cell r="H198">
            <v>0</v>
          </cell>
          <cell r="I198">
            <v>0</v>
          </cell>
          <cell r="J198">
            <v>0</v>
          </cell>
          <cell r="K198">
            <v>0</v>
          </cell>
          <cell r="M198">
            <v>0</v>
          </cell>
        </row>
        <row r="199">
          <cell r="F199">
            <v>0</v>
          </cell>
          <cell r="H199">
            <v>0</v>
          </cell>
          <cell r="I199">
            <v>0</v>
          </cell>
          <cell r="J199">
            <v>0</v>
          </cell>
          <cell r="K199">
            <v>0</v>
          </cell>
          <cell r="M199">
            <v>0</v>
          </cell>
        </row>
        <row r="200">
          <cell r="F200">
            <v>0</v>
          </cell>
          <cell r="H200">
            <v>0</v>
          </cell>
          <cell r="I200">
            <v>0</v>
          </cell>
          <cell r="J200">
            <v>0</v>
          </cell>
          <cell r="K200">
            <v>0</v>
          </cell>
          <cell r="M200">
            <v>0</v>
          </cell>
        </row>
        <row r="201">
          <cell r="F201">
            <v>0</v>
          </cell>
          <cell r="H201">
            <v>0</v>
          </cell>
          <cell r="I201">
            <v>0</v>
          </cell>
          <cell r="J201">
            <v>0</v>
          </cell>
          <cell r="K201">
            <v>0</v>
          </cell>
          <cell r="M201">
            <v>0</v>
          </cell>
        </row>
        <row r="202">
          <cell r="F202">
            <v>0</v>
          </cell>
          <cell r="H202">
            <v>0</v>
          </cell>
          <cell r="I202">
            <v>0</v>
          </cell>
          <cell r="J202">
            <v>0</v>
          </cell>
          <cell r="K202">
            <v>0</v>
          </cell>
          <cell r="M202">
            <v>0</v>
          </cell>
        </row>
        <row r="203">
          <cell r="F203">
            <v>0</v>
          </cell>
          <cell r="H203">
            <v>0</v>
          </cell>
          <cell r="I203">
            <v>0</v>
          </cell>
          <cell r="J203">
            <v>0</v>
          </cell>
          <cell r="K203">
            <v>0</v>
          </cell>
          <cell r="M203">
            <v>0</v>
          </cell>
        </row>
        <row r="204">
          <cell r="F204">
            <v>0</v>
          </cell>
          <cell r="H204">
            <v>0</v>
          </cell>
          <cell r="I204">
            <v>0</v>
          </cell>
          <cell r="J204">
            <v>0</v>
          </cell>
          <cell r="K204">
            <v>0</v>
          </cell>
          <cell r="M204">
            <v>0</v>
          </cell>
        </row>
        <row r="205">
          <cell r="F205">
            <v>0</v>
          </cell>
          <cell r="H205">
            <v>0</v>
          </cell>
          <cell r="I205">
            <v>0</v>
          </cell>
          <cell r="J205">
            <v>0</v>
          </cell>
          <cell r="K205">
            <v>0</v>
          </cell>
          <cell r="M205">
            <v>0</v>
          </cell>
        </row>
        <row r="206">
          <cell r="F206">
            <v>0</v>
          </cell>
          <cell r="H206">
            <v>0</v>
          </cell>
          <cell r="I206">
            <v>0</v>
          </cell>
          <cell r="J206">
            <v>0</v>
          </cell>
          <cell r="K206">
            <v>0</v>
          </cell>
          <cell r="M206">
            <v>0</v>
          </cell>
        </row>
        <row r="207">
          <cell r="F207">
            <v>0</v>
          </cell>
          <cell r="H207">
            <v>0</v>
          </cell>
          <cell r="I207">
            <v>0</v>
          </cell>
          <cell r="J207">
            <v>0</v>
          </cell>
          <cell r="K207">
            <v>0</v>
          </cell>
          <cell r="M207">
            <v>0</v>
          </cell>
        </row>
        <row r="208">
          <cell r="F208">
            <v>0</v>
          </cell>
          <cell r="H208">
            <v>0</v>
          </cell>
          <cell r="I208">
            <v>0</v>
          </cell>
          <cell r="J208">
            <v>0</v>
          </cell>
          <cell r="K208">
            <v>0</v>
          </cell>
          <cell r="M208">
            <v>0</v>
          </cell>
        </row>
        <row r="209">
          <cell r="F209">
            <v>0</v>
          </cell>
          <cell r="H209">
            <v>0</v>
          </cell>
          <cell r="I209">
            <v>0</v>
          </cell>
          <cell r="J209">
            <v>0</v>
          </cell>
          <cell r="K209">
            <v>0</v>
          </cell>
          <cell r="M209">
            <v>0</v>
          </cell>
        </row>
        <row r="210">
          <cell r="F210">
            <v>0</v>
          </cell>
          <cell r="H210">
            <v>0</v>
          </cell>
          <cell r="I210">
            <v>0</v>
          </cell>
          <cell r="J210">
            <v>0</v>
          </cell>
          <cell r="K210">
            <v>0</v>
          </cell>
          <cell r="M210">
            <v>0</v>
          </cell>
        </row>
        <row r="211">
          <cell r="F211">
            <v>0</v>
          </cell>
          <cell r="H211">
            <v>0</v>
          </cell>
          <cell r="I211">
            <v>0</v>
          </cell>
          <cell r="J211">
            <v>0</v>
          </cell>
          <cell r="K211">
            <v>0</v>
          </cell>
          <cell r="M211">
            <v>0</v>
          </cell>
        </row>
        <row r="212">
          <cell r="F212">
            <v>0</v>
          </cell>
          <cell r="H212">
            <v>0</v>
          </cell>
          <cell r="I212">
            <v>0</v>
          </cell>
          <cell r="J212">
            <v>0</v>
          </cell>
          <cell r="K212">
            <v>0</v>
          </cell>
          <cell r="M212">
            <v>0</v>
          </cell>
        </row>
        <row r="213">
          <cell r="F213">
            <v>0</v>
          </cell>
          <cell r="H213">
            <v>0</v>
          </cell>
          <cell r="I213">
            <v>0</v>
          </cell>
          <cell r="J213">
            <v>0</v>
          </cell>
          <cell r="K213">
            <v>0</v>
          </cell>
          <cell r="M213">
            <v>0</v>
          </cell>
        </row>
        <row r="214">
          <cell r="F214">
            <v>0</v>
          </cell>
          <cell r="H214">
            <v>0</v>
          </cell>
          <cell r="I214">
            <v>0</v>
          </cell>
          <cell r="J214">
            <v>0</v>
          </cell>
          <cell r="K214">
            <v>0</v>
          </cell>
          <cell r="M214">
            <v>0</v>
          </cell>
        </row>
        <row r="215">
          <cell r="F215">
            <v>0</v>
          </cell>
          <cell r="H215">
            <v>0</v>
          </cell>
          <cell r="I215">
            <v>0</v>
          </cell>
          <cell r="J215">
            <v>0</v>
          </cell>
          <cell r="K215">
            <v>0</v>
          </cell>
          <cell r="M215">
            <v>0</v>
          </cell>
        </row>
        <row r="216">
          <cell r="F216">
            <v>-448</v>
          </cell>
          <cell r="H216">
            <v>0</v>
          </cell>
          <cell r="I216">
            <v>-448</v>
          </cell>
          <cell r="J216">
            <v>0</v>
          </cell>
          <cell r="K216">
            <v>-448</v>
          </cell>
          <cell r="M216">
            <v>-86</v>
          </cell>
        </row>
        <row r="217">
          <cell r="F217">
            <v>-4386</v>
          </cell>
          <cell r="H217">
            <v>0</v>
          </cell>
          <cell r="I217">
            <v>-4386</v>
          </cell>
          <cell r="J217">
            <v>0</v>
          </cell>
          <cell r="K217">
            <v>-4386</v>
          </cell>
          <cell r="M217">
            <v>-2972</v>
          </cell>
        </row>
        <row r="218">
          <cell r="F218">
            <v>-7</v>
          </cell>
          <cell r="H218">
            <v>0</v>
          </cell>
          <cell r="I218">
            <v>-7</v>
          </cell>
          <cell r="J218">
            <v>0</v>
          </cell>
          <cell r="K218">
            <v>-7</v>
          </cell>
          <cell r="M218">
            <v>-36</v>
          </cell>
        </row>
        <row r="219">
          <cell r="F219">
            <v>0</v>
          </cell>
          <cell r="H219">
            <v>0</v>
          </cell>
          <cell r="I219">
            <v>0</v>
          </cell>
          <cell r="J219">
            <v>0</v>
          </cell>
          <cell r="K219">
            <v>0</v>
          </cell>
          <cell r="M219">
            <v>53</v>
          </cell>
        </row>
        <row r="220">
          <cell r="F220">
            <v>-23199</v>
          </cell>
          <cell r="H220">
            <v>0</v>
          </cell>
          <cell r="I220">
            <v>-23199</v>
          </cell>
          <cell r="J220">
            <v>0</v>
          </cell>
          <cell r="K220">
            <v>-23199</v>
          </cell>
          <cell r="M220">
            <v>-21986</v>
          </cell>
        </row>
        <row r="221">
          <cell r="F221">
            <v>-221</v>
          </cell>
          <cell r="H221">
            <v>0</v>
          </cell>
          <cell r="I221">
            <v>-221</v>
          </cell>
          <cell r="J221">
            <v>0</v>
          </cell>
          <cell r="K221">
            <v>-221</v>
          </cell>
          <cell r="M221">
            <v>-385</v>
          </cell>
        </row>
        <row r="222">
          <cell r="F222">
            <v>-8</v>
          </cell>
          <cell r="H222">
            <v>0</v>
          </cell>
          <cell r="I222">
            <v>-8</v>
          </cell>
          <cell r="J222">
            <v>0</v>
          </cell>
          <cell r="K222">
            <v>-8</v>
          </cell>
          <cell r="M222">
            <v>-6</v>
          </cell>
        </row>
        <row r="223">
          <cell r="F223">
            <v>-1</v>
          </cell>
          <cell r="H223">
            <v>0</v>
          </cell>
          <cell r="I223">
            <v>-1</v>
          </cell>
          <cell r="J223">
            <v>0</v>
          </cell>
          <cell r="K223">
            <v>-1</v>
          </cell>
          <cell r="M223">
            <v>-1</v>
          </cell>
        </row>
        <row r="224">
          <cell r="F224">
            <v>-165</v>
          </cell>
          <cell r="H224">
            <v>0</v>
          </cell>
          <cell r="I224">
            <v>-165</v>
          </cell>
          <cell r="J224">
            <v>0</v>
          </cell>
          <cell r="K224">
            <v>-165</v>
          </cell>
          <cell r="M224">
            <v>-159</v>
          </cell>
        </row>
        <row r="225">
          <cell r="F225">
            <v>-21</v>
          </cell>
          <cell r="H225">
            <v>0</v>
          </cell>
          <cell r="I225">
            <v>-21</v>
          </cell>
          <cell r="J225">
            <v>0</v>
          </cell>
          <cell r="K225">
            <v>-21</v>
          </cell>
          <cell r="M225">
            <v>-23</v>
          </cell>
        </row>
        <row r="226">
          <cell r="F226">
            <v>-15</v>
          </cell>
          <cell r="H226">
            <v>0</v>
          </cell>
          <cell r="I226">
            <v>-15</v>
          </cell>
          <cell r="J226">
            <v>0</v>
          </cell>
          <cell r="K226">
            <v>-15</v>
          </cell>
          <cell r="M226">
            <v>-99</v>
          </cell>
        </row>
        <row r="227">
          <cell r="F227">
            <v>-1553</v>
          </cell>
          <cell r="H227">
            <v>0</v>
          </cell>
          <cell r="I227">
            <v>-1553</v>
          </cell>
          <cell r="J227">
            <v>0</v>
          </cell>
          <cell r="K227">
            <v>-1553</v>
          </cell>
          <cell r="M227">
            <v>-483</v>
          </cell>
        </row>
        <row r="228">
          <cell r="F228">
            <v>-30024</v>
          </cell>
          <cell r="H228">
            <v>0</v>
          </cell>
          <cell r="I228">
            <v>-30024</v>
          </cell>
          <cell r="J228">
            <v>0</v>
          </cell>
          <cell r="K228">
            <v>-30024</v>
          </cell>
          <cell r="M228">
            <v>-26183</v>
          </cell>
        </row>
        <row r="230">
          <cell r="F230">
            <v>0</v>
          </cell>
          <cell r="H230">
            <v>0</v>
          </cell>
          <cell r="I230">
            <v>0</v>
          </cell>
          <cell r="J230">
            <v>0</v>
          </cell>
          <cell r="K230">
            <v>0</v>
          </cell>
          <cell r="M230">
            <v>0</v>
          </cell>
        </row>
        <row r="232">
          <cell r="F232">
            <v>0</v>
          </cell>
          <cell r="H232">
            <v>0</v>
          </cell>
          <cell r="I232">
            <v>0</v>
          </cell>
          <cell r="J232">
            <v>0</v>
          </cell>
          <cell r="K232">
            <v>0</v>
          </cell>
          <cell r="M232">
            <v>0</v>
          </cell>
        </row>
        <row r="234">
          <cell r="F234">
            <v>0</v>
          </cell>
          <cell r="H234">
            <v>0</v>
          </cell>
          <cell r="I234">
            <v>0</v>
          </cell>
          <cell r="J234">
            <v>0</v>
          </cell>
          <cell r="K234">
            <v>0</v>
          </cell>
          <cell r="M234">
            <v>0</v>
          </cell>
        </row>
        <row r="235">
          <cell r="F235">
            <v>0</v>
          </cell>
          <cell r="H235">
            <v>0</v>
          </cell>
          <cell r="I235">
            <v>0</v>
          </cell>
          <cell r="J235">
            <v>0</v>
          </cell>
          <cell r="K235">
            <v>0</v>
          </cell>
          <cell r="M235">
            <v>0</v>
          </cell>
        </row>
        <row r="236">
          <cell r="F236">
            <v>0</v>
          </cell>
          <cell r="H236">
            <v>0</v>
          </cell>
          <cell r="I236">
            <v>0</v>
          </cell>
          <cell r="J236">
            <v>0</v>
          </cell>
          <cell r="K236">
            <v>0</v>
          </cell>
          <cell r="M236">
            <v>0</v>
          </cell>
        </row>
        <row r="237">
          <cell r="F237">
            <v>0</v>
          </cell>
          <cell r="H237">
            <v>0</v>
          </cell>
          <cell r="I237">
            <v>0</v>
          </cell>
          <cell r="J237">
            <v>0</v>
          </cell>
          <cell r="K237">
            <v>0</v>
          </cell>
          <cell r="M237">
            <v>0</v>
          </cell>
        </row>
        <row r="238">
          <cell r="F238">
            <v>0</v>
          </cell>
          <cell r="H238">
            <v>0</v>
          </cell>
          <cell r="I238">
            <v>0</v>
          </cell>
          <cell r="J238">
            <v>0</v>
          </cell>
          <cell r="K238">
            <v>0</v>
          </cell>
          <cell r="M238">
            <v>0</v>
          </cell>
        </row>
        <row r="239">
          <cell r="F239">
            <v>0</v>
          </cell>
          <cell r="H239">
            <v>0</v>
          </cell>
          <cell r="I239">
            <v>0</v>
          </cell>
          <cell r="J239">
            <v>0</v>
          </cell>
          <cell r="K239">
            <v>0</v>
          </cell>
          <cell r="M239">
            <v>0</v>
          </cell>
        </row>
        <row r="240">
          <cell r="F240">
            <v>0</v>
          </cell>
          <cell r="H240">
            <v>0</v>
          </cell>
          <cell r="I240">
            <v>0</v>
          </cell>
          <cell r="J240">
            <v>0</v>
          </cell>
          <cell r="K240">
            <v>0</v>
          </cell>
          <cell r="M240">
            <v>0</v>
          </cell>
        </row>
        <row r="241">
          <cell r="F241">
            <v>0</v>
          </cell>
          <cell r="H241">
            <v>0</v>
          </cell>
          <cell r="I241">
            <v>0</v>
          </cell>
          <cell r="J241">
            <v>0</v>
          </cell>
          <cell r="K241">
            <v>0</v>
          </cell>
          <cell r="M241">
            <v>0</v>
          </cell>
        </row>
        <row r="242">
          <cell r="F242">
            <v>0</v>
          </cell>
          <cell r="H242">
            <v>0</v>
          </cell>
          <cell r="I242">
            <v>0</v>
          </cell>
          <cell r="J242">
            <v>0</v>
          </cell>
          <cell r="K242">
            <v>0</v>
          </cell>
          <cell r="M242">
            <v>0</v>
          </cell>
        </row>
        <row r="244">
          <cell r="F244">
            <v>-2625</v>
          </cell>
          <cell r="H244">
            <v>0</v>
          </cell>
          <cell r="I244">
            <v>-2625</v>
          </cell>
          <cell r="J244">
            <v>0</v>
          </cell>
          <cell r="K244">
            <v>-2625</v>
          </cell>
          <cell r="M244">
            <v>-107</v>
          </cell>
        </row>
        <row r="245">
          <cell r="F245">
            <v>-2625</v>
          </cell>
          <cell r="H245">
            <v>0</v>
          </cell>
          <cell r="I245">
            <v>-2625</v>
          </cell>
          <cell r="J245">
            <v>0</v>
          </cell>
          <cell r="K245">
            <v>-2625</v>
          </cell>
          <cell r="M245">
            <v>-107</v>
          </cell>
        </row>
        <row r="247">
          <cell r="F247">
            <v>0</v>
          </cell>
          <cell r="H247">
            <v>0</v>
          </cell>
          <cell r="I247">
            <v>0</v>
          </cell>
          <cell r="J247">
            <v>0</v>
          </cell>
          <cell r="K247">
            <v>0</v>
          </cell>
          <cell r="M247">
            <v>0</v>
          </cell>
        </row>
        <row r="248">
          <cell r="F248">
            <v>0</v>
          </cell>
          <cell r="H248">
            <v>0</v>
          </cell>
          <cell r="I248">
            <v>0</v>
          </cell>
          <cell r="J248">
            <v>0</v>
          </cell>
          <cell r="K248">
            <v>0</v>
          </cell>
          <cell r="M248">
            <v>0</v>
          </cell>
        </row>
        <row r="249">
          <cell r="F249">
            <v>0</v>
          </cell>
          <cell r="H249">
            <v>0</v>
          </cell>
          <cell r="I249">
            <v>0</v>
          </cell>
          <cell r="J249">
            <v>0</v>
          </cell>
          <cell r="K249">
            <v>0</v>
          </cell>
          <cell r="M249">
            <v>0</v>
          </cell>
        </row>
        <row r="250">
          <cell r="F250">
            <v>0</v>
          </cell>
          <cell r="H250">
            <v>0</v>
          </cell>
          <cell r="I250">
            <v>0</v>
          </cell>
          <cell r="J250">
            <v>0</v>
          </cell>
          <cell r="K250">
            <v>0</v>
          </cell>
          <cell r="M250">
            <v>0</v>
          </cell>
        </row>
        <row r="251">
          <cell r="F251">
            <v>0</v>
          </cell>
          <cell r="H251">
            <v>0</v>
          </cell>
          <cell r="I251">
            <v>0</v>
          </cell>
          <cell r="J251">
            <v>0</v>
          </cell>
          <cell r="K251">
            <v>0</v>
          </cell>
          <cell r="M251">
            <v>0</v>
          </cell>
        </row>
        <row r="252">
          <cell r="F252">
            <v>0</v>
          </cell>
          <cell r="H252">
            <v>0</v>
          </cell>
          <cell r="I252">
            <v>0</v>
          </cell>
          <cell r="J252">
            <v>0</v>
          </cell>
          <cell r="K252">
            <v>0</v>
          </cell>
          <cell r="M252">
            <v>0</v>
          </cell>
        </row>
        <row r="253">
          <cell r="F253">
            <v>0</v>
          </cell>
          <cell r="H253">
            <v>0</v>
          </cell>
          <cell r="I253">
            <v>0</v>
          </cell>
          <cell r="J253">
            <v>0</v>
          </cell>
          <cell r="K253">
            <v>0</v>
          </cell>
          <cell r="M253">
            <v>0</v>
          </cell>
        </row>
        <row r="254">
          <cell r="F254">
            <v>0</v>
          </cell>
          <cell r="H254">
            <v>0</v>
          </cell>
          <cell r="I254">
            <v>0</v>
          </cell>
          <cell r="J254">
            <v>0</v>
          </cell>
          <cell r="K254">
            <v>0</v>
          </cell>
          <cell r="M254">
            <v>0</v>
          </cell>
        </row>
        <row r="255">
          <cell r="F255">
            <v>0</v>
          </cell>
          <cell r="H255">
            <v>0</v>
          </cell>
          <cell r="I255">
            <v>0</v>
          </cell>
          <cell r="J255">
            <v>0</v>
          </cell>
          <cell r="K255">
            <v>0</v>
          </cell>
          <cell r="M255">
            <v>0</v>
          </cell>
        </row>
        <row r="256">
          <cell r="F256">
            <v>0</v>
          </cell>
          <cell r="H256">
            <v>0</v>
          </cell>
          <cell r="I256">
            <v>0</v>
          </cell>
          <cell r="J256">
            <v>0</v>
          </cell>
          <cell r="K256">
            <v>0</v>
          </cell>
          <cell r="M256">
            <v>0</v>
          </cell>
        </row>
        <row r="257">
          <cell r="F257">
            <v>0</v>
          </cell>
          <cell r="H257">
            <v>0</v>
          </cell>
          <cell r="I257">
            <v>0</v>
          </cell>
          <cell r="J257">
            <v>0</v>
          </cell>
          <cell r="K257">
            <v>0</v>
          </cell>
          <cell r="M257">
            <v>0</v>
          </cell>
        </row>
        <row r="258">
          <cell r="F258">
            <v>0</v>
          </cell>
          <cell r="H258">
            <v>0</v>
          </cell>
          <cell r="I258">
            <v>0</v>
          </cell>
          <cell r="J258">
            <v>0</v>
          </cell>
          <cell r="K258">
            <v>0</v>
          </cell>
          <cell r="M258">
            <v>0</v>
          </cell>
        </row>
        <row r="259">
          <cell r="F259">
            <v>0</v>
          </cell>
          <cell r="H259">
            <v>0</v>
          </cell>
          <cell r="I259">
            <v>0</v>
          </cell>
          <cell r="J259">
            <v>0</v>
          </cell>
          <cell r="K259">
            <v>0</v>
          </cell>
          <cell r="M259">
            <v>0</v>
          </cell>
        </row>
        <row r="260">
          <cell r="F260">
            <v>0</v>
          </cell>
          <cell r="H260">
            <v>0</v>
          </cell>
          <cell r="I260">
            <v>0</v>
          </cell>
          <cell r="J260">
            <v>0</v>
          </cell>
          <cell r="K260">
            <v>0</v>
          </cell>
          <cell r="M260">
            <v>0</v>
          </cell>
        </row>
        <row r="261">
          <cell r="F261">
            <v>0</v>
          </cell>
          <cell r="H261">
            <v>0</v>
          </cell>
          <cell r="I261">
            <v>0</v>
          </cell>
          <cell r="J261">
            <v>0</v>
          </cell>
          <cell r="K261">
            <v>0</v>
          </cell>
          <cell r="M261">
            <v>0</v>
          </cell>
        </row>
        <row r="262">
          <cell r="F262">
            <v>0</v>
          </cell>
          <cell r="H262">
            <v>0</v>
          </cell>
          <cell r="I262">
            <v>0</v>
          </cell>
          <cell r="J262">
            <v>0</v>
          </cell>
          <cell r="K262">
            <v>0</v>
          </cell>
          <cell r="M262">
            <v>0</v>
          </cell>
        </row>
        <row r="263">
          <cell r="F263">
            <v>0</v>
          </cell>
          <cell r="H263">
            <v>0</v>
          </cell>
          <cell r="I263">
            <v>0</v>
          </cell>
          <cell r="J263">
            <v>0</v>
          </cell>
          <cell r="K263">
            <v>0</v>
          </cell>
          <cell r="M263">
            <v>0</v>
          </cell>
        </row>
        <row r="264">
          <cell r="F264">
            <v>0</v>
          </cell>
          <cell r="H264">
            <v>0</v>
          </cell>
          <cell r="I264">
            <v>0</v>
          </cell>
          <cell r="J264">
            <v>0</v>
          </cell>
          <cell r="K264">
            <v>0</v>
          </cell>
          <cell r="M264">
            <v>0</v>
          </cell>
        </row>
        <row r="265">
          <cell r="F265">
            <v>0</v>
          </cell>
          <cell r="H265">
            <v>0</v>
          </cell>
          <cell r="I265">
            <v>0</v>
          </cell>
          <cell r="J265">
            <v>0</v>
          </cell>
          <cell r="K265">
            <v>0</v>
          </cell>
          <cell r="M265">
            <v>101051</v>
          </cell>
        </row>
        <row r="266">
          <cell r="F266">
            <v>0</v>
          </cell>
          <cell r="H266">
            <v>0</v>
          </cell>
          <cell r="I266">
            <v>0</v>
          </cell>
          <cell r="J266">
            <v>0</v>
          </cell>
          <cell r="K266">
            <v>0</v>
          </cell>
          <cell r="M266">
            <v>-44988</v>
          </cell>
        </row>
        <row r="267">
          <cell r="F267">
            <v>0</v>
          </cell>
          <cell r="H267">
            <v>0</v>
          </cell>
          <cell r="I267">
            <v>0</v>
          </cell>
          <cell r="J267">
            <v>0</v>
          </cell>
          <cell r="K267">
            <v>0</v>
          </cell>
          <cell r="M267">
            <v>56063</v>
          </cell>
        </row>
        <row r="269">
          <cell r="F269">
            <v>-17939</v>
          </cell>
          <cell r="H269">
            <v>0</v>
          </cell>
          <cell r="I269">
            <v>-17939</v>
          </cell>
          <cell r="J269">
            <v>0</v>
          </cell>
          <cell r="K269">
            <v>-17939</v>
          </cell>
          <cell r="M269">
            <v>-83212</v>
          </cell>
        </row>
        <row r="270">
          <cell r="F270">
            <v>48024</v>
          </cell>
          <cell r="H270">
            <v>0</v>
          </cell>
          <cell r="I270">
            <v>48024</v>
          </cell>
          <cell r="J270">
            <v>0</v>
          </cell>
          <cell r="K270">
            <v>48024</v>
          </cell>
          <cell r="M270">
            <v>175167</v>
          </cell>
        </row>
        <row r="271">
          <cell r="F271">
            <v>0</v>
          </cell>
          <cell r="H271">
            <v>0</v>
          </cell>
          <cell r="I271">
            <v>0</v>
          </cell>
          <cell r="J271">
            <v>0</v>
          </cell>
          <cell r="K271">
            <v>0</v>
          </cell>
          <cell r="M271">
            <v>2755</v>
          </cell>
        </row>
        <row r="272">
          <cell r="F272">
            <v>-58993</v>
          </cell>
          <cell r="H272">
            <v>0</v>
          </cell>
          <cell r="I272">
            <v>-58993</v>
          </cell>
          <cell r="J272">
            <v>0</v>
          </cell>
          <cell r="K272">
            <v>-58993</v>
          </cell>
          <cell r="M272">
            <v>-23442</v>
          </cell>
        </row>
        <row r="273">
          <cell r="F273">
            <v>62664</v>
          </cell>
          <cell r="H273">
            <v>0</v>
          </cell>
          <cell r="I273">
            <v>62664</v>
          </cell>
          <cell r="J273">
            <v>0</v>
          </cell>
          <cell r="K273">
            <v>62664</v>
          </cell>
          <cell r="M273">
            <v>70487</v>
          </cell>
        </row>
        <row r="274">
          <cell r="F274">
            <v>0</v>
          </cell>
          <cell r="H274">
            <v>0</v>
          </cell>
          <cell r="I274">
            <v>0</v>
          </cell>
          <cell r="J274">
            <v>0</v>
          </cell>
          <cell r="K274">
            <v>0</v>
          </cell>
          <cell r="M274">
            <v>-80044</v>
          </cell>
        </row>
        <row r="275">
          <cell r="F275">
            <v>-1007820</v>
          </cell>
          <cell r="H275">
            <v>0</v>
          </cell>
          <cell r="I275">
            <v>-1007820</v>
          </cell>
          <cell r="J275">
            <v>0</v>
          </cell>
          <cell r="K275">
            <v>-1007820</v>
          </cell>
          <cell r="M275">
            <v>-1091897</v>
          </cell>
        </row>
        <row r="276">
          <cell r="F276">
            <v>-974064</v>
          </cell>
          <cell r="H276">
            <v>0</v>
          </cell>
          <cell r="I276">
            <v>-974064</v>
          </cell>
          <cell r="J276">
            <v>0</v>
          </cell>
          <cell r="K276">
            <v>-974064</v>
          </cell>
          <cell r="M276">
            <v>-1030186</v>
          </cell>
        </row>
        <row r="278">
          <cell r="F278">
            <v>0</v>
          </cell>
          <cell r="H278">
            <v>0</v>
          </cell>
          <cell r="I278">
            <v>0</v>
          </cell>
          <cell r="J278">
            <v>0</v>
          </cell>
          <cell r="K278">
            <v>0</v>
          </cell>
          <cell r="M278">
            <v>0</v>
          </cell>
        </row>
        <row r="279">
          <cell r="F279">
            <v>0</v>
          </cell>
          <cell r="H279">
            <v>0</v>
          </cell>
          <cell r="I279">
            <v>0</v>
          </cell>
          <cell r="J279">
            <v>0</v>
          </cell>
          <cell r="K279">
            <v>0</v>
          </cell>
          <cell r="M279">
            <v>0</v>
          </cell>
        </row>
        <row r="280">
          <cell r="F280">
            <v>0</v>
          </cell>
          <cell r="H280">
            <v>0</v>
          </cell>
          <cell r="I280">
            <v>0</v>
          </cell>
          <cell r="J280">
            <v>0</v>
          </cell>
          <cell r="K280">
            <v>0</v>
          </cell>
          <cell r="M280">
            <v>0</v>
          </cell>
        </row>
        <row r="281">
          <cell r="F281">
            <v>0</v>
          </cell>
          <cell r="H281">
            <v>0</v>
          </cell>
          <cell r="I281">
            <v>0</v>
          </cell>
          <cell r="J281">
            <v>0</v>
          </cell>
          <cell r="K281">
            <v>0</v>
          </cell>
          <cell r="M281">
            <v>0</v>
          </cell>
        </row>
        <row r="282">
          <cell r="F282">
            <v>0</v>
          </cell>
          <cell r="H282">
            <v>0</v>
          </cell>
          <cell r="I282">
            <v>0</v>
          </cell>
          <cell r="J282">
            <v>0</v>
          </cell>
          <cell r="K282">
            <v>0</v>
          </cell>
          <cell r="M282">
            <v>0</v>
          </cell>
        </row>
        <row r="283">
          <cell r="F283">
            <v>0</v>
          </cell>
          <cell r="H283">
            <v>0</v>
          </cell>
          <cell r="I283">
            <v>0</v>
          </cell>
          <cell r="J283">
            <v>0</v>
          </cell>
          <cell r="K283">
            <v>0</v>
          </cell>
          <cell r="M283">
            <v>0</v>
          </cell>
        </row>
        <row r="284">
          <cell r="F284">
            <v>0</v>
          </cell>
          <cell r="H284">
            <v>0</v>
          </cell>
          <cell r="I284">
            <v>0</v>
          </cell>
          <cell r="J284">
            <v>0</v>
          </cell>
          <cell r="K284">
            <v>0</v>
          </cell>
          <cell r="M284">
            <v>0</v>
          </cell>
        </row>
        <row r="285">
          <cell r="F285">
            <v>0</v>
          </cell>
          <cell r="H285">
            <v>0</v>
          </cell>
          <cell r="I285">
            <v>0</v>
          </cell>
          <cell r="J285">
            <v>0</v>
          </cell>
          <cell r="K285">
            <v>0</v>
          </cell>
          <cell r="M285">
            <v>0</v>
          </cell>
        </row>
        <row r="286">
          <cell r="F286">
            <v>-757</v>
          </cell>
          <cell r="H286">
            <v>0</v>
          </cell>
          <cell r="I286">
            <v>-757</v>
          </cell>
          <cell r="J286">
            <v>0</v>
          </cell>
          <cell r="K286">
            <v>-757</v>
          </cell>
          <cell r="M286">
            <v>-523</v>
          </cell>
        </row>
        <row r="287">
          <cell r="F287">
            <v>-757</v>
          </cell>
          <cell r="H287">
            <v>0</v>
          </cell>
          <cell r="I287">
            <v>-757</v>
          </cell>
          <cell r="J287">
            <v>0</v>
          </cell>
          <cell r="K287">
            <v>-757</v>
          </cell>
          <cell r="M287">
            <v>-523</v>
          </cell>
        </row>
        <row r="289">
          <cell r="F289">
            <v>0</v>
          </cell>
          <cell r="H289">
            <v>0</v>
          </cell>
          <cell r="I289">
            <v>0</v>
          </cell>
          <cell r="J289">
            <v>0</v>
          </cell>
          <cell r="K289">
            <v>0</v>
          </cell>
          <cell r="M289">
            <v>0</v>
          </cell>
        </row>
        <row r="290">
          <cell r="F290">
            <v>0</v>
          </cell>
          <cell r="H290">
            <v>0</v>
          </cell>
          <cell r="I290">
            <v>0</v>
          </cell>
          <cell r="J290">
            <v>0</v>
          </cell>
          <cell r="K290">
            <v>0</v>
          </cell>
          <cell r="M290">
            <v>0</v>
          </cell>
        </row>
        <row r="291">
          <cell r="F291">
            <v>0</v>
          </cell>
          <cell r="H291">
            <v>0</v>
          </cell>
          <cell r="I291">
            <v>0</v>
          </cell>
          <cell r="J291">
            <v>0</v>
          </cell>
          <cell r="K291">
            <v>0</v>
          </cell>
          <cell r="M291">
            <v>0</v>
          </cell>
        </row>
        <row r="292">
          <cell r="F292">
            <v>0</v>
          </cell>
          <cell r="H292">
            <v>0</v>
          </cell>
          <cell r="I292">
            <v>0</v>
          </cell>
          <cell r="J292">
            <v>0</v>
          </cell>
          <cell r="K292">
            <v>0</v>
          </cell>
          <cell r="M292">
            <v>0</v>
          </cell>
        </row>
        <row r="293">
          <cell r="F293">
            <v>0</v>
          </cell>
          <cell r="H293">
            <v>0</v>
          </cell>
          <cell r="I293">
            <v>0</v>
          </cell>
          <cell r="J293">
            <v>0</v>
          </cell>
          <cell r="K293">
            <v>0</v>
          </cell>
          <cell r="M293">
            <v>0</v>
          </cell>
        </row>
        <row r="294">
          <cell r="F294">
            <v>0</v>
          </cell>
          <cell r="H294">
            <v>0</v>
          </cell>
          <cell r="I294">
            <v>0</v>
          </cell>
          <cell r="J294">
            <v>0</v>
          </cell>
          <cell r="K294">
            <v>0</v>
          </cell>
          <cell r="M294">
            <v>0</v>
          </cell>
        </row>
        <row r="295">
          <cell r="F295">
            <v>0</v>
          </cell>
          <cell r="H295">
            <v>0</v>
          </cell>
          <cell r="I295">
            <v>0</v>
          </cell>
          <cell r="J295">
            <v>0</v>
          </cell>
          <cell r="K295">
            <v>0</v>
          </cell>
          <cell r="M295">
            <v>0</v>
          </cell>
        </row>
        <row r="296">
          <cell r="F296">
            <v>0</v>
          </cell>
          <cell r="H296">
            <v>0</v>
          </cell>
          <cell r="I296">
            <v>0</v>
          </cell>
          <cell r="J296">
            <v>0</v>
          </cell>
          <cell r="K296">
            <v>0</v>
          </cell>
          <cell r="M296">
            <v>0</v>
          </cell>
        </row>
        <row r="297">
          <cell r="F297">
            <v>0</v>
          </cell>
          <cell r="H297">
            <v>0</v>
          </cell>
          <cell r="I297">
            <v>0</v>
          </cell>
          <cell r="J297">
            <v>0</v>
          </cell>
          <cell r="K297">
            <v>0</v>
          </cell>
          <cell r="M297">
            <v>0</v>
          </cell>
        </row>
        <row r="298">
          <cell r="F298">
            <v>0</v>
          </cell>
          <cell r="H298">
            <v>0</v>
          </cell>
          <cell r="I298">
            <v>0</v>
          </cell>
          <cell r="J298">
            <v>0</v>
          </cell>
          <cell r="K298">
            <v>0</v>
          </cell>
          <cell r="M298">
            <v>0</v>
          </cell>
        </row>
        <row r="299">
          <cell r="F299">
            <v>-1309</v>
          </cell>
          <cell r="H299">
            <v>0</v>
          </cell>
          <cell r="I299">
            <v>-1309</v>
          </cell>
          <cell r="J299">
            <v>0</v>
          </cell>
          <cell r="K299">
            <v>-1309</v>
          </cell>
          <cell r="M299">
            <v>-2359</v>
          </cell>
        </row>
        <row r="300">
          <cell r="F300">
            <v>-1309</v>
          </cell>
          <cell r="H300">
            <v>0</v>
          </cell>
          <cell r="I300">
            <v>-1309</v>
          </cell>
          <cell r="J300">
            <v>0</v>
          </cell>
          <cell r="K300">
            <v>-1309</v>
          </cell>
          <cell r="M300">
            <v>-2359</v>
          </cell>
        </row>
        <row r="302">
          <cell r="F302">
            <v>0</v>
          </cell>
          <cell r="H302">
            <v>0</v>
          </cell>
          <cell r="I302">
            <v>0</v>
          </cell>
          <cell r="J302">
            <v>0</v>
          </cell>
          <cell r="K302">
            <v>0</v>
          </cell>
          <cell r="M302">
            <v>1282</v>
          </cell>
        </row>
        <row r="303">
          <cell r="F303">
            <v>0</v>
          </cell>
          <cell r="H303">
            <v>0</v>
          </cell>
          <cell r="I303">
            <v>0</v>
          </cell>
          <cell r="J303">
            <v>0</v>
          </cell>
          <cell r="K303">
            <v>0</v>
          </cell>
          <cell r="M303">
            <v>142</v>
          </cell>
        </row>
        <row r="304">
          <cell r="F304">
            <v>0</v>
          </cell>
          <cell r="H304">
            <v>0</v>
          </cell>
          <cell r="I304">
            <v>0</v>
          </cell>
          <cell r="J304">
            <v>0</v>
          </cell>
          <cell r="K304">
            <v>0</v>
          </cell>
          <cell r="M304">
            <v>-158</v>
          </cell>
        </row>
        <row r="305">
          <cell r="F305">
            <v>0</v>
          </cell>
          <cell r="H305">
            <v>0</v>
          </cell>
          <cell r="I305">
            <v>0</v>
          </cell>
          <cell r="J305">
            <v>0</v>
          </cell>
          <cell r="K305">
            <v>0</v>
          </cell>
          <cell r="M305">
            <v>-42</v>
          </cell>
        </row>
        <row r="306">
          <cell r="F306">
            <v>0</v>
          </cell>
          <cell r="H306">
            <v>0</v>
          </cell>
          <cell r="I306">
            <v>0</v>
          </cell>
          <cell r="J306">
            <v>0</v>
          </cell>
          <cell r="K306">
            <v>0</v>
          </cell>
          <cell r="M306">
            <v>0</v>
          </cell>
        </row>
        <row r="307">
          <cell r="F307">
            <v>-172</v>
          </cell>
          <cell r="H307">
            <v>0</v>
          </cell>
          <cell r="I307">
            <v>-172</v>
          </cell>
          <cell r="J307">
            <v>0</v>
          </cell>
          <cell r="K307">
            <v>-172</v>
          </cell>
          <cell r="M307">
            <v>0</v>
          </cell>
        </row>
        <row r="308">
          <cell r="F308">
            <v>30</v>
          </cell>
          <cell r="H308">
            <v>0</v>
          </cell>
          <cell r="I308">
            <v>30</v>
          </cell>
          <cell r="J308">
            <v>0</v>
          </cell>
          <cell r="K308">
            <v>30</v>
          </cell>
          <cell r="M308">
            <v>0</v>
          </cell>
        </row>
        <row r="309">
          <cell r="F309">
            <v>0</v>
          </cell>
          <cell r="H309">
            <v>0</v>
          </cell>
          <cell r="I309">
            <v>0</v>
          </cell>
          <cell r="J309">
            <v>0</v>
          </cell>
          <cell r="K309">
            <v>0</v>
          </cell>
          <cell r="M309">
            <v>0</v>
          </cell>
        </row>
        <row r="310">
          <cell r="F310">
            <v>-142</v>
          </cell>
          <cell r="H310">
            <v>0</v>
          </cell>
          <cell r="I310">
            <v>-142</v>
          </cell>
          <cell r="J310">
            <v>0</v>
          </cell>
          <cell r="K310">
            <v>-142</v>
          </cell>
          <cell r="M310">
            <v>1224</v>
          </cell>
        </row>
        <row r="312">
          <cell r="F312">
            <v>0</v>
          </cell>
          <cell r="H312">
            <v>0</v>
          </cell>
          <cell r="I312">
            <v>0</v>
          </cell>
          <cell r="J312">
            <v>0</v>
          </cell>
          <cell r="K312">
            <v>0</v>
          </cell>
          <cell r="M312">
            <v>0</v>
          </cell>
        </row>
        <row r="314">
          <cell r="F314">
            <v>0</v>
          </cell>
          <cell r="H314">
            <v>0</v>
          </cell>
          <cell r="I314">
            <v>0</v>
          </cell>
          <cell r="J314">
            <v>0</v>
          </cell>
          <cell r="K314">
            <v>0</v>
          </cell>
          <cell r="M314">
            <v>0</v>
          </cell>
        </row>
        <row r="315">
          <cell r="F315">
            <v>0</v>
          </cell>
          <cell r="H315">
            <v>0</v>
          </cell>
          <cell r="I315">
            <v>0</v>
          </cell>
          <cell r="J315">
            <v>0</v>
          </cell>
          <cell r="K315">
            <v>0</v>
          </cell>
          <cell r="M315">
            <v>-238</v>
          </cell>
        </row>
        <row r="316">
          <cell r="F316">
            <v>0</v>
          </cell>
          <cell r="H316">
            <v>0</v>
          </cell>
          <cell r="I316">
            <v>0</v>
          </cell>
          <cell r="J316">
            <v>0</v>
          </cell>
          <cell r="K316">
            <v>0</v>
          </cell>
          <cell r="M316">
            <v>0</v>
          </cell>
        </row>
        <row r="317">
          <cell r="F317">
            <v>0</v>
          </cell>
          <cell r="H317">
            <v>0</v>
          </cell>
          <cell r="I317">
            <v>0</v>
          </cell>
          <cell r="J317">
            <v>0</v>
          </cell>
          <cell r="K317">
            <v>0</v>
          </cell>
          <cell r="M317">
            <v>0</v>
          </cell>
        </row>
        <row r="318">
          <cell r="F318">
            <v>0</v>
          </cell>
          <cell r="H318">
            <v>0</v>
          </cell>
          <cell r="I318">
            <v>0</v>
          </cell>
          <cell r="J318">
            <v>0</v>
          </cell>
          <cell r="K318">
            <v>0</v>
          </cell>
          <cell r="M318">
            <v>-1572</v>
          </cell>
        </row>
        <row r="319">
          <cell r="F319">
            <v>0</v>
          </cell>
          <cell r="H319">
            <v>0</v>
          </cell>
          <cell r="I319">
            <v>0</v>
          </cell>
          <cell r="J319">
            <v>0</v>
          </cell>
          <cell r="K319">
            <v>0</v>
          </cell>
          <cell r="M319">
            <v>-1539</v>
          </cell>
        </row>
        <row r="320">
          <cell r="F320">
            <v>0</v>
          </cell>
          <cell r="H320">
            <v>0</v>
          </cell>
          <cell r="I320">
            <v>0</v>
          </cell>
          <cell r="J320">
            <v>0</v>
          </cell>
          <cell r="K320">
            <v>0</v>
          </cell>
          <cell r="M320">
            <v>-1595</v>
          </cell>
        </row>
        <row r="321">
          <cell r="F321">
            <v>0</v>
          </cell>
          <cell r="H321">
            <v>0</v>
          </cell>
          <cell r="I321">
            <v>0</v>
          </cell>
          <cell r="J321">
            <v>0</v>
          </cell>
          <cell r="K321">
            <v>0</v>
          </cell>
          <cell r="M321">
            <v>-73</v>
          </cell>
        </row>
        <row r="322">
          <cell r="F322">
            <v>0</v>
          </cell>
          <cell r="H322">
            <v>0</v>
          </cell>
          <cell r="I322">
            <v>0</v>
          </cell>
          <cell r="J322">
            <v>0</v>
          </cell>
          <cell r="K322">
            <v>0</v>
          </cell>
          <cell r="M322">
            <v>-5998</v>
          </cell>
        </row>
        <row r="323">
          <cell r="F323">
            <v>0</v>
          </cell>
          <cell r="H323">
            <v>0</v>
          </cell>
          <cell r="I323">
            <v>0</v>
          </cell>
          <cell r="J323">
            <v>0</v>
          </cell>
          <cell r="K323">
            <v>0</v>
          </cell>
          <cell r="M323">
            <v>0</v>
          </cell>
        </row>
        <row r="324">
          <cell r="F324">
            <v>0</v>
          </cell>
          <cell r="H324">
            <v>0</v>
          </cell>
          <cell r="I324">
            <v>0</v>
          </cell>
          <cell r="J324">
            <v>0</v>
          </cell>
          <cell r="K324">
            <v>0</v>
          </cell>
          <cell r="M324">
            <v>-3355</v>
          </cell>
        </row>
        <row r="325">
          <cell r="F325">
            <v>0</v>
          </cell>
          <cell r="H325">
            <v>0</v>
          </cell>
          <cell r="I325">
            <v>0</v>
          </cell>
          <cell r="J325">
            <v>0</v>
          </cell>
          <cell r="K325">
            <v>0</v>
          </cell>
          <cell r="M325">
            <v>-1377</v>
          </cell>
        </row>
        <row r="326">
          <cell r="F326">
            <v>0</v>
          </cell>
          <cell r="H326">
            <v>0</v>
          </cell>
          <cell r="I326">
            <v>0</v>
          </cell>
          <cell r="J326">
            <v>0</v>
          </cell>
          <cell r="K326">
            <v>0</v>
          </cell>
          <cell r="M326">
            <v>-56</v>
          </cell>
        </row>
        <row r="327">
          <cell r="F327">
            <v>0</v>
          </cell>
          <cell r="H327">
            <v>0</v>
          </cell>
          <cell r="I327">
            <v>0</v>
          </cell>
          <cell r="J327">
            <v>0</v>
          </cell>
          <cell r="K327">
            <v>0</v>
          </cell>
          <cell r="M327">
            <v>0</v>
          </cell>
        </row>
        <row r="328">
          <cell r="F328">
            <v>0</v>
          </cell>
          <cell r="H328">
            <v>0</v>
          </cell>
          <cell r="I328">
            <v>0</v>
          </cell>
          <cell r="J328">
            <v>0</v>
          </cell>
          <cell r="K328">
            <v>0</v>
          </cell>
          <cell r="M328">
            <v>-378</v>
          </cell>
        </row>
        <row r="329">
          <cell r="F329">
            <v>0</v>
          </cell>
          <cell r="H329">
            <v>0</v>
          </cell>
          <cell r="I329">
            <v>0</v>
          </cell>
          <cell r="J329">
            <v>0</v>
          </cell>
          <cell r="K329">
            <v>0</v>
          </cell>
          <cell r="M329">
            <v>0</v>
          </cell>
        </row>
        <row r="330">
          <cell r="F330">
            <v>0</v>
          </cell>
          <cell r="H330">
            <v>0</v>
          </cell>
          <cell r="I330">
            <v>0</v>
          </cell>
          <cell r="J330">
            <v>0</v>
          </cell>
          <cell r="K330">
            <v>0</v>
          </cell>
          <cell r="M330">
            <v>-2596</v>
          </cell>
        </row>
        <row r="331">
          <cell r="F331">
            <v>0</v>
          </cell>
          <cell r="H331">
            <v>0</v>
          </cell>
          <cell r="I331">
            <v>0</v>
          </cell>
          <cell r="J331">
            <v>0</v>
          </cell>
          <cell r="K331">
            <v>0</v>
          </cell>
          <cell r="M331">
            <v>-4124</v>
          </cell>
        </row>
        <row r="332">
          <cell r="F332">
            <v>0</v>
          </cell>
          <cell r="H332">
            <v>0</v>
          </cell>
          <cell r="I332">
            <v>0</v>
          </cell>
          <cell r="J332">
            <v>0</v>
          </cell>
          <cell r="K332">
            <v>0</v>
          </cell>
          <cell r="M332">
            <v>-780</v>
          </cell>
        </row>
        <row r="333">
          <cell r="F333">
            <v>-19964</v>
          </cell>
          <cell r="H333">
            <v>0</v>
          </cell>
          <cell r="I333">
            <v>-19964</v>
          </cell>
          <cell r="J333">
            <v>4406</v>
          </cell>
          <cell r="K333">
            <v>-15558</v>
          </cell>
          <cell r="M333">
            <v>0</v>
          </cell>
        </row>
        <row r="334">
          <cell r="F334">
            <v>-107</v>
          </cell>
          <cell r="H334">
            <v>0</v>
          </cell>
          <cell r="I334">
            <v>-107</v>
          </cell>
          <cell r="J334">
            <v>0</v>
          </cell>
          <cell r="K334">
            <v>-107</v>
          </cell>
          <cell r="M334">
            <v>0</v>
          </cell>
        </row>
        <row r="335">
          <cell r="F335">
            <v>-4646</v>
          </cell>
          <cell r="H335">
            <v>0</v>
          </cell>
          <cell r="I335">
            <v>-4646</v>
          </cell>
          <cell r="J335">
            <v>0</v>
          </cell>
          <cell r="K335">
            <v>-4646</v>
          </cell>
          <cell r="M335">
            <v>0</v>
          </cell>
        </row>
        <row r="336">
          <cell r="F336">
            <v>-24717</v>
          </cell>
          <cell r="H336">
            <v>0</v>
          </cell>
          <cell r="I336">
            <v>-24717</v>
          </cell>
          <cell r="J336">
            <v>4406</v>
          </cell>
          <cell r="K336">
            <v>-20311</v>
          </cell>
          <cell r="M336">
            <v>-23681</v>
          </cell>
        </row>
        <row r="338">
          <cell r="F338">
            <v>0</v>
          </cell>
          <cell r="H338">
            <v>0</v>
          </cell>
          <cell r="I338">
            <v>0</v>
          </cell>
          <cell r="J338">
            <v>0</v>
          </cell>
          <cell r="K338">
            <v>0</v>
          </cell>
          <cell r="M338">
            <v>-10645</v>
          </cell>
        </row>
        <row r="339">
          <cell r="F339">
            <v>0</v>
          </cell>
          <cell r="H339">
            <v>0</v>
          </cell>
          <cell r="I339">
            <v>0</v>
          </cell>
          <cell r="J339">
            <v>0</v>
          </cell>
          <cell r="K339">
            <v>0</v>
          </cell>
          <cell r="M339">
            <v>-15642</v>
          </cell>
        </row>
        <row r="340">
          <cell r="F340">
            <v>0</v>
          </cell>
          <cell r="H340">
            <v>0</v>
          </cell>
          <cell r="I340">
            <v>0</v>
          </cell>
          <cell r="J340">
            <v>0</v>
          </cell>
          <cell r="K340">
            <v>0</v>
          </cell>
          <cell r="M340">
            <v>-737</v>
          </cell>
        </row>
        <row r="341">
          <cell r="F341">
            <v>-23190</v>
          </cell>
          <cell r="H341">
            <v>0</v>
          </cell>
          <cell r="I341">
            <v>-23190</v>
          </cell>
          <cell r="J341">
            <v>0</v>
          </cell>
          <cell r="K341">
            <v>-23190</v>
          </cell>
          <cell r="M341">
            <v>0</v>
          </cell>
        </row>
        <row r="342">
          <cell r="F342">
            <v>0</v>
          </cell>
          <cell r="H342">
            <v>0</v>
          </cell>
          <cell r="I342">
            <v>0</v>
          </cell>
          <cell r="J342">
            <v>0</v>
          </cell>
          <cell r="K342">
            <v>0</v>
          </cell>
          <cell r="M342">
            <v>0</v>
          </cell>
        </row>
        <row r="343">
          <cell r="F343">
            <v>0</v>
          </cell>
          <cell r="H343">
            <v>0</v>
          </cell>
          <cell r="I343">
            <v>0</v>
          </cell>
          <cell r="J343">
            <v>0</v>
          </cell>
          <cell r="K343">
            <v>0</v>
          </cell>
          <cell r="M343">
            <v>0</v>
          </cell>
        </row>
        <row r="344">
          <cell r="F344">
            <v>0</v>
          </cell>
          <cell r="H344">
            <v>0</v>
          </cell>
          <cell r="I344">
            <v>0</v>
          </cell>
          <cell r="J344">
            <v>0</v>
          </cell>
          <cell r="K344">
            <v>0</v>
          </cell>
          <cell r="M344">
            <v>0</v>
          </cell>
        </row>
        <row r="345">
          <cell r="F345">
            <v>-8662</v>
          </cell>
          <cell r="H345">
            <v>0</v>
          </cell>
          <cell r="I345">
            <v>-8662</v>
          </cell>
          <cell r="J345">
            <v>0</v>
          </cell>
          <cell r="K345">
            <v>-8662</v>
          </cell>
          <cell r="M345">
            <v>0</v>
          </cell>
        </row>
        <row r="346">
          <cell r="F346">
            <v>-31852</v>
          </cell>
          <cell r="H346">
            <v>0</v>
          </cell>
          <cell r="I346">
            <v>-31852</v>
          </cell>
          <cell r="J346">
            <v>0</v>
          </cell>
          <cell r="K346">
            <v>-31852</v>
          </cell>
          <cell r="M346">
            <v>-27024</v>
          </cell>
        </row>
        <row r="348">
          <cell r="F348">
            <v>0</v>
          </cell>
          <cell r="H348">
            <v>0</v>
          </cell>
          <cell r="I348">
            <v>0</v>
          </cell>
          <cell r="J348">
            <v>0</v>
          </cell>
          <cell r="K348">
            <v>0</v>
          </cell>
          <cell r="M348">
            <v>0</v>
          </cell>
        </row>
        <row r="350">
          <cell r="F350">
            <v>0</v>
          </cell>
          <cell r="H350">
            <v>0</v>
          </cell>
          <cell r="I350">
            <v>0</v>
          </cell>
          <cell r="J350">
            <v>0</v>
          </cell>
          <cell r="K350">
            <v>0</v>
          </cell>
          <cell r="M350">
            <v>0</v>
          </cell>
        </row>
        <row r="351">
          <cell r="F351">
            <v>0</v>
          </cell>
          <cell r="H351">
            <v>0</v>
          </cell>
          <cell r="I351">
            <v>0</v>
          </cell>
          <cell r="J351">
            <v>0</v>
          </cell>
          <cell r="K351">
            <v>0</v>
          </cell>
          <cell r="M351">
            <v>0</v>
          </cell>
        </row>
        <row r="353">
          <cell r="F353">
            <v>0</v>
          </cell>
          <cell r="H353">
            <v>0</v>
          </cell>
          <cell r="I353">
            <v>0</v>
          </cell>
          <cell r="J353">
            <v>0</v>
          </cell>
          <cell r="K353">
            <v>0</v>
          </cell>
          <cell r="M353">
            <v>-46</v>
          </cell>
        </row>
        <row r="354">
          <cell r="F354">
            <v>0</v>
          </cell>
          <cell r="H354">
            <v>0</v>
          </cell>
          <cell r="I354">
            <v>0</v>
          </cell>
          <cell r="J354">
            <v>0</v>
          </cell>
          <cell r="K354">
            <v>0</v>
          </cell>
          <cell r="M354">
            <v>0</v>
          </cell>
        </row>
        <row r="355">
          <cell r="F355">
            <v>0</v>
          </cell>
          <cell r="H355">
            <v>0</v>
          </cell>
          <cell r="I355">
            <v>0</v>
          </cell>
          <cell r="J355">
            <v>0</v>
          </cell>
          <cell r="K355">
            <v>0</v>
          </cell>
          <cell r="M355">
            <v>-46</v>
          </cell>
        </row>
        <row r="357">
          <cell r="F357">
            <v>0</v>
          </cell>
          <cell r="H357">
            <v>0</v>
          </cell>
          <cell r="I357">
            <v>0</v>
          </cell>
          <cell r="J357">
            <v>0</v>
          </cell>
          <cell r="K357">
            <v>0</v>
          </cell>
          <cell r="M357">
            <v>0</v>
          </cell>
        </row>
        <row r="358">
          <cell r="F358">
            <v>0</v>
          </cell>
          <cell r="H358">
            <v>0</v>
          </cell>
          <cell r="I358">
            <v>0</v>
          </cell>
          <cell r="J358">
            <v>0</v>
          </cell>
          <cell r="K358">
            <v>0</v>
          </cell>
          <cell r="M358">
            <v>0</v>
          </cell>
        </row>
        <row r="359">
          <cell r="F359">
            <v>0</v>
          </cell>
          <cell r="H359">
            <v>0</v>
          </cell>
          <cell r="I359">
            <v>0</v>
          </cell>
          <cell r="J359">
            <v>0</v>
          </cell>
          <cell r="K359">
            <v>0</v>
          </cell>
          <cell r="M359">
            <v>0</v>
          </cell>
        </row>
        <row r="360">
          <cell r="F360">
            <v>0</v>
          </cell>
          <cell r="H360">
            <v>0</v>
          </cell>
          <cell r="I360">
            <v>0</v>
          </cell>
          <cell r="J360">
            <v>0</v>
          </cell>
          <cell r="K360">
            <v>0</v>
          </cell>
          <cell r="M360">
            <v>0</v>
          </cell>
        </row>
        <row r="361">
          <cell r="F361">
            <v>0</v>
          </cell>
          <cell r="H361">
            <v>0</v>
          </cell>
          <cell r="I361">
            <v>0</v>
          </cell>
          <cell r="J361">
            <v>0</v>
          </cell>
          <cell r="K361">
            <v>0</v>
          </cell>
          <cell r="M361">
            <v>0</v>
          </cell>
        </row>
        <row r="362">
          <cell r="F362">
            <v>0</v>
          </cell>
          <cell r="H362">
            <v>0</v>
          </cell>
          <cell r="I362">
            <v>0</v>
          </cell>
          <cell r="J362">
            <v>0</v>
          </cell>
          <cell r="K362">
            <v>0</v>
          </cell>
          <cell r="M362">
            <v>0</v>
          </cell>
        </row>
        <row r="363">
          <cell r="F363">
            <v>0</v>
          </cell>
          <cell r="H363">
            <v>0</v>
          </cell>
          <cell r="I363">
            <v>0</v>
          </cell>
          <cell r="J363">
            <v>0</v>
          </cell>
          <cell r="K363">
            <v>0</v>
          </cell>
          <cell r="M363">
            <v>-415</v>
          </cell>
        </row>
        <row r="364">
          <cell r="F364">
            <v>0</v>
          </cell>
          <cell r="H364">
            <v>0</v>
          </cell>
          <cell r="I364">
            <v>0</v>
          </cell>
          <cell r="J364">
            <v>0</v>
          </cell>
          <cell r="K364">
            <v>0</v>
          </cell>
          <cell r="M364">
            <v>-1902</v>
          </cell>
        </row>
        <row r="365">
          <cell r="F365">
            <v>0</v>
          </cell>
          <cell r="H365">
            <v>0</v>
          </cell>
          <cell r="I365">
            <v>0</v>
          </cell>
          <cell r="J365">
            <v>0</v>
          </cell>
          <cell r="K365">
            <v>0</v>
          </cell>
          <cell r="M365">
            <v>0</v>
          </cell>
        </row>
        <row r="366">
          <cell r="F366">
            <v>0</v>
          </cell>
          <cell r="H366">
            <v>0</v>
          </cell>
          <cell r="I366">
            <v>0</v>
          </cell>
          <cell r="J366">
            <v>0</v>
          </cell>
          <cell r="K366">
            <v>0</v>
          </cell>
          <cell r="M366">
            <v>-41</v>
          </cell>
        </row>
        <row r="367">
          <cell r="F367">
            <v>0</v>
          </cell>
          <cell r="H367">
            <v>0</v>
          </cell>
          <cell r="I367">
            <v>0</v>
          </cell>
          <cell r="J367">
            <v>0</v>
          </cell>
          <cell r="K367">
            <v>0</v>
          </cell>
          <cell r="M367">
            <v>-8</v>
          </cell>
        </row>
        <row r="368">
          <cell r="F368">
            <v>0</v>
          </cell>
          <cell r="H368">
            <v>0</v>
          </cell>
          <cell r="I368">
            <v>0</v>
          </cell>
          <cell r="J368">
            <v>0</v>
          </cell>
          <cell r="K368">
            <v>0</v>
          </cell>
          <cell r="M368">
            <v>0</v>
          </cell>
        </row>
        <row r="369">
          <cell r="F369">
            <v>0</v>
          </cell>
          <cell r="H369">
            <v>0</v>
          </cell>
          <cell r="I369">
            <v>0</v>
          </cell>
          <cell r="J369">
            <v>0</v>
          </cell>
          <cell r="K369">
            <v>0</v>
          </cell>
          <cell r="M369">
            <v>0</v>
          </cell>
        </row>
        <row r="370">
          <cell r="F370">
            <v>0</v>
          </cell>
          <cell r="H370">
            <v>0</v>
          </cell>
          <cell r="I370">
            <v>0</v>
          </cell>
          <cell r="J370">
            <v>0</v>
          </cell>
          <cell r="K370">
            <v>0</v>
          </cell>
          <cell r="M370">
            <v>-147</v>
          </cell>
        </row>
        <row r="371">
          <cell r="F371">
            <v>0</v>
          </cell>
          <cell r="H371">
            <v>0</v>
          </cell>
          <cell r="I371">
            <v>0</v>
          </cell>
          <cell r="J371">
            <v>0</v>
          </cell>
          <cell r="K371">
            <v>0</v>
          </cell>
          <cell r="M371">
            <v>-46</v>
          </cell>
        </row>
        <row r="372">
          <cell r="F372">
            <v>0</v>
          </cell>
          <cell r="H372">
            <v>0</v>
          </cell>
          <cell r="I372">
            <v>0</v>
          </cell>
          <cell r="J372">
            <v>0</v>
          </cell>
          <cell r="K372">
            <v>0</v>
          </cell>
          <cell r="M372">
            <v>-712</v>
          </cell>
        </row>
        <row r="373">
          <cell r="F373">
            <v>0</v>
          </cell>
          <cell r="H373">
            <v>0</v>
          </cell>
          <cell r="I373">
            <v>0</v>
          </cell>
          <cell r="J373">
            <v>0</v>
          </cell>
          <cell r="K373">
            <v>0</v>
          </cell>
          <cell r="M373">
            <v>-289</v>
          </cell>
        </row>
        <row r="374">
          <cell r="F374">
            <v>-169</v>
          </cell>
          <cell r="H374">
            <v>0</v>
          </cell>
          <cell r="I374">
            <v>-169</v>
          </cell>
          <cell r="J374">
            <v>0</v>
          </cell>
          <cell r="K374">
            <v>-169</v>
          </cell>
          <cell r="M374">
            <v>0</v>
          </cell>
        </row>
        <row r="375">
          <cell r="F375">
            <v>-3</v>
          </cell>
          <cell r="H375">
            <v>0</v>
          </cell>
          <cell r="I375">
            <v>-3</v>
          </cell>
          <cell r="J375">
            <v>0</v>
          </cell>
          <cell r="K375">
            <v>-3</v>
          </cell>
          <cell r="M375">
            <v>0</v>
          </cell>
        </row>
        <row r="376">
          <cell r="F376">
            <v>-690</v>
          </cell>
          <cell r="H376">
            <v>0</v>
          </cell>
          <cell r="I376">
            <v>-690</v>
          </cell>
          <cell r="J376">
            <v>0</v>
          </cell>
          <cell r="K376">
            <v>-690</v>
          </cell>
          <cell r="M376">
            <v>0</v>
          </cell>
        </row>
        <row r="377">
          <cell r="F377">
            <v>-495</v>
          </cell>
          <cell r="H377">
            <v>0</v>
          </cell>
          <cell r="I377">
            <v>-495</v>
          </cell>
          <cell r="J377">
            <v>0</v>
          </cell>
          <cell r="K377">
            <v>-495</v>
          </cell>
          <cell r="M377">
            <v>0</v>
          </cell>
        </row>
        <row r="378">
          <cell r="F378">
            <v>-128</v>
          </cell>
          <cell r="H378">
            <v>0</v>
          </cell>
          <cell r="I378">
            <v>-128</v>
          </cell>
          <cell r="J378">
            <v>0</v>
          </cell>
          <cell r="K378">
            <v>-128</v>
          </cell>
          <cell r="M378">
            <v>0</v>
          </cell>
        </row>
        <row r="379">
          <cell r="F379">
            <v>-492</v>
          </cell>
          <cell r="H379">
            <v>0</v>
          </cell>
          <cell r="I379">
            <v>-492</v>
          </cell>
          <cell r="J379">
            <v>0</v>
          </cell>
          <cell r="K379">
            <v>-492</v>
          </cell>
          <cell r="M379">
            <v>0</v>
          </cell>
        </row>
        <row r="380">
          <cell r="F380">
            <v>-2655</v>
          </cell>
          <cell r="H380">
            <v>0</v>
          </cell>
          <cell r="I380">
            <v>-2655</v>
          </cell>
          <cell r="J380">
            <v>0</v>
          </cell>
          <cell r="K380">
            <v>-2655</v>
          </cell>
          <cell r="M380">
            <v>0</v>
          </cell>
        </row>
        <row r="381">
          <cell r="F381">
            <v>-59</v>
          </cell>
          <cell r="H381">
            <v>0</v>
          </cell>
          <cell r="I381">
            <v>-59</v>
          </cell>
          <cell r="J381">
            <v>0</v>
          </cell>
          <cell r="K381">
            <v>-59</v>
          </cell>
          <cell r="M381">
            <v>0</v>
          </cell>
        </row>
        <row r="382">
          <cell r="F382">
            <v>0</v>
          </cell>
          <cell r="H382">
            <v>0</v>
          </cell>
          <cell r="I382">
            <v>0</v>
          </cell>
          <cell r="J382">
            <v>0</v>
          </cell>
          <cell r="K382">
            <v>0</v>
          </cell>
          <cell r="M382">
            <v>0</v>
          </cell>
        </row>
        <row r="383">
          <cell r="F383">
            <v>-4691</v>
          </cell>
          <cell r="H383">
            <v>0</v>
          </cell>
          <cell r="I383">
            <v>-4691</v>
          </cell>
          <cell r="J383">
            <v>0</v>
          </cell>
          <cell r="K383">
            <v>-4691</v>
          </cell>
          <cell r="M383">
            <v>-3560</v>
          </cell>
        </row>
        <row r="385">
          <cell r="F385">
            <v>0</v>
          </cell>
          <cell r="H385">
            <v>0</v>
          </cell>
          <cell r="I385">
            <v>0</v>
          </cell>
          <cell r="J385">
            <v>0</v>
          </cell>
          <cell r="K385">
            <v>0</v>
          </cell>
          <cell r="M385">
            <v>-1923</v>
          </cell>
        </row>
        <row r="386">
          <cell r="F386">
            <v>0</v>
          </cell>
          <cell r="H386">
            <v>0</v>
          </cell>
          <cell r="I386">
            <v>0</v>
          </cell>
          <cell r="J386">
            <v>0</v>
          </cell>
          <cell r="K386">
            <v>0</v>
          </cell>
          <cell r="M386">
            <v>132</v>
          </cell>
        </row>
        <row r="387">
          <cell r="F387">
            <v>0</v>
          </cell>
          <cell r="H387">
            <v>0</v>
          </cell>
          <cell r="I387">
            <v>0</v>
          </cell>
          <cell r="J387">
            <v>0</v>
          </cell>
          <cell r="K387">
            <v>0</v>
          </cell>
          <cell r="M387">
            <v>2219</v>
          </cell>
        </row>
        <row r="388">
          <cell r="F388">
            <v>0</v>
          </cell>
          <cell r="H388">
            <v>0</v>
          </cell>
          <cell r="I388">
            <v>0</v>
          </cell>
          <cell r="J388">
            <v>0</v>
          </cell>
          <cell r="K388">
            <v>0</v>
          </cell>
          <cell r="M388">
            <v>0</v>
          </cell>
        </row>
        <row r="389">
          <cell r="F389">
            <v>323</v>
          </cell>
          <cell r="H389">
            <v>0</v>
          </cell>
          <cell r="I389">
            <v>323</v>
          </cell>
          <cell r="J389">
            <v>0</v>
          </cell>
          <cell r="K389">
            <v>323</v>
          </cell>
          <cell r="M389">
            <v>0</v>
          </cell>
        </row>
        <row r="390">
          <cell r="F390">
            <v>-15793</v>
          </cell>
          <cell r="H390">
            <v>0</v>
          </cell>
          <cell r="I390">
            <v>-15793</v>
          </cell>
          <cell r="J390">
            <v>0</v>
          </cell>
          <cell r="K390">
            <v>-15793</v>
          </cell>
          <cell r="M390">
            <v>0</v>
          </cell>
        </row>
        <row r="391">
          <cell r="F391">
            <v>50</v>
          </cell>
          <cell r="H391">
            <v>0</v>
          </cell>
          <cell r="I391">
            <v>50</v>
          </cell>
          <cell r="J391">
            <v>0</v>
          </cell>
          <cell r="K391">
            <v>50</v>
          </cell>
          <cell r="M391">
            <v>0</v>
          </cell>
        </row>
        <row r="392">
          <cell r="F392">
            <v>-15420</v>
          </cell>
          <cell r="H392">
            <v>0</v>
          </cell>
          <cell r="I392">
            <v>-15420</v>
          </cell>
          <cell r="J392">
            <v>0</v>
          </cell>
          <cell r="K392">
            <v>-15420</v>
          </cell>
          <cell r="M392">
            <v>428</v>
          </cell>
        </row>
        <row r="394">
          <cell r="F394">
            <v>0</v>
          </cell>
          <cell r="H394">
            <v>0</v>
          </cell>
          <cell r="I394">
            <v>0</v>
          </cell>
          <cell r="J394">
            <v>0</v>
          </cell>
          <cell r="K394">
            <v>0</v>
          </cell>
          <cell r="M394">
            <v>-41</v>
          </cell>
        </row>
        <row r="395">
          <cell r="F395">
            <v>3157</v>
          </cell>
          <cell r="H395">
            <v>0</v>
          </cell>
          <cell r="I395">
            <v>3157</v>
          </cell>
          <cell r="J395">
            <v>-4406</v>
          </cell>
          <cell r="K395">
            <v>-1249</v>
          </cell>
          <cell r="M395">
            <v>0</v>
          </cell>
        </row>
        <row r="396">
          <cell r="F396">
            <v>3157</v>
          </cell>
          <cell r="H396">
            <v>0</v>
          </cell>
          <cell r="I396">
            <v>3157</v>
          </cell>
          <cell r="J396">
            <v>-4406</v>
          </cell>
          <cell r="K396">
            <v>-1249</v>
          </cell>
          <cell r="M396">
            <v>-41</v>
          </cell>
        </row>
        <row r="398">
          <cell r="F398">
            <v>0</v>
          </cell>
          <cell r="H398">
            <v>0</v>
          </cell>
          <cell r="I398">
            <v>0</v>
          </cell>
          <cell r="J398">
            <v>0</v>
          </cell>
          <cell r="K398">
            <v>0</v>
          </cell>
          <cell r="M398">
            <v>7759</v>
          </cell>
        </row>
        <row r="399">
          <cell r="F399">
            <v>0</v>
          </cell>
          <cell r="H399">
            <v>0</v>
          </cell>
          <cell r="I399">
            <v>0</v>
          </cell>
          <cell r="J399">
            <v>0</v>
          </cell>
          <cell r="K399">
            <v>0</v>
          </cell>
          <cell r="M399">
            <v>1440</v>
          </cell>
        </row>
        <row r="400">
          <cell r="F400">
            <v>0</v>
          </cell>
          <cell r="H400">
            <v>0</v>
          </cell>
          <cell r="I400">
            <v>0</v>
          </cell>
          <cell r="J400">
            <v>0</v>
          </cell>
          <cell r="K400">
            <v>0</v>
          </cell>
          <cell r="M400">
            <v>1241</v>
          </cell>
        </row>
        <row r="401">
          <cell r="F401">
            <v>7683</v>
          </cell>
          <cell r="H401">
            <v>0</v>
          </cell>
          <cell r="I401">
            <v>7683</v>
          </cell>
          <cell r="J401">
            <v>0</v>
          </cell>
          <cell r="K401">
            <v>7683</v>
          </cell>
          <cell r="M401">
            <v>0</v>
          </cell>
        </row>
        <row r="402">
          <cell r="F402">
            <v>1337</v>
          </cell>
          <cell r="H402">
            <v>0</v>
          </cell>
          <cell r="I402">
            <v>1337</v>
          </cell>
          <cell r="J402">
            <v>0</v>
          </cell>
          <cell r="K402">
            <v>1337</v>
          </cell>
          <cell r="M402">
            <v>0</v>
          </cell>
        </row>
        <row r="403">
          <cell r="F403">
            <v>1229</v>
          </cell>
          <cell r="H403">
            <v>0</v>
          </cell>
          <cell r="I403">
            <v>1229</v>
          </cell>
          <cell r="J403">
            <v>0</v>
          </cell>
          <cell r="K403">
            <v>1229</v>
          </cell>
          <cell r="M403">
            <v>0</v>
          </cell>
        </row>
        <row r="404">
          <cell r="F404">
            <v>10249</v>
          </cell>
          <cell r="H404">
            <v>0</v>
          </cell>
          <cell r="I404">
            <v>10249</v>
          </cell>
          <cell r="J404">
            <v>0</v>
          </cell>
          <cell r="K404">
            <v>10249</v>
          </cell>
          <cell r="M404">
            <v>10440</v>
          </cell>
        </row>
        <row r="406">
          <cell r="F406">
            <v>0</v>
          </cell>
          <cell r="H406">
            <v>0</v>
          </cell>
          <cell r="I406">
            <v>0</v>
          </cell>
          <cell r="J406">
            <v>0</v>
          </cell>
          <cell r="K406">
            <v>0</v>
          </cell>
          <cell r="M406">
            <v>869</v>
          </cell>
        </row>
        <row r="407">
          <cell r="F407">
            <v>864</v>
          </cell>
          <cell r="H407">
            <v>0</v>
          </cell>
          <cell r="I407">
            <v>864</v>
          </cell>
          <cell r="J407">
            <v>0</v>
          </cell>
          <cell r="K407">
            <v>864</v>
          </cell>
          <cell r="M407">
            <v>0</v>
          </cell>
        </row>
        <row r="408">
          <cell r="F408">
            <v>864</v>
          </cell>
          <cell r="H408">
            <v>0</v>
          </cell>
          <cell r="I408">
            <v>864</v>
          </cell>
          <cell r="J408">
            <v>0</v>
          </cell>
          <cell r="K408">
            <v>864</v>
          </cell>
          <cell r="M408">
            <v>869</v>
          </cell>
        </row>
        <row r="410">
          <cell r="F410">
            <v>0</v>
          </cell>
          <cell r="H410">
            <v>0</v>
          </cell>
          <cell r="I410">
            <v>0</v>
          </cell>
          <cell r="J410">
            <v>0</v>
          </cell>
          <cell r="K410">
            <v>0</v>
          </cell>
          <cell r="M410">
            <v>388</v>
          </cell>
        </row>
        <row r="411">
          <cell r="F411">
            <v>384</v>
          </cell>
          <cell r="H411">
            <v>0</v>
          </cell>
          <cell r="I411">
            <v>384</v>
          </cell>
          <cell r="J411">
            <v>0</v>
          </cell>
          <cell r="K411">
            <v>384</v>
          </cell>
          <cell r="M411">
            <v>0</v>
          </cell>
        </row>
        <row r="412">
          <cell r="F412">
            <v>384</v>
          </cell>
          <cell r="H412">
            <v>0</v>
          </cell>
          <cell r="I412">
            <v>384</v>
          </cell>
          <cell r="J412">
            <v>0</v>
          </cell>
          <cell r="K412">
            <v>384</v>
          </cell>
          <cell r="M412">
            <v>388</v>
          </cell>
        </row>
        <row r="414">
          <cell r="F414">
            <v>0</v>
          </cell>
          <cell r="H414">
            <v>0</v>
          </cell>
          <cell r="I414">
            <v>0</v>
          </cell>
          <cell r="J414">
            <v>0</v>
          </cell>
          <cell r="K414">
            <v>0</v>
          </cell>
          <cell r="M414">
            <v>0</v>
          </cell>
        </row>
        <row r="415">
          <cell r="F415">
            <v>0</v>
          </cell>
          <cell r="H415">
            <v>0</v>
          </cell>
          <cell r="I415">
            <v>0</v>
          </cell>
          <cell r="J415">
            <v>0</v>
          </cell>
          <cell r="K415">
            <v>0</v>
          </cell>
          <cell r="M415">
            <v>0</v>
          </cell>
        </row>
        <row r="416">
          <cell r="F416">
            <v>0</v>
          </cell>
          <cell r="H416">
            <v>0</v>
          </cell>
          <cell r="I416">
            <v>0</v>
          </cell>
          <cell r="J416">
            <v>0</v>
          </cell>
          <cell r="K416">
            <v>0</v>
          </cell>
          <cell r="M416">
            <v>6</v>
          </cell>
        </row>
        <row r="417">
          <cell r="F417">
            <v>0</v>
          </cell>
          <cell r="H417">
            <v>0</v>
          </cell>
          <cell r="I417">
            <v>0</v>
          </cell>
          <cell r="J417">
            <v>0</v>
          </cell>
          <cell r="K417">
            <v>0</v>
          </cell>
          <cell r="M417">
            <v>5</v>
          </cell>
        </row>
        <row r="418">
          <cell r="F418">
            <v>0</v>
          </cell>
          <cell r="H418">
            <v>0</v>
          </cell>
          <cell r="I418">
            <v>0</v>
          </cell>
          <cell r="J418">
            <v>0</v>
          </cell>
          <cell r="K418">
            <v>0</v>
          </cell>
          <cell r="M418">
            <v>10</v>
          </cell>
        </row>
        <row r="419">
          <cell r="F419">
            <v>0</v>
          </cell>
          <cell r="H419">
            <v>0</v>
          </cell>
          <cell r="I419">
            <v>0</v>
          </cell>
          <cell r="J419">
            <v>0</v>
          </cell>
          <cell r="K419">
            <v>0</v>
          </cell>
          <cell r="M419">
            <v>7</v>
          </cell>
        </row>
        <row r="420">
          <cell r="F420">
            <v>0</v>
          </cell>
          <cell r="H420">
            <v>0</v>
          </cell>
          <cell r="I420">
            <v>0</v>
          </cell>
          <cell r="J420">
            <v>0</v>
          </cell>
          <cell r="K420">
            <v>0</v>
          </cell>
          <cell r="M420">
            <v>0</v>
          </cell>
        </row>
        <row r="421">
          <cell r="F421">
            <v>0</v>
          </cell>
          <cell r="H421">
            <v>0</v>
          </cell>
          <cell r="I421">
            <v>0</v>
          </cell>
          <cell r="J421">
            <v>0</v>
          </cell>
          <cell r="K421">
            <v>0</v>
          </cell>
          <cell r="M421">
            <v>0</v>
          </cell>
        </row>
        <row r="422">
          <cell r="F422">
            <v>0</v>
          </cell>
          <cell r="H422">
            <v>0</v>
          </cell>
          <cell r="I422">
            <v>0</v>
          </cell>
          <cell r="J422">
            <v>0</v>
          </cell>
          <cell r="K422">
            <v>0</v>
          </cell>
          <cell r="M422">
            <v>0</v>
          </cell>
        </row>
        <row r="423">
          <cell r="F423">
            <v>0</v>
          </cell>
          <cell r="H423">
            <v>0</v>
          </cell>
          <cell r="I423">
            <v>0</v>
          </cell>
          <cell r="J423">
            <v>0</v>
          </cell>
          <cell r="K423">
            <v>0</v>
          </cell>
          <cell r="M423">
            <v>16</v>
          </cell>
        </row>
        <row r="424">
          <cell r="F424">
            <v>0</v>
          </cell>
          <cell r="H424">
            <v>0</v>
          </cell>
          <cell r="I424">
            <v>0</v>
          </cell>
          <cell r="J424">
            <v>0</v>
          </cell>
          <cell r="K424">
            <v>0</v>
          </cell>
          <cell r="M424">
            <v>5</v>
          </cell>
        </row>
        <row r="425">
          <cell r="F425">
            <v>0</v>
          </cell>
          <cell r="H425">
            <v>0</v>
          </cell>
          <cell r="I425">
            <v>0</v>
          </cell>
          <cell r="J425">
            <v>0</v>
          </cell>
          <cell r="K425">
            <v>0</v>
          </cell>
          <cell r="M425">
            <v>15</v>
          </cell>
        </row>
        <row r="426">
          <cell r="F426">
            <v>0</v>
          </cell>
          <cell r="H426">
            <v>0</v>
          </cell>
          <cell r="I426">
            <v>0</v>
          </cell>
          <cell r="J426">
            <v>0</v>
          </cell>
          <cell r="K426">
            <v>0</v>
          </cell>
          <cell r="M426">
            <v>1</v>
          </cell>
        </row>
        <row r="427">
          <cell r="F427">
            <v>0</v>
          </cell>
          <cell r="H427">
            <v>0</v>
          </cell>
          <cell r="I427">
            <v>0</v>
          </cell>
          <cell r="J427">
            <v>0</v>
          </cell>
          <cell r="K427">
            <v>0</v>
          </cell>
          <cell r="M427">
            <v>0</v>
          </cell>
        </row>
        <row r="428">
          <cell r="F428">
            <v>0</v>
          </cell>
          <cell r="H428">
            <v>0</v>
          </cell>
          <cell r="I428">
            <v>0</v>
          </cell>
          <cell r="J428">
            <v>0</v>
          </cell>
          <cell r="K428">
            <v>0</v>
          </cell>
          <cell r="M428">
            <v>4</v>
          </cell>
        </row>
        <row r="429">
          <cell r="F429">
            <v>70</v>
          </cell>
          <cell r="H429">
            <v>0</v>
          </cell>
          <cell r="I429">
            <v>70</v>
          </cell>
          <cell r="J429">
            <v>0</v>
          </cell>
          <cell r="K429">
            <v>70</v>
          </cell>
          <cell r="M429">
            <v>0</v>
          </cell>
        </row>
        <row r="430">
          <cell r="F430">
            <v>70</v>
          </cell>
          <cell r="H430">
            <v>0</v>
          </cell>
          <cell r="I430">
            <v>70</v>
          </cell>
          <cell r="J430">
            <v>0</v>
          </cell>
          <cell r="K430">
            <v>70</v>
          </cell>
          <cell r="M430">
            <v>69</v>
          </cell>
        </row>
        <row r="432">
          <cell r="F432">
            <v>0</v>
          </cell>
          <cell r="H432">
            <v>0</v>
          </cell>
          <cell r="I432">
            <v>0</v>
          </cell>
          <cell r="J432">
            <v>0</v>
          </cell>
          <cell r="K432">
            <v>0</v>
          </cell>
          <cell r="M432">
            <v>0</v>
          </cell>
        </row>
        <row r="434">
          <cell r="F434">
            <v>0</v>
          </cell>
          <cell r="H434">
            <v>0</v>
          </cell>
          <cell r="I434">
            <v>0</v>
          </cell>
          <cell r="J434">
            <v>0</v>
          </cell>
          <cell r="K434">
            <v>0</v>
          </cell>
          <cell r="M434">
            <v>0</v>
          </cell>
        </row>
        <row r="436">
          <cell r="F436">
            <v>0</v>
          </cell>
          <cell r="H436">
            <v>0</v>
          </cell>
          <cell r="I436">
            <v>0</v>
          </cell>
          <cell r="J436">
            <v>0</v>
          </cell>
          <cell r="K436">
            <v>0</v>
          </cell>
          <cell r="M436">
            <v>0</v>
          </cell>
        </row>
        <row r="437">
          <cell r="F437">
            <v>0</v>
          </cell>
          <cell r="H437">
            <v>0</v>
          </cell>
          <cell r="I437">
            <v>0</v>
          </cell>
          <cell r="J437">
            <v>0</v>
          </cell>
          <cell r="K437">
            <v>0</v>
          </cell>
          <cell r="M437">
            <v>4</v>
          </cell>
        </row>
        <row r="438">
          <cell r="F438">
            <v>0</v>
          </cell>
          <cell r="H438">
            <v>0</v>
          </cell>
          <cell r="I438">
            <v>0</v>
          </cell>
          <cell r="J438">
            <v>0</v>
          </cell>
          <cell r="K438">
            <v>0</v>
          </cell>
          <cell r="M438">
            <v>11</v>
          </cell>
        </row>
        <row r="439">
          <cell r="F439">
            <v>0</v>
          </cell>
          <cell r="H439">
            <v>0</v>
          </cell>
          <cell r="I439">
            <v>0</v>
          </cell>
          <cell r="J439">
            <v>0</v>
          </cell>
          <cell r="K439">
            <v>0</v>
          </cell>
          <cell r="M439">
            <v>2</v>
          </cell>
        </row>
        <row r="440">
          <cell r="F440">
            <v>0</v>
          </cell>
          <cell r="H440">
            <v>0</v>
          </cell>
          <cell r="I440">
            <v>0</v>
          </cell>
          <cell r="J440">
            <v>0</v>
          </cell>
          <cell r="K440">
            <v>0</v>
          </cell>
          <cell r="M440">
            <v>0</v>
          </cell>
        </row>
        <row r="441">
          <cell r="F441">
            <v>0</v>
          </cell>
          <cell r="H441">
            <v>0</v>
          </cell>
          <cell r="I441">
            <v>0</v>
          </cell>
          <cell r="J441">
            <v>0</v>
          </cell>
          <cell r="K441">
            <v>0</v>
          </cell>
          <cell r="M441">
            <v>0</v>
          </cell>
        </row>
        <row r="442">
          <cell r="F442">
            <v>0</v>
          </cell>
          <cell r="H442">
            <v>0</v>
          </cell>
          <cell r="I442">
            <v>0</v>
          </cell>
          <cell r="J442">
            <v>0</v>
          </cell>
          <cell r="K442">
            <v>0</v>
          </cell>
          <cell r="M442">
            <v>1</v>
          </cell>
        </row>
        <row r="443">
          <cell r="F443">
            <v>0</v>
          </cell>
          <cell r="H443">
            <v>0</v>
          </cell>
          <cell r="I443">
            <v>0</v>
          </cell>
          <cell r="J443">
            <v>0</v>
          </cell>
          <cell r="K443">
            <v>0</v>
          </cell>
          <cell r="M443">
            <v>0</v>
          </cell>
        </row>
        <row r="444">
          <cell r="F444">
            <v>0</v>
          </cell>
          <cell r="H444">
            <v>0</v>
          </cell>
          <cell r="I444">
            <v>0</v>
          </cell>
          <cell r="J444">
            <v>0</v>
          </cell>
          <cell r="K444">
            <v>0</v>
          </cell>
          <cell r="M444">
            <v>0</v>
          </cell>
        </row>
        <row r="445">
          <cell r="F445">
            <v>0</v>
          </cell>
          <cell r="H445">
            <v>0</v>
          </cell>
          <cell r="I445">
            <v>0</v>
          </cell>
          <cell r="J445">
            <v>0</v>
          </cell>
          <cell r="K445">
            <v>0</v>
          </cell>
          <cell r="M445">
            <v>0</v>
          </cell>
        </row>
        <row r="446">
          <cell r="F446">
            <v>0</v>
          </cell>
          <cell r="H446">
            <v>0</v>
          </cell>
          <cell r="I446">
            <v>0</v>
          </cell>
          <cell r="J446">
            <v>0</v>
          </cell>
          <cell r="K446">
            <v>0</v>
          </cell>
          <cell r="M446">
            <v>1</v>
          </cell>
        </row>
        <row r="447">
          <cell r="F447">
            <v>0</v>
          </cell>
          <cell r="H447">
            <v>0</v>
          </cell>
          <cell r="I447">
            <v>0</v>
          </cell>
          <cell r="J447">
            <v>0</v>
          </cell>
          <cell r="K447">
            <v>0</v>
          </cell>
          <cell r="M447">
            <v>0</v>
          </cell>
        </row>
        <row r="448">
          <cell r="F448">
            <v>0</v>
          </cell>
          <cell r="H448">
            <v>0</v>
          </cell>
          <cell r="I448">
            <v>0</v>
          </cell>
          <cell r="J448">
            <v>0</v>
          </cell>
          <cell r="K448">
            <v>0</v>
          </cell>
          <cell r="M448">
            <v>1</v>
          </cell>
        </row>
        <row r="449">
          <cell r="F449">
            <v>0</v>
          </cell>
          <cell r="H449">
            <v>0</v>
          </cell>
          <cell r="I449">
            <v>0</v>
          </cell>
          <cell r="J449">
            <v>0</v>
          </cell>
          <cell r="K449">
            <v>0</v>
          </cell>
          <cell r="M449">
            <v>4</v>
          </cell>
        </row>
        <row r="450">
          <cell r="F450">
            <v>0</v>
          </cell>
          <cell r="H450">
            <v>0</v>
          </cell>
          <cell r="I450">
            <v>0</v>
          </cell>
          <cell r="J450">
            <v>0</v>
          </cell>
          <cell r="K450">
            <v>0</v>
          </cell>
          <cell r="M450">
            <v>32</v>
          </cell>
        </row>
        <row r="451">
          <cell r="F451">
            <v>0</v>
          </cell>
          <cell r="H451">
            <v>0</v>
          </cell>
          <cell r="I451">
            <v>0</v>
          </cell>
          <cell r="J451">
            <v>0</v>
          </cell>
          <cell r="K451">
            <v>0</v>
          </cell>
          <cell r="M451">
            <v>11</v>
          </cell>
        </row>
        <row r="452">
          <cell r="F452">
            <v>2</v>
          </cell>
          <cell r="H452">
            <v>0</v>
          </cell>
          <cell r="I452">
            <v>2</v>
          </cell>
          <cell r="J452">
            <v>0</v>
          </cell>
          <cell r="K452">
            <v>2</v>
          </cell>
          <cell r="M452">
            <v>0</v>
          </cell>
        </row>
        <row r="453">
          <cell r="F453">
            <v>1</v>
          </cell>
          <cell r="H453">
            <v>0</v>
          </cell>
          <cell r="I453">
            <v>1</v>
          </cell>
          <cell r="J453">
            <v>0</v>
          </cell>
          <cell r="K453">
            <v>1</v>
          </cell>
          <cell r="M453">
            <v>0</v>
          </cell>
        </row>
        <row r="454">
          <cell r="F454">
            <v>0</v>
          </cell>
          <cell r="H454">
            <v>0</v>
          </cell>
          <cell r="I454">
            <v>0</v>
          </cell>
          <cell r="J454">
            <v>0</v>
          </cell>
          <cell r="K454">
            <v>0</v>
          </cell>
          <cell r="M454">
            <v>0</v>
          </cell>
        </row>
        <row r="455">
          <cell r="F455">
            <v>28</v>
          </cell>
          <cell r="H455">
            <v>0</v>
          </cell>
          <cell r="I455">
            <v>28</v>
          </cell>
          <cell r="J455">
            <v>0</v>
          </cell>
          <cell r="K455">
            <v>28</v>
          </cell>
          <cell r="M455">
            <v>0</v>
          </cell>
        </row>
        <row r="456">
          <cell r="F456">
            <v>8</v>
          </cell>
          <cell r="H456">
            <v>0</v>
          </cell>
          <cell r="I456">
            <v>8</v>
          </cell>
          <cell r="J456">
            <v>0</v>
          </cell>
          <cell r="K456">
            <v>8</v>
          </cell>
          <cell r="M456">
            <v>0</v>
          </cell>
        </row>
        <row r="457">
          <cell r="F457">
            <v>3</v>
          </cell>
          <cell r="H457">
            <v>0</v>
          </cell>
          <cell r="I457">
            <v>3</v>
          </cell>
          <cell r="J457">
            <v>0</v>
          </cell>
          <cell r="K457">
            <v>3</v>
          </cell>
          <cell r="M457">
            <v>0</v>
          </cell>
        </row>
        <row r="458">
          <cell r="F458">
            <v>12</v>
          </cell>
          <cell r="H458">
            <v>0</v>
          </cell>
          <cell r="I458">
            <v>12</v>
          </cell>
          <cell r="J458">
            <v>0</v>
          </cell>
          <cell r="K458">
            <v>12</v>
          </cell>
          <cell r="M458">
            <v>0</v>
          </cell>
        </row>
        <row r="459">
          <cell r="F459">
            <v>-1</v>
          </cell>
          <cell r="H459">
            <v>0</v>
          </cell>
          <cell r="I459">
            <v>-1</v>
          </cell>
          <cell r="J459">
            <v>0</v>
          </cell>
          <cell r="K459">
            <v>-1</v>
          </cell>
          <cell r="M459">
            <v>2</v>
          </cell>
        </row>
        <row r="460">
          <cell r="F460">
            <v>53</v>
          </cell>
          <cell r="H460">
            <v>0</v>
          </cell>
          <cell r="I460">
            <v>53</v>
          </cell>
          <cell r="J460">
            <v>0</v>
          </cell>
          <cell r="K460">
            <v>53</v>
          </cell>
          <cell r="M460">
            <v>69</v>
          </cell>
        </row>
        <row r="462">
          <cell r="F462">
            <v>0</v>
          </cell>
          <cell r="H462">
            <v>0</v>
          </cell>
          <cell r="I462">
            <v>0</v>
          </cell>
          <cell r="J462">
            <v>0</v>
          </cell>
          <cell r="K462">
            <v>0</v>
          </cell>
          <cell r="M462">
            <v>0</v>
          </cell>
        </row>
        <row r="464">
          <cell r="F464">
            <v>0</v>
          </cell>
          <cell r="H464">
            <v>0</v>
          </cell>
          <cell r="I464">
            <v>0</v>
          </cell>
          <cell r="J464">
            <v>0</v>
          </cell>
          <cell r="K464">
            <v>0</v>
          </cell>
          <cell r="M464">
            <v>20</v>
          </cell>
        </row>
        <row r="465">
          <cell r="F465">
            <v>0</v>
          </cell>
          <cell r="H465">
            <v>0</v>
          </cell>
          <cell r="I465">
            <v>0</v>
          </cell>
          <cell r="J465">
            <v>0</v>
          </cell>
          <cell r="K465">
            <v>0</v>
          </cell>
          <cell r="M465">
            <v>0</v>
          </cell>
        </row>
        <row r="466">
          <cell r="F466">
            <v>0</v>
          </cell>
          <cell r="H466">
            <v>0</v>
          </cell>
          <cell r="I466">
            <v>0</v>
          </cell>
          <cell r="J466">
            <v>0</v>
          </cell>
          <cell r="K466">
            <v>0</v>
          </cell>
          <cell r="M466">
            <v>91</v>
          </cell>
        </row>
        <row r="467">
          <cell r="F467">
            <v>5</v>
          </cell>
          <cell r="H467">
            <v>0</v>
          </cell>
          <cell r="I467">
            <v>5</v>
          </cell>
          <cell r="J467">
            <v>5</v>
          </cell>
          <cell r="K467">
            <v>10</v>
          </cell>
          <cell r="M467">
            <v>0</v>
          </cell>
        </row>
        <row r="468">
          <cell r="F468">
            <v>91</v>
          </cell>
          <cell r="H468">
            <v>0</v>
          </cell>
          <cell r="I468">
            <v>91</v>
          </cell>
          <cell r="J468">
            <v>0</v>
          </cell>
          <cell r="K468">
            <v>91</v>
          </cell>
          <cell r="M468">
            <v>0</v>
          </cell>
        </row>
        <row r="469">
          <cell r="F469">
            <v>96</v>
          </cell>
          <cell r="H469">
            <v>0</v>
          </cell>
          <cell r="I469">
            <v>96</v>
          </cell>
          <cell r="J469">
            <v>5</v>
          </cell>
          <cell r="K469">
            <v>101</v>
          </cell>
          <cell r="M469">
            <v>111</v>
          </cell>
        </row>
        <row r="471">
          <cell r="F471">
            <v>0</v>
          </cell>
          <cell r="H471">
            <v>0</v>
          </cell>
          <cell r="I471">
            <v>0</v>
          </cell>
          <cell r="J471">
            <v>0</v>
          </cell>
          <cell r="K471">
            <v>0</v>
          </cell>
          <cell r="M471">
            <v>20</v>
          </cell>
        </row>
        <row r="472">
          <cell r="F472">
            <v>0</v>
          </cell>
          <cell r="H472">
            <v>0</v>
          </cell>
          <cell r="I472">
            <v>0</v>
          </cell>
          <cell r="J472">
            <v>0</v>
          </cell>
          <cell r="K472">
            <v>0</v>
          </cell>
          <cell r="M472">
            <v>0</v>
          </cell>
        </row>
        <row r="473">
          <cell r="F473">
            <v>182</v>
          </cell>
          <cell r="H473">
            <v>0</v>
          </cell>
          <cell r="I473">
            <v>182</v>
          </cell>
          <cell r="J473">
            <v>-5</v>
          </cell>
          <cell r="K473">
            <v>177</v>
          </cell>
          <cell r="M473">
            <v>0</v>
          </cell>
        </row>
        <row r="474">
          <cell r="F474">
            <v>182</v>
          </cell>
          <cell r="H474">
            <v>0</v>
          </cell>
          <cell r="I474">
            <v>182</v>
          </cell>
          <cell r="J474">
            <v>-5</v>
          </cell>
          <cell r="K474">
            <v>177</v>
          </cell>
          <cell r="M474">
            <v>20</v>
          </cell>
        </row>
        <row r="476">
          <cell r="F476">
            <v>0</v>
          </cell>
          <cell r="H476">
            <v>0</v>
          </cell>
          <cell r="I476">
            <v>0</v>
          </cell>
          <cell r="J476">
            <v>0</v>
          </cell>
          <cell r="K476">
            <v>0</v>
          </cell>
          <cell r="M476">
            <v>6</v>
          </cell>
        </row>
        <row r="477">
          <cell r="F477">
            <v>0</v>
          </cell>
          <cell r="H477">
            <v>0</v>
          </cell>
          <cell r="I477">
            <v>0</v>
          </cell>
          <cell r="J477">
            <v>0</v>
          </cell>
          <cell r="K477">
            <v>0</v>
          </cell>
          <cell r="M477">
            <v>92</v>
          </cell>
        </row>
        <row r="478">
          <cell r="F478">
            <v>74</v>
          </cell>
          <cell r="H478">
            <v>0</v>
          </cell>
          <cell r="I478">
            <v>74</v>
          </cell>
          <cell r="J478">
            <v>0</v>
          </cell>
          <cell r="K478">
            <v>74</v>
          </cell>
          <cell r="M478">
            <v>0</v>
          </cell>
        </row>
        <row r="479">
          <cell r="F479">
            <v>74</v>
          </cell>
          <cell r="H479">
            <v>0</v>
          </cell>
          <cell r="I479">
            <v>74</v>
          </cell>
          <cell r="J479">
            <v>0</v>
          </cell>
          <cell r="K479">
            <v>74</v>
          </cell>
          <cell r="M479">
            <v>98</v>
          </cell>
        </row>
        <row r="481">
          <cell r="F481">
            <v>0</v>
          </cell>
          <cell r="H481">
            <v>0</v>
          </cell>
          <cell r="I481">
            <v>0</v>
          </cell>
          <cell r="J481">
            <v>0</v>
          </cell>
          <cell r="K481">
            <v>0</v>
          </cell>
          <cell r="M481">
            <v>129</v>
          </cell>
        </row>
        <row r="482">
          <cell r="F482">
            <v>0</v>
          </cell>
          <cell r="H482">
            <v>0</v>
          </cell>
          <cell r="I482">
            <v>0</v>
          </cell>
          <cell r="J482">
            <v>0</v>
          </cell>
          <cell r="K482">
            <v>0</v>
          </cell>
          <cell r="M482">
            <v>0</v>
          </cell>
        </row>
        <row r="483">
          <cell r="F483">
            <v>0</v>
          </cell>
          <cell r="H483">
            <v>0</v>
          </cell>
          <cell r="I483">
            <v>0</v>
          </cell>
          <cell r="J483">
            <v>0</v>
          </cell>
          <cell r="K483">
            <v>0</v>
          </cell>
          <cell r="M483">
            <v>15</v>
          </cell>
        </row>
        <row r="484">
          <cell r="F484">
            <v>23</v>
          </cell>
          <cell r="H484">
            <v>0</v>
          </cell>
          <cell r="I484">
            <v>23</v>
          </cell>
          <cell r="J484">
            <v>0</v>
          </cell>
          <cell r="K484">
            <v>23</v>
          </cell>
          <cell r="M484">
            <v>0</v>
          </cell>
        </row>
        <row r="485">
          <cell r="F485">
            <v>15</v>
          </cell>
          <cell r="H485">
            <v>0</v>
          </cell>
          <cell r="I485">
            <v>15</v>
          </cell>
          <cell r="J485">
            <v>0</v>
          </cell>
          <cell r="K485">
            <v>15</v>
          </cell>
          <cell r="M485">
            <v>0</v>
          </cell>
        </row>
        <row r="486">
          <cell r="F486">
            <v>38</v>
          </cell>
          <cell r="H486">
            <v>0</v>
          </cell>
          <cell r="I486">
            <v>38</v>
          </cell>
          <cell r="J486">
            <v>0</v>
          </cell>
          <cell r="K486">
            <v>38</v>
          </cell>
          <cell r="M486">
            <v>144</v>
          </cell>
        </row>
        <row r="488">
          <cell r="F488">
            <v>0</v>
          </cell>
          <cell r="H488">
            <v>0</v>
          </cell>
          <cell r="I488">
            <v>0</v>
          </cell>
          <cell r="J488">
            <v>0</v>
          </cell>
          <cell r="K488">
            <v>0</v>
          </cell>
          <cell r="M488">
            <v>141</v>
          </cell>
        </row>
        <row r="489">
          <cell r="F489">
            <v>0</v>
          </cell>
          <cell r="H489">
            <v>0</v>
          </cell>
          <cell r="I489">
            <v>0</v>
          </cell>
          <cell r="J489">
            <v>0</v>
          </cell>
          <cell r="K489">
            <v>0</v>
          </cell>
          <cell r="M489">
            <v>20</v>
          </cell>
        </row>
        <row r="490">
          <cell r="F490">
            <v>0</v>
          </cell>
          <cell r="H490">
            <v>0</v>
          </cell>
          <cell r="I490">
            <v>0</v>
          </cell>
          <cell r="J490">
            <v>0</v>
          </cell>
          <cell r="K490">
            <v>0</v>
          </cell>
          <cell r="M490">
            <v>76</v>
          </cell>
        </row>
        <row r="491">
          <cell r="F491">
            <v>0</v>
          </cell>
          <cell r="H491">
            <v>0</v>
          </cell>
          <cell r="I491">
            <v>0</v>
          </cell>
          <cell r="J491">
            <v>0</v>
          </cell>
          <cell r="K491">
            <v>0</v>
          </cell>
          <cell r="M491">
            <v>25</v>
          </cell>
        </row>
        <row r="492">
          <cell r="F492">
            <v>0</v>
          </cell>
          <cell r="H492">
            <v>0</v>
          </cell>
          <cell r="I492">
            <v>0</v>
          </cell>
          <cell r="J492">
            <v>0</v>
          </cell>
          <cell r="K492">
            <v>0</v>
          </cell>
          <cell r="M492">
            <v>25</v>
          </cell>
        </row>
        <row r="493">
          <cell r="F493">
            <v>252</v>
          </cell>
          <cell r="H493">
            <v>0</v>
          </cell>
          <cell r="I493">
            <v>252</v>
          </cell>
          <cell r="J493">
            <v>0</v>
          </cell>
          <cell r="K493">
            <v>252</v>
          </cell>
          <cell r="M493">
            <v>0</v>
          </cell>
        </row>
        <row r="494">
          <cell r="F494">
            <v>252</v>
          </cell>
          <cell r="H494">
            <v>0</v>
          </cell>
          <cell r="I494">
            <v>252</v>
          </cell>
          <cell r="J494">
            <v>0</v>
          </cell>
          <cell r="K494">
            <v>252</v>
          </cell>
          <cell r="M494">
            <v>287</v>
          </cell>
        </row>
        <row r="496">
          <cell r="F496">
            <v>0</v>
          </cell>
          <cell r="H496">
            <v>0</v>
          </cell>
          <cell r="I496">
            <v>0</v>
          </cell>
          <cell r="J496">
            <v>0</v>
          </cell>
          <cell r="K496">
            <v>0</v>
          </cell>
          <cell r="M496">
            <v>0</v>
          </cell>
        </row>
        <row r="498">
          <cell r="F498">
            <v>0</v>
          </cell>
          <cell r="H498">
            <v>0</v>
          </cell>
          <cell r="I498">
            <v>0</v>
          </cell>
          <cell r="J498">
            <v>0</v>
          </cell>
          <cell r="K498">
            <v>0</v>
          </cell>
          <cell r="M498">
            <v>0</v>
          </cell>
        </row>
        <row r="500">
          <cell r="F500">
            <v>0</v>
          </cell>
          <cell r="H500">
            <v>0</v>
          </cell>
          <cell r="I500">
            <v>0</v>
          </cell>
          <cell r="J500">
            <v>0</v>
          </cell>
          <cell r="K500">
            <v>0</v>
          </cell>
          <cell r="M500">
            <v>5847</v>
          </cell>
        </row>
        <row r="501">
          <cell r="F501">
            <v>1213</v>
          </cell>
          <cell r="H501">
            <v>0</v>
          </cell>
          <cell r="I501">
            <v>1213</v>
          </cell>
          <cell r="J501">
            <v>0</v>
          </cell>
          <cell r="K501">
            <v>1213</v>
          </cell>
          <cell r="M501">
            <v>0</v>
          </cell>
        </row>
        <row r="502">
          <cell r="F502">
            <v>1213</v>
          </cell>
          <cell r="H502">
            <v>0</v>
          </cell>
          <cell r="I502">
            <v>1213</v>
          </cell>
          <cell r="J502">
            <v>0</v>
          </cell>
          <cell r="K502">
            <v>1213</v>
          </cell>
          <cell r="M502">
            <v>5847</v>
          </cell>
        </row>
        <row r="504">
          <cell r="F504">
            <v>0</v>
          </cell>
          <cell r="H504">
            <v>0</v>
          </cell>
          <cell r="I504">
            <v>0</v>
          </cell>
          <cell r="J504">
            <v>0</v>
          </cell>
          <cell r="K504">
            <v>0</v>
          </cell>
          <cell r="M504">
            <v>-54</v>
          </cell>
        </row>
        <row r="505">
          <cell r="F505">
            <v>0</v>
          </cell>
          <cell r="H505">
            <v>0</v>
          </cell>
          <cell r="I505">
            <v>0</v>
          </cell>
          <cell r="J505">
            <v>0</v>
          </cell>
          <cell r="K505">
            <v>0</v>
          </cell>
          <cell r="M505">
            <v>845</v>
          </cell>
        </row>
        <row r="506">
          <cell r="F506">
            <v>0</v>
          </cell>
          <cell r="H506">
            <v>0</v>
          </cell>
          <cell r="I506">
            <v>0</v>
          </cell>
          <cell r="J506">
            <v>0</v>
          </cell>
          <cell r="K506">
            <v>0</v>
          </cell>
          <cell r="M506">
            <v>-22</v>
          </cell>
        </row>
        <row r="507">
          <cell r="F507">
            <v>0</v>
          </cell>
          <cell r="H507">
            <v>0</v>
          </cell>
          <cell r="I507">
            <v>0</v>
          </cell>
          <cell r="J507">
            <v>0</v>
          </cell>
          <cell r="K507">
            <v>0</v>
          </cell>
          <cell r="M507">
            <v>-42</v>
          </cell>
        </row>
        <row r="508">
          <cell r="F508">
            <v>0</v>
          </cell>
          <cell r="H508">
            <v>0</v>
          </cell>
          <cell r="I508">
            <v>0</v>
          </cell>
          <cell r="J508">
            <v>0</v>
          </cell>
          <cell r="K508">
            <v>0</v>
          </cell>
          <cell r="M508">
            <v>20</v>
          </cell>
        </row>
        <row r="509">
          <cell r="F509">
            <v>0</v>
          </cell>
          <cell r="H509">
            <v>0</v>
          </cell>
          <cell r="I509">
            <v>0</v>
          </cell>
          <cell r="J509">
            <v>0</v>
          </cell>
          <cell r="K509">
            <v>0</v>
          </cell>
          <cell r="M509">
            <v>0</v>
          </cell>
        </row>
        <row r="510">
          <cell r="F510">
            <v>0</v>
          </cell>
          <cell r="H510">
            <v>0</v>
          </cell>
          <cell r="I510">
            <v>0</v>
          </cell>
          <cell r="J510">
            <v>0</v>
          </cell>
          <cell r="K510">
            <v>0</v>
          </cell>
          <cell r="M510">
            <v>54</v>
          </cell>
        </row>
        <row r="511">
          <cell r="F511">
            <v>0</v>
          </cell>
          <cell r="H511">
            <v>0</v>
          </cell>
          <cell r="I511">
            <v>0</v>
          </cell>
          <cell r="J511">
            <v>0</v>
          </cell>
          <cell r="K511">
            <v>0</v>
          </cell>
          <cell r="M511">
            <v>0</v>
          </cell>
        </row>
        <row r="512">
          <cell r="F512">
            <v>0</v>
          </cell>
          <cell r="H512">
            <v>0</v>
          </cell>
          <cell r="I512">
            <v>0</v>
          </cell>
          <cell r="J512">
            <v>0</v>
          </cell>
          <cell r="K512">
            <v>0</v>
          </cell>
          <cell r="M512">
            <v>0</v>
          </cell>
        </row>
        <row r="513">
          <cell r="F513">
            <v>757</v>
          </cell>
          <cell r="H513">
            <v>0</v>
          </cell>
          <cell r="I513">
            <v>757</v>
          </cell>
          <cell r="J513">
            <v>0</v>
          </cell>
          <cell r="K513">
            <v>757</v>
          </cell>
          <cell r="M513">
            <v>0</v>
          </cell>
        </row>
        <row r="514">
          <cell r="F514">
            <v>757</v>
          </cell>
          <cell r="H514">
            <v>0</v>
          </cell>
          <cell r="I514">
            <v>757</v>
          </cell>
          <cell r="J514">
            <v>0</v>
          </cell>
          <cell r="K514">
            <v>757</v>
          </cell>
          <cell r="M514">
            <v>801</v>
          </cell>
        </row>
        <row r="516">
          <cell r="F516">
            <v>0</v>
          </cell>
          <cell r="H516">
            <v>0</v>
          </cell>
          <cell r="I516">
            <v>0</v>
          </cell>
          <cell r="J516">
            <v>0</v>
          </cell>
          <cell r="K516">
            <v>0</v>
          </cell>
          <cell r="M516">
            <v>2853</v>
          </cell>
        </row>
        <row r="517">
          <cell r="F517">
            <v>1309</v>
          </cell>
          <cell r="H517">
            <v>0</v>
          </cell>
          <cell r="I517">
            <v>1309</v>
          </cell>
          <cell r="J517">
            <v>0</v>
          </cell>
          <cell r="K517">
            <v>1309</v>
          </cell>
          <cell r="M517">
            <v>0</v>
          </cell>
        </row>
        <row r="518">
          <cell r="F518">
            <v>1309</v>
          </cell>
          <cell r="H518">
            <v>0</v>
          </cell>
          <cell r="I518">
            <v>1309</v>
          </cell>
          <cell r="J518">
            <v>0</v>
          </cell>
          <cell r="K518">
            <v>1309</v>
          </cell>
          <cell r="M518">
            <v>2853</v>
          </cell>
        </row>
        <row r="520">
          <cell r="F520">
            <v>0</v>
          </cell>
          <cell r="H520">
            <v>0</v>
          </cell>
          <cell r="I520">
            <v>0</v>
          </cell>
          <cell r="J520">
            <v>0</v>
          </cell>
          <cell r="K520">
            <v>0</v>
          </cell>
          <cell r="M520">
            <v>0</v>
          </cell>
        </row>
        <row r="522">
          <cell r="F522">
            <v>0</v>
          </cell>
          <cell r="H522">
            <v>0</v>
          </cell>
          <cell r="I522">
            <v>0</v>
          </cell>
          <cell r="J522">
            <v>0</v>
          </cell>
          <cell r="K522">
            <v>0</v>
          </cell>
          <cell r="M522">
            <v>0</v>
          </cell>
        </row>
        <row r="524">
          <cell r="F524">
            <v>0</v>
          </cell>
          <cell r="H524">
            <v>0</v>
          </cell>
          <cell r="I524">
            <v>0</v>
          </cell>
          <cell r="J524">
            <v>0</v>
          </cell>
          <cell r="K524">
            <v>0</v>
          </cell>
          <cell r="M524">
            <v>0</v>
          </cell>
        </row>
        <row r="526">
          <cell r="F526">
            <v>0</v>
          </cell>
          <cell r="H526">
            <v>0</v>
          </cell>
          <cell r="I526">
            <v>0</v>
          </cell>
          <cell r="J526">
            <v>0</v>
          </cell>
          <cell r="K526">
            <v>0</v>
          </cell>
          <cell r="M526">
            <v>0</v>
          </cell>
        </row>
        <row r="528">
          <cell r="F528">
            <v>0</v>
          </cell>
          <cell r="H528">
            <v>0</v>
          </cell>
          <cell r="I528">
            <v>0</v>
          </cell>
          <cell r="J528">
            <v>0</v>
          </cell>
          <cell r="K528">
            <v>0</v>
          </cell>
          <cell r="M528">
            <v>0</v>
          </cell>
        </row>
        <row r="529">
          <cell r="F529">
            <v>0</v>
          </cell>
          <cell r="H529">
            <v>0</v>
          </cell>
          <cell r="I529">
            <v>0</v>
          </cell>
          <cell r="J529">
            <v>0</v>
          </cell>
          <cell r="K529">
            <v>0</v>
          </cell>
          <cell r="M529">
            <v>0</v>
          </cell>
        </row>
      </sheetData>
      <sheetData sheetId="14" refreshError="1">
        <row r="1">
          <cell r="F1" t="str">
            <v>Preliminary</v>
          </cell>
          <cell r="G1" t="str">
            <v>AJE</v>
          </cell>
          <cell r="H1" t="str">
            <v>Adjusted</v>
          </cell>
          <cell r="I1" t="str">
            <v>RJE</v>
          </cell>
          <cell r="J1" t="str">
            <v>Dec '14</v>
          </cell>
          <cell r="K1" t="str">
            <v>Jun'14 /Dec'13</v>
          </cell>
        </row>
        <row r="3">
          <cell r="F3">
            <v>3</v>
          </cell>
          <cell r="G3">
            <v>0</v>
          </cell>
          <cell r="H3">
            <v>3</v>
          </cell>
          <cell r="I3">
            <v>0</v>
          </cell>
          <cell r="J3">
            <v>3</v>
          </cell>
          <cell r="K3">
            <v>3236</v>
          </cell>
        </row>
        <row r="4">
          <cell r="F4">
            <v>205</v>
          </cell>
          <cell r="G4">
            <v>0</v>
          </cell>
          <cell r="H4">
            <v>205</v>
          </cell>
          <cell r="I4">
            <v>0</v>
          </cell>
          <cell r="J4">
            <v>205</v>
          </cell>
          <cell r="K4">
            <v>60</v>
          </cell>
        </row>
        <row r="5">
          <cell r="F5">
            <v>11</v>
          </cell>
          <cell r="G5">
            <v>0</v>
          </cell>
          <cell r="H5">
            <v>11</v>
          </cell>
          <cell r="I5">
            <v>0</v>
          </cell>
          <cell r="J5">
            <v>11</v>
          </cell>
          <cell r="K5">
            <v>11</v>
          </cell>
        </row>
        <row r="6">
          <cell r="F6">
            <v>2</v>
          </cell>
          <cell r="G6">
            <v>0</v>
          </cell>
          <cell r="H6">
            <v>2</v>
          </cell>
          <cell r="I6">
            <v>0</v>
          </cell>
          <cell r="J6">
            <v>2</v>
          </cell>
          <cell r="K6">
            <v>245090</v>
          </cell>
        </row>
        <row r="7">
          <cell r="F7">
            <v>2496</v>
          </cell>
          <cell r="G7">
            <v>0</v>
          </cell>
          <cell r="H7">
            <v>2496</v>
          </cell>
          <cell r="I7">
            <v>0</v>
          </cell>
          <cell r="J7">
            <v>2496</v>
          </cell>
          <cell r="K7">
            <v>8964</v>
          </cell>
        </row>
        <row r="8">
          <cell r="F8">
            <v>813</v>
          </cell>
          <cell r="G8">
            <v>0</v>
          </cell>
          <cell r="H8">
            <v>813</v>
          </cell>
          <cell r="I8">
            <v>0</v>
          </cell>
          <cell r="J8">
            <v>813</v>
          </cell>
          <cell r="K8">
            <v>1968</v>
          </cell>
        </row>
        <row r="9">
          <cell r="F9">
            <v>1410</v>
          </cell>
          <cell r="G9">
            <v>0</v>
          </cell>
          <cell r="H9">
            <v>1410</v>
          </cell>
          <cell r="I9">
            <v>0</v>
          </cell>
          <cell r="J9">
            <v>1410</v>
          </cell>
          <cell r="K9">
            <v>2518</v>
          </cell>
        </row>
        <row r="10">
          <cell r="F10">
            <v>10</v>
          </cell>
          <cell r="G10">
            <v>0</v>
          </cell>
          <cell r="H10">
            <v>10</v>
          </cell>
          <cell r="I10">
            <v>0</v>
          </cell>
          <cell r="J10">
            <v>10</v>
          </cell>
          <cell r="K10">
            <v>444</v>
          </cell>
        </row>
        <row r="11">
          <cell r="F11">
            <v>956</v>
          </cell>
          <cell r="G11">
            <v>0</v>
          </cell>
          <cell r="H11">
            <v>956</v>
          </cell>
          <cell r="I11">
            <v>0</v>
          </cell>
          <cell r="J11">
            <v>956</v>
          </cell>
          <cell r="K11">
            <v>941</v>
          </cell>
        </row>
        <row r="12">
          <cell r="F12">
            <v>4</v>
          </cell>
          <cell r="G12">
            <v>0</v>
          </cell>
          <cell r="H12">
            <v>4</v>
          </cell>
          <cell r="I12">
            <v>0</v>
          </cell>
          <cell r="J12">
            <v>4</v>
          </cell>
          <cell r="K12">
            <v>6</v>
          </cell>
        </row>
        <row r="13">
          <cell r="F13">
            <v>23</v>
          </cell>
          <cell r="G13">
            <v>0</v>
          </cell>
          <cell r="H13">
            <v>23</v>
          </cell>
          <cell r="I13">
            <v>0</v>
          </cell>
          <cell r="J13">
            <v>23</v>
          </cell>
          <cell r="K13">
            <v>5</v>
          </cell>
        </row>
        <row r="14">
          <cell r="F14">
            <v>0</v>
          </cell>
          <cell r="G14">
            <v>0</v>
          </cell>
          <cell r="H14">
            <v>0</v>
          </cell>
          <cell r="I14">
            <v>0</v>
          </cell>
          <cell r="J14">
            <v>0</v>
          </cell>
          <cell r="K14">
            <v>0</v>
          </cell>
        </row>
        <row r="15">
          <cell r="F15">
            <v>0</v>
          </cell>
          <cell r="G15">
            <v>0</v>
          </cell>
          <cell r="H15">
            <v>0</v>
          </cell>
          <cell r="I15">
            <v>0</v>
          </cell>
          <cell r="J15">
            <v>0</v>
          </cell>
          <cell r="K15">
            <v>0</v>
          </cell>
        </row>
        <row r="16">
          <cell r="F16">
            <v>0</v>
          </cell>
          <cell r="G16">
            <v>0</v>
          </cell>
          <cell r="H16">
            <v>0</v>
          </cell>
          <cell r="I16">
            <v>0</v>
          </cell>
          <cell r="J16">
            <v>0</v>
          </cell>
          <cell r="K16">
            <v>0</v>
          </cell>
        </row>
        <row r="17">
          <cell r="F17">
            <v>0</v>
          </cell>
          <cell r="G17">
            <v>0</v>
          </cell>
          <cell r="H17">
            <v>0</v>
          </cell>
          <cell r="I17">
            <v>0</v>
          </cell>
          <cell r="J17">
            <v>0</v>
          </cell>
          <cell r="K17">
            <v>0</v>
          </cell>
        </row>
        <row r="18">
          <cell r="F18">
            <v>0</v>
          </cell>
          <cell r="G18">
            <v>0</v>
          </cell>
          <cell r="H18">
            <v>0</v>
          </cell>
          <cell r="I18">
            <v>0</v>
          </cell>
          <cell r="J18">
            <v>0</v>
          </cell>
          <cell r="K18">
            <v>0</v>
          </cell>
        </row>
        <row r="19">
          <cell r="F19">
            <v>0</v>
          </cell>
          <cell r="G19">
            <v>0</v>
          </cell>
          <cell r="H19">
            <v>0</v>
          </cell>
          <cell r="I19">
            <v>0</v>
          </cell>
          <cell r="J19">
            <v>0</v>
          </cell>
          <cell r="K19">
            <v>0</v>
          </cell>
        </row>
        <row r="20">
          <cell r="F20">
            <v>0</v>
          </cell>
          <cell r="G20">
            <v>0</v>
          </cell>
          <cell r="H20">
            <v>0</v>
          </cell>
          <cell r="I20">
            <v>0</v>
          </cell>
          <cell r="J20">
            <v>0</v>
          </cell>
          <cell r="K20">
            <v>0</v>
          </cell>
        </row>
        <row r="21">
          <cell r="F21">
            <v>0</v>
          </cell>
          <cell r="G21">
            <v>0</v>
          </cell>
          <cell r="H21">
            <v>0</v>
          </cell>
          <cell r="I21">
            <v>0</v>
          </cell>
          <cell r="J21">
            <v>0</v>
          </cell>
          <cell r="K21">
            <v>0</v>
          </cell>
        </row>
        <row r="22">
          <cell r="F22">
            <v>0</v>
          </cell>
          <cell r="G22">
            <v>0</v>
          </cell>
          <cell r="H22">
            <v>0</v>
          </cell>
          <cell r="I22">
            <v>0</v>
          </cell>
          <cell r="J22">
            <v>0</v>
          </cell>
          <cell r="K22">
            <v>0</v>
          </cell>
        </row>
        <row r="23">
          <cell r="F23">
            <v>0</v>
          </cell>
          <cell r="G23">
            <v>0</v>
          </cell>
          <cell r="H23">
            <v>0</v>
          </cell>
          <cell r="I23">
            <v>0</v>
          </cell>
          <cell r="J23">
            <v>0</v>
          </cell>
          <cell r="K23">
            <v>0</v>
          </cell>
        </row>
        <row r="24">
          <cell r="F24">
            <v>5933</v>
          </cell>
          <cell r="G24">
            <v>0</v>
          </cell>
          <cell r="H24">
            <v>5933</v>
          </cell>
          <cell r="I24">
            <v>0</v>
          </cell>
          <cell r="J24">
            <v>5933</v>
          </cell>
          <cell r="K24">
            <v>263243</v>
          </cell>
        </row>
        <row r="26">
          <cell r="F26">
            <v>0</v>
          </cell>
          <cell r="G26">
            <v>0</v>
          </cell>
          <cell r="H26">
            <v>0</v>
          </cell>
          <cell r="I26">
            <v>0</v>
          </cell>
          <cell r="J26">
            <v>0</v>
          </cell>
          <cell r="K26">
            <v>0</v>
          </cell>
        </row>
        <row r="27">
          <cell r="F27">
            <v>0</v>
          </cell>
          <cell r="G27">
            <v>0</v>
          </cell>
          <cell r="H27">
            <v>0</v>
          </cell>
          <cell r="I27">
            <v>0</v>
          </cell>
          <cell r="J27">
            <v>0</v>
          </cell>
          <cell r="K27">
            <v>0</v>
          </cell>
        </row>
        <row r="28">
          <cell r="F28">
            <v>0</v>
          </cell>
          <cell r="G28">
            <v>0</v>
          </cell>
          <cell r="H28">
            <v>0</v>
          </cell>
          <cell r="I28">
            <v>0</v>
          </cell>
          <cell r="J28">
            <v>0</v>
          </cell>
          <cell r="K28">
            <v>0</v>
          </cell>
        </row>
        <row r="29">
          <cell r="F29">
            <v>0</v>
          </cell>
          <cell r="G29">
            <v>0</v>
          </cell>
          <cell r="H29">
            <v>0</v>
          </cell>
          <cell r="I29">
            <v>0</v>
          </cell>
          <cell r="J29">
            <v>0</v>
          </cell>
          <cell r="K29">
            <v>0</v>
          </cell>
        </row>
        <row r="30">
          <cell r="F30">
            <v>0</v>
          </cell>
          <cell r="G30">
            <v>0</v>
          </cell>
          <cell r="H30">
            <v>0</v>
          </cell>
          <cell r="I30">
            <v>0</v>
          </cell>
          <cell r="J30">
            <v>0</v>
          </cell>
          <cell r="K30">
            <v>0</v>
          </cell>
        </row>
        <row r="31">
          <cell r="F31">
            <v>0</v>
          </cell>
          <cell r="G31">
            <v>0</v>
          </cell>
          <cell r="H31">
            <v>0</v>
          </cell>
          <cell r="I31">
            <v>0</v>
          </cell>
          <cell r="J31">
            <v>0</v>
          </cell>
          <cell r="K31">
            <v>0</v>
          </cell>
        </row>
        <row r="33">
          <cell r="F33">
            <v>342727</v>
          </cell>
          <cell r="G33">
            <v>0</v>
          </cell>
          <cell r="H33">
            <v>342727</v>
          </cell>
          <cell r="I33">
            <v>0</v>
          </cell>
          <cell r="J33">
            <v>342727</v>
          </cell>
          <cell r="K33">
            <v>385663</v>
          </cell>
        </row>
        <row r="34">
          <cell r="F34">
            <v>5467</v>
          </cell>
          <cell r="G34">
            <v>0</v>
          </cell>
          <cell r="H34">
            <v>5467</v>
          </cell>
          <cell r="I34">
            <v>0</v>
          </cell>
          <cell r="J34">
            <v>5467</v>
          </cell>
          <cell r="K34">
            <v>5790</v>
          </cell>
        </row>
        <row r="35">
          <cell r="F35">
            <v>-16286</v>
          </cell>
          <cell r="G35">
            <v>0</v>
          </cell>
          <cell r="H35">
            <v>-16286</v>
          </cell>
          <cell r="I35">
            <v>0</v>
          </cell>
          <cell r="J35">
            <v>-16286</v>
          </cell>
          <cell r="K35">
            <v>-20933</v>
          </cell>
        </row>
        <row r="36">
          <cell r="F36">
            <v>0</v>
          </cell>
          <cell r="G36">
            <v>0</v>
          </cell>
          <cell r="H36">
            <v>0</v>
          </cell>
          <cell r="I36">
            <v>0</v>
          </cell>
          <cell r="J36">
            <v>0</v>
          </cell>
          <cell r="K36">
            <v>0</v>
          </cell>
        </row>
        <row r="37">
          <cell r="F37">
            <v>-16465</v>
          </cell>
          <cell r="G37">
            <v>0</v>
          </cell>
          <cell r="H37">
            <v>-16465</v>
          </cell>
          <cell r="I37">
            <v>0</v>
          </cell>
          <cell r="J37">
            <v>-16465</v>
          </cell>
          <cell r="K37">
            <v>-19758</v>
          </cell>
        </row>
        <row r="38">
          <cell r="F38">
            <v>-8120</v>
          </cell>
          <cell r="G38">
            <v>0</v>
          </cell>
          <cell r="H38">
            <v>-8120</v>
          </cell>
          <cell r="I38">
            <v>0</v>
          </cell>
          <cell r="J38">
            <v>-8120</v>
          </cell>
          <cell r="K38">
            <v>-16241</v>
          </cell>
        </row>
        <row r="39">
          <cell r="F39">
            <v>59926</v>
          </cell>
          <cell r="G39">
            <v>0</v>
          </cell>
          <cell r="H39">
            <v>59926</v>
          </cell>
          <cell r="I39">
            <v>0</v>
          </cell>
          <cell r="J39">
            <v>59926</v>
          </cell>
          <cell r="K39">
            <v>50768</v>
          </cell>
        </row>
        <row r="40">
          <cell r="F40">
            <v>-59926</v>
          </cell>
          <cell r="G40">
            <v>0</v>
          </cell>
          <cell r="H40">
            <v>-59926</v>
          </cell>
          <cell r="I40">
            <v>0</v>
          </cell>
          <cell r="J40">
            <v>-59926</v>
          </cell>
          <cell r="K40">
            <v>-50768</v>
          </cell>
        </row>
        <row r="41">
          <cell r="F41">
            <v>0</v>
          </cell>
          <cell r="G41">
            <v>0</v>
          </cell>
          <cell r="H41">
            <v>0</v>
          </cell>
          <cell r="I41">
            <v>0</v>
          </cell>
          <cell r="J41">
            <v>0</v>
          </cell>
          <cell r="K41">
            <v>33583</v>
          </cell>
        </row>
        <row r="42">
          <cell r="F42">
            <v>0</v>
          </cell>
          <cell r="G42">
            <v>0</v>
          </cell>
          <cell r="H42">
            <v>0</v>
          </cell>
          <cell r="I42">
            <v>0</v>
          </cell>
          <cell r="J42">
            <v>0</v>
          </cell>
          <cell r="K42">
            <v>0</v>
          </cell>
        </row>
        <row r="43">
          <cell r="F43">
            <v>0</v>
          </cell>
          <cell r="G43">
            <v>0</v>
          </cell>
          <cell r="H43">
            <v>0</v>
          </cell>
          <cell r="I43">
            <v>0</v>
          </cell>
          <cell r="J43">
            <v>0</v>
          </cell>
          <cell r="K43">
            <v>0</v>
          </cell>
        </row>
        <row r="44">
          <cell r="F44">
            <v>0</v>
          </cell>
          <cell r="G44">
            <v>0</v>
          </cell>
          <cell r="H44">
            <v>0</v>
          </cell>
          <cell r="I44">
            <v>0</v>
          </cell>
          <cell r="J44">
            <v>0</v>
          </cell>
          <cell r="K44">
            <v>0</v>
          </cell>
        </row>
        <row r="45">
          <cell r="F45">
            <v>0</v>
          </cell>
          <cell r="G45">
            <v>0</v>
          </cell>
          <cell r="H45">
            <v>0</v>
          </cell>
          <cell r="I45">
            <v>0</v>
          </cell>
          <cell r="J45">
            <v>0</v>
          </cell>
          <cell r="K45">
            <v>0</v>
          </cell>
        </row>
        <row r="46">
          <cell r="F46">
            <v>0</v>
          </cell>
          <cell r="G46">
            <v>0</v>
          </cell>
          <cell r="H46">
            <v>0</v>
          </cell>
          <cell r="I46">
            <v>0</v>
          </cell>
          <cell r="J46">
            <v>0</v>
          </cell>
          <cell r="K46">
            <v>0</v>
          </cell>
        </row>
        <row r="47">
          <cell r="F47">
            <v>0</v>
          </cell>
          <cell r="G47">
            <v>0</v>
          </cell>
          <cell r="H47">
            <v>0</v>
          </cell>
          <cell r="I47">
            <v>0</v>
          </cell>
          <cell r="J47">
            <v>0</v>
          </cell>
          <cell r="K47">
            <v>0</v>
          </cell>
        </row>
        <row r="48">
          <cell r="F48">
            <v>0</v>
          </cell>
          <cell r="G48">
            <v>0</v>
          </cell>
          <cell r="H48">
            <v>0</v>
          </cell>
          <cell r="I48">
            <v>0</v>
          </cell>
          <cell r="J48">
            <v>0</v>
          </cell>
          <cell r="K48">
            <v>0</v>
          </cell>
        </row>
        <row r="49">
          <cell r="F49">
            <v>0</v>
          </cell>
          <cell r="G49">
            <v>0</v>
          </cell>
          <cell r="H49">
            <v>0</v>
          </cell>
          <cell r="I49">
            <v>0</v>
          </cell>
          <cell r="J49">
            <v>0</v>
          </cell>
          <cell r="K49">
            <v>0</v>
          </cell>
        </row>
        <row r="50">
          <cell r="F50">
            <v>0</v>
          </cell>
          <cell r="G50">
            <v>0</v>
          </cell>
          <cell r="H50">
            <v>0</v>
          </cell>
          <cell r="I50">
            <v>0</v>
          </cell>
          <cell r="J50">
            <v>0</v>
          </cell>
          <cell r="K50">
            <v>0</v>
          </cell>
        </row>
        <row r="51">
          <cell r="F51">
            <v>0</v>
          </cell>
          <cell r="G51">
            <v>0</v>
          </cell>
          <cell r="H51">
            <v>0</v>
          </cell>
          <cell r="I51">
            <v>0</v>
          </cell>
          <cell r="J51">
            <v>0</v>
          </cell>
          <cell r="K51">
            <v>0</v>
          </cell>
        </row>
        <row r="52">
          <cell r="F52">
            <v>307323</v>
          </cell>
          <cell r="G52">
            <v>0</v>
          </cell>
          <cell r="H52">
            <v>307323</v>
          </cell>
          <cell r="I52">
            <v>0</v>
          </cell>
          <cell r="J52">
            <v>307323</v>
          </cell>
          <cell r="K52">
            <v>368104</v>
          </cell>
        </row>
        <row r="54">
          <cell r="F54">
            <v>0</v>
          </cell>
          <cell r="G54">
            <v>0</v>
          </cell>
          <cell r="H54">
            <v>0</v>
          </cell>
          <cell r="I54">
            <v>0</v>
          </cell>
          <cell r="J54">
            <v>0</v>
          </cell>
          <cell r="K54">
            <v>0</v>
          </cell>
        </row>
        <row r="56">
          <cell r="F56">
            <v>275039</v>
          </cell>
          <cell r="G56">
            <v>0</v>
          </cell>
          <cell r="H56">
            <v>275039</v>
          </cell>
          <cell r="I56">
            <v>0</v>
          </cell>
          <cell r="J56">
            <v>275039</v>
          </cell>
          <cell r="K56">
            <v>39</v>
          </cell>
        </row>
        <row r="57">
          <cell r="F57">
            <v>-50</v>
          </cell>
          <cell r="G57">
            <v>0</v>
          </cell>
          <cell r="H57">
            <v>-50</v>
          </cell>
          <cell r="I57">
            <v>0</v>
          </cell>
          <cell r="J57">
            <v>-50</v>
          </cell>
          <cell r="K57">
            <v>0</v>
          </cell>
        </row>
        <row r="58">
          <cell r="F58">
            <v>-3506</v>
          </cell>
          <cell r="G58">
            <v>0</v>
          </cell>
          <cell r="H58">
            <v>-3506</v>
          </cell>
          <cell r="I58">
            <v>0</v>
          </cell>
          <cell r="J58">
            <v>-3506</v>
          </cell>
          <cell r="K58">
            <v>-39</v>
          </cell>
        </row>
        <row r="59">
          <cell r="F59">
            <v>363349</v>
          </cell>
          <cell r="G59">
            <v>0</v>
          </cell>
          <cell r="H59">
            <v>363349</v>
          </cell>
          <cell r="I59">
            <v>0</v>
          </cell>
          <cell r="J59">
            <v>363349</v>
          </cell>
          <cell r="K59">
            <v>300849</v>
          </cell>
        </row>
        <row r="60">
          <cell r="F60">
            <v>14586</v>
          </cell>
          <cell r="G60">
            <v>0</v>
          </cell>
          <cell r="H60">
            <v>14586</v>
          </cell>
          <cell r="I60">
            <v>0</v>
          </cell>
          <cell r="J60">
            <v>14586</v>
          </cell>
          <cell r="K60">
            <v>-1206</v>
          </cell>
        </row>
        <row r="61">
          <cell r="F61">
            <v>-3532</v>
          </cell>
          <cell r="G61">
            <v>0</v>
          </cell>
          <cell r="H61">
            <v>-3532</v>
          </cell>
          <cell r="I61">
            <v>0</v>
          </cell>
          <cell r="J61">
            <v>-3532</v>
          </cell>
          <cell r="K61">
            <v>2273</v>
          </cell>
        </row>
        <row r="62">
          <cell r="F62">
            <v>66651</v>
          </cell>
          <cell r="G62">
            <v>0</v>
          </cell>
          <cell r="H62">
            <v>66651</v>
          </cell>
          <cell r="I62">
            <v>0</v>
          </cell>
          <cell r="J62">
            <v>66651</v>
          </cell>
          <cell r="K62">
            <v>66651</v>
          </cell>
        </row>
        <row r="63">
          <cell r="F63">
            <v>2644</v>
          </cell>
          <cell r="G63">
            <v>0</v>
          </cell>
          <cell r="H63">
            <v>2644</v>
          </cell>
          <cell r="I63">
            <v>0</v>
          </cell>
          <cell r="J63">
            <v>2644</v>
          </cell>
          <cell r="K63">
            <v>18</v>
          </cell>
        </row>
        <row r="64">
          <cell r="F64">
            <v>-79</v>
          </cell>
          <cell r="G64">
            <v>0</v>
          </cell>
          <cell r="H64">
            <v>-79</v>
          </cell>
          <cell r="I64">
            <v>0</v>
          </cell>
          <cell r="J64">
            <v>-79</v>
          </cell>
          <cell r="K64">
            <v>-79</v>
          </cell>
        </row>
        <row r="65">
          <cell r="F65">
            <v>0</v>
          </cell>
          <cell r="G65">
            <v>0</v>
          </cell>
          <cell r="H65">
            <v>0</v>
          </cell>
          <cell r="I65">
            <v>0</v>
          </cell>
          <cell r="J65">
            <v>0</v>
          </cell>
          <cell r="K65">
            <v>0</v>
          </cell>
        </row>
        <row r="66">
          <cell r="F66">
            <v>0</v>
          </cell>
          <cell r="G66">
            <v>0</v>
          </cell>
          <cell r="H66">
            <v>0</v>
          </cell>
          <cell r="I66">
            <v>0</v>
          </cell>
          <cell r="J66">
            <v>0</v>
          </cell>
          <cell r="K66">
            <v>0</v>
          </cell>
        </row>
        <row r="67">
          <cell r="F67">
            <v>0</v>
          </cell>
          <cell r="G67">
            <v>0</v>
          </cell>
          <cell r="H67">
            <v>0</v>
          </cell>
          <cell r="I67">
            <v>0</v>
          </cell>
          <cell r="J67">
            <v>0</v>
          </cell>
          <cell r="K67">
            <v>0</v>
          </cell>
        </row>
        <row r="68">
          <cell r="F68">
            <v>0</v>
          </cell>
          <cell r="G68">
            <v>0</v>
          </cell>
          <cell r="H68">
            <v>0</v>
          </cell>
          <cell r="I68">
            <v>0</v>
          </cell>
          <cell r="J68">
            <v>0</v>
          </cell>
          <cell r="K68">
            <v>0</v>
          </cell>
        </row>
        <row r="69">
          <cell r="F69">
            <v>0</v>
          </cell>
          <cell r="G69">
            <v>0</v>
          </cell>
          <cell r="H69">
            <v>0</v>
          </cell>
          <cell r="I69">
            <v>0</v>
          </cell>
          <cell r="J69">
            <v>0</v>
          </cell>
          <cell r="K69">
            <v>0</v>
          </cell>
        </row>
        <row r="70">
          <cell r="F70">
            <v>0</v>
          </cell>
          <cell r="G70">
            <v>0</v>
          </cell>
          <cell r="H70">
            <v>0</v>
          </cell>
          <cell r="I70">
            <v>0</v>
          </cell>
          <cell r="J70">
            <v>0</v>
          </cell>
          <cell r="K70">
            <v>0</v>
          </cell>
        </row>
        <row r="71">
          <cell r="F71">
            <v>0</v>
          </cell>
          <cell r="G71">
            <v>0</v>
          </cell>
          <cell r="H71">
            <v>0</v>
          </cell>
          <cell r="I71">
            <v>0</v>
          </cell>
          <cell r="J71">
            <v>0</v>
          </cell>
          <cell r="K71">
            <v>0</v>
          </cell>
        </row>
        <row r="72">
          <cell r="F72">
            <v>0</v>
          </cell>
          <cell r="G72">
            <v>0</v>
          </cell>
          <cell r="H72">
            <v>0</v>
          </cell>
          <cell r="I72">
            <v>0</v>
          </cell>
          <cell r="J72">
            <v>0</v>
          </cell>
          <cell r="K72">
            <v>0</v>
          </cell>
        </row>
        <row r="73">
          <cell r="F73">
            <v>715102</v>
          </cell>
          <cell r="G73">
            <v>0</v>
          </cell>
          <cell r="H73">
            <v>715102</v>
          </cell>
          <cell r="I73">
            <v>0</v>
          </cell>
          <cell r="J73">
            <v>715102</v>
          </cell>
          <cell r="K73">
            <v>368506</v>
          </cell>
        </row>
        <row r="75">
          <cell r="F75">
            <v>0</v>
          </cell>
          <cell r="G75">
            <v>0</v>
          </cell>
          <cell r="H75">
            <v>0</v>
          </cell>
          <cell r="I75">
            <v>0</v>
          </cell>
          <cell r="J75">
            <v>0</v>
          </cell>
          <cell r="K75">
            <v>0</v>
          </cell>
        </row>
        <row r="77">
          <cell r="F77">
            <v>0</v>
          </cell>
          <cell r="G77">
            <v>0</v>
          </cell>
          <cell r="H77">
            <v>0</v>
          </cell>
          <cell r="I77">
            <v>0</v>
          </cell>
          <cell r="J77">
            <v>0</v>
          </cell>
          <cell r="K77">
            <v>0</v>
          </cell>
        </row>
        <row r="79">
          <cell r="F79">
            <v>58</v>
          </cell>
          <cell r="G79">
            <v>0</v>
          </cell>
          <cell r="H79">
            <v>58</v>
          </cell>
          <cell r="I79">
            <v>0</v>
          </cell>
          <cell r="J79">
            <v>58</v>
          </cell>
          <cell r="K79">
            <v>55</v>
          </cell>
        </row>
        <row r="80">
          <cell r="F80">
            <v>5</v>
          </cell>
          <cell r="G80">
            <v>0</v>
          </cell>
          <cell r="H80">
            <v>5</v>
          </cell>
          <cell r="I80">
            <v>0</v>
          </cell>
          <cell r="J80">
            <v>5</v>
          </cell>
          <cell r="K80">
            <v>459</v>
          </cell>
        </row>
        <row r="81">
          <cell r="F81">
            <v>29</v>
          </cell>
          <cell r="G81">
            <v>0</v>
          </cell>
          <cell r="H81">
            <v>29</v>
          </cell>
          <cell r="I81">
            <v>0</v>
          </cell>
          <cell r="J81">
            <v>29</v>
          </cell>
          <cell r="K81">
            <v>30</v>
          </cell>
        </row>
        <row r="82">
          <cell r="F82">
            <v>18</v>
          </cell>
          <cell r="G82">
            <v>0</v>
          </cell>
          <cell r="H82">
            <v>18</v>
          </cell>
          <cell r="I82">
            <v>0</v>
          </cell>
          <cell r="J82">
            <v>18</v>
          </cell>
          <cell r="K82">
            <v>7</v>
          </cell>
        </row>
        <row r="83">
          <cell r="F83">
            <v>65</v>
          </cell>
          <cell r="G83">
            <v>0</v>
          </cell>
          <cell r="H83">
            <v>65</v>
          </cell>
          <cell r="I83">
            <v>0</v>
          </cell>
          <cell r="J83">
            <v>65</v>
          </cell>
          <cell r="K83">
            <v>36</v>
          </cell>
        </row>
        <row r="84">
          <cell r="F84">
            <v>705</v>
          </cell>
          <cell r="G84">
            <v>0</v>
          </cell>
          <cell r="H84">
            <v>705</v>
          </cell>
          <cell r="I84">
            <v>0</v>
          </cell>
          <cell r="J84">
            <v>705</v>
          </cell>
          <cell r="K84">
            <v>2</v>
          </cell>
        </row>
        <row r="85">
          <cell r="F85">
            <v>8209</v>
          </cell>
          <cell r="G85">
            <v>0</v>
          </cell>
          <cell r="H85">
            <v>8209</v>
          </cell>
          <cell r="I85">
            <v>0</v>
          </cell>
          <cell r="J85">
            <v>8209</v>
          </cell>
          <cell r="K85">
            <v>9114</v>
          </cell>
        </row>
        <row r="86">
          <cell r="F86">
            <v>16</v>
          </cell>
          <cell r="G86">
            <v>0</v>
          </cell>
          <cell r="H86">
            <v>16</v>
          </cell>
          <cell r="I86">
            <v>0</v>
          </cell>
          <cell r="J86">
            <v>16</v>
          </cell>
          <cell r="K86">
            <v>14</v>
          </cell>
        </row>
        <row r="87">
          <cell r="F87">
            <v>0</v>
          </cell>
          <cell r="G87">
            <v>0</v>
          </cell>
          <cell r="H87">
            <v>0</v>
          </cell>
          <cell r="I87">
            <v>0</v>
          </cell>
          <cell r="J87">
            <v>0</v>
          </cell>
          <cell r="K87">
            <v>1205</v>
          </cell>
        </row>
        <row r="88">
          <cell r="F88">
            <v>22323</v>
          </cell>
          <cell r="G88">
            <v>0</v>
          </cell>
          <cell r="H88">
            <v>22323</v>
          </cell>
          <cell r="I88">
            <v>0</v>
          </cell>
          <cell r="J88">
            <v>22323</v>
          </cell>
          <cell r="K88">
            <v>18544</v>
          </cell>
        </row>
        <row r="89">
          <cell r="F89">
            <v>0</v>
          </cell>
          <cell r="G89">
            <v>0</v>
          </cell>
          <cell r="H89">
            <v>0</v>
          </cell>
          <cell r="I89">
            <v>0</v>
          </cell>
          <cell r="J89">
            <v>0</v>
          </cell>
          <cell r="K89">
            <v>0</v>
          </cell>
        </row>
        <row r="90">
          <cell r="F90">
            <v>0</v>
          </cell>
          <cell r="G90">
            <v>0</v>
          </cell>
          <cell r="H90">
            <v>0</v>
          </cell>
          <cell r="I90">
            <v>0</v>
          </cell>
          <cell r="J90">
            <v>0</v>
          </cell>
          <cell r="K90">
            <v>0</v>
          </cell>
        </row>
        <row r="91">
          <cell r="F91">
            <v>0</v>
          </cell>
          <cell r="G91">
            <v>0</v>
          </cell>
          <cell r="H91">
            <v>0</v>
          </cell>
          <cell r="I91">
            <v>0</v>
          </cell>
          <cell r="J91">
            <v>0</v>
          </cell>
          <cell r="K91">
            <v>0</v>
          </cell>
        </row>
        <row r="92">
          <cell r="F92">
            <v>0</v>
          </cell>
          <cell r="G92">
            <v>0</v>
          </cell>
          <cell r="H92">
            <v>0</v>
          </cell>
          <cell r="I92">
            <v>0</v>
          </cell>
          <cell r="J92">
            <v>0</v>
          </cell>
          <cell r="K92">
            <v>0</v>
          </cell>
        </row>
        <row r="93">
          <cell r="F93">
            <v>0</v>
          </cell>
          <cell r="G93">
            <v>0</v>
          </cell>
          <cell r="H93">
            <v>0</v>
          </cell>
          <cell r="I93">
            <v>0</v>
          </cell>
          <cell r="J93">
            <v>0</v>
          </cell>
          <cell r="K93">
            <v>0</v>
          </cell>
        </row>
        <row r="94">
          <cell r="F94">
            <v>0</v>
          </cell>
          <cell r="G94">
            <v>0</v>
          </cell>
          <cell r="H94">
            <v>0</v>
          </cell>
          <cell r="I94">
            <v>0</v>
          </cell>
          <cell r="J94">
            <v>0</v>
          </cell>
          <cell r="K94">
            <v>0</v>
          </cell>
        </row>
        <row r="95">
          <cell r="F95">
            <v>0</v>
          </cell>
          <cell r="G95">
            <v>0</v>
          </cell>
          <cell r="H95">
            <v>0</v>
          </cell>
          <cell r="I95">
            <v>0</v>
          </cell>
          <cell r="J95">
            <v>0</v>
          </cell>
          <cell r="K95">
            <v>0</v>
          </cell>
        </row>
        <row r="96">
          <cell r="F96">
            <v>0</v>
          </cell>
          <cell r="G96">
            <v>0</v>
          </cell>
          <cell r="H96">
            <v>0</v>
          </cell>
          <cell r="I96">
            <v>0</v>
          </cell>
          <cell r="J96">
            <v>0</v>
          </cell>
          <cell r="K96">
            <v>0</v>
          </cell>
        </row>
        <row r="97">
          <cell r="F97">
            <v>0</v>
          </cell>
          <cell r="G97">
            <v>0</v>
          </cell>
          <cell r="H97">
            <v>0</v>
          </cell>
          <cell r="I97">
            <v>0</v>
          </cell>
          <cell r="J97">
            <v>0</v>
          </cell>
          <cell r="K97">
            <v>0</v>
          </cell>
        </row>
        <row r="98">
          <cell r="F98">
            <v>0</v>
          </cell>
          <cell r="G98">
            <v>0</v>
          </cell>
          <cell r="H98">
            <v>0</v>
          </cell>
          <cell r="I98">
            <v>0</v>
          </cell>
          <cell r="J98">
            <v>0</v>
          </cell>
          <cell r="K98">
            <v>0</v>
          </cell>
        </row>
        <row r="99">
          <cell r="F99">
            <v>0</v>
          </cell>
          <cell r="G99">
            <v>0</v>
          </cell>
          <cell r="H99">
            <v>0</v>
          </cell>
          <cell r="I99">
            <v>0</v>
          </cell>
          <cell r="J99">
            <v>0</v>
          </cell>
          <cell r="K99">
            <v>0</v>
          </cell>
        </row>
        <row r="100">
          <cell r="F100">
            <v>0</v>
          </cell>
          <cell r="G100">
            <v>0</v>
          </cell>
          <cell r="H100">
            <v>0</v>
          </cell>
          <cell r="I100">
            <v>0</v>
          </cell>
          <cell r="J100">
            <v>0</v>
          </cell>
          <cell r="K100">
            <v>0</v>
          </cell>
        </row>
        <row r="101">
          <cell r="F101">
            <v>0</v>
          </cell>
          <cell r="G101">
            <v>0</v>
          </cell>
          <cell r="H101">
            <v>0</v>
          </cell>
          <cell r="I101">
            <v>0</v>
          </cell>
          <cell r="J101">
            <v>0</v>
          </cell>
          <cell r="K101">
            <v>0</v>
          </cell>
        </row>
        <row r="102">
          <cell r="F102">
            <v>0</v>
          </cell>
          <cell r="G102">
            <v>0</v>
          </cell>
          <cell r="H102">
            <v>0</v>
          </cell>
          <cell r="I102">
            <v>0</v>
          </cell>
          <cell r="J102">
            <v>0</v>
          </cell>
          <cell r="K102">
            <v>0</v>
          </cell>
        </row>
        <row r="103">
          <cell r="F103">
            <v>0</v>
          </cell>
          <cell r="G103">
            <v>0</v>
          </cell>
          <cell r="H103">
            <v>0</v>
          </cell>
          <cell r="I103">
            <v>0</v>
          </cell>
          <cell r="J103">
            <v>0</v>
          </cell>
          <cell r="K103">
            <v>0</v>
          </cell>
        </row>
        <row r="104">
          <cell r="F104">
            <v>0</v>
          </cell>
          <cell r="G104">
            <v>0</v>
          </cell>
          <cell r="H104">
            <v>0</v>
          </cell>
          <cell r="I104">
            <v>0</v>
          </cell>
          <cell r="J104">
            <v>0</v>
          </cell>
          <cell r="K104">
            <v>0</v>
          </cell>
        </row>
        <row r="105">
          <cell r="F105">
            <v>0</v>
          </cell>
          <cell r="G105">
            <v>0</v>
          </cell>
          <cell r="H105">
            <v>0</v>
          </cell>
          <cell r="I105">
            <v>0</v>
          </cell>
          <cell r="J105">
            <v>0</v>
          </cell>
          <cell r="K105">
            <v>0</v>
          </cell>
        </row>
        <row r="106">
          <cell r="F106">
            <v>0</v>
          </cell>
          <cell r="G106">
            <v>0</v>
          </cell>
          <cell r="H106">
            <v>0</v>
          </cell>
          <cell r="I106">
            <v>0</v>
          </cell>
          <cell r="J106">
            <v>0</v>
          </cell>
          <cell r="K106">
            <v>0</v>
          </cell>
        </row>
        <row r="107">
          <cell r="F107">
            <v>0</v>
          </cell>
          <cell r="G107">
            <v>0</v>
          </cell>
          <cell r="H107">
            <v>0</v>
          </cell>
          <cell r="I107">
            <v>0</v>
          </cell>
          <cell r="J107">
            <v>0</v>
          </cell>
          <cell r="K107">
            <v>0</v>
          </cell>
        </row>
        <row r="108">
          <cell r="F108">
            <v>0</v>
          </cell>
          <cell r="G108">
            <v>0</v>
          </cell>
          <cell r="H108">
            <v>0</v>
          </cell>
          <cell r="I108">
            <v>0</v>
          </cell>
          <cell r="J108">
            <v>0</v>
          </cell>
          <cell r="K108">
            <v>0</v>
          </cell>
        </row>
        <row r="109">
          <cell r="F109">
            <v>0</v>
          </cell>
          <cell r="G109">
            <v>0</v>
          </cell>
          <cell r="H109">
            <v>0</v>
          </cell>
          <cell r="I109">
            <v>0</v>
          </cell>
          <cell r="J109">
            <v>0</v>
          </cell>
          <cell r="K109">
            <v>0</v>
          </cell>
        </row>
        <row r="110">
          <cell r="F110">
            <v>0</v>
          </cell>
          <cell r="G110">
            <v>0</v>
          </cell>
          <cell r="H110">
            <v>0</v>
          </cell>
          <cell r="I110">
            <v>0</v>
          </cell>
          <cell r="J110">
            <v>0</v>
          </cell>
          <cell r="K110">
            <v>0</v>
          </cell>
        </row>
        <row r="111">
          <cell r="F111">
            <v>0</v>
          </cell>
          <cell r="G111">
            <v>0</v>
          </cell>
          <cell r="H111">
            <v>0</v>
          </cell>
          <cell r="I111">
            <v>0</v>
          </cell>
          <cell r="J111">
            <v>0</v>
          </cell>
          <cell r="K111">
            <v>0</v>
          </cell>
        </row>
        <row r="112">
          <cell r="F112">
            <v>0</v>
          </cell>
          <cell r="G112">
            <v>0</v>
          </cell>
          <cell r="H112">
            <v>0</v>
          </cell>
          <cell r="I112">
            <v>0</v>
          </cell>
          <cell r="J112">
            <v>0</v>
          </cell>
          <cell r="K112">
            <v>0</v>
          </cell>
        </row>
        <row r="113">
          <cell r="F113">
            <v>0</v>
          </cell>
          <cell r="G113">
            <v>0</v>
          </cell>
          <cell r="H113">
            <v>0</v>
          </cell>
          <cell r="I113">
            <v>0</v>
          </cell>
          <cell r="J113">
            <v>0</v>
          </cell>
          <cell r="K113">
            <v>0</v>
          </cell>
        </row>
        <row r="114">
          <cell r="F114">
            <v>31428</v>
          </cell>
          <cell r="G114">
            <v>0</v>
          </cell>
          <cell r="H114">
            <v>31428</v>
          </cell>
          <cell r="I114">
            <v>0</v>
          </cell>
          <cell r="J114">
            <v>31428</v>
          </cell>
          <cell r="K114">
            <v>29466</v>
          </cell>
        </row>
        <row r="116">
          <cell r="F116">
            <v>0</v>
          </cell>
          <cell r="G116">
            <v>0</v>
          </cell>
          <cell r="H116">
            <v>0</v>
          </cell>
          <cell r="I116">
            <v>0</v>
          </cell>
          <cell r="J116">
            <v>0</v>
          </cell>
          <cell r="K116">
            <v>0</v>
          </cell>
        </row>
        <row r="117">
          <cell r="F117">
            <v>28014</v>
          </cell>
          <cell r="G117">
            <v>0</v>
          </cell>
          <cell r="H117">
            <v>28014</v>
          </cell>
          <cell r="I117">
            <v>0</v>
          </cell>
          <cell r="J117">
            <v>28014</v>
          </cell>
          <cell r="K117">
            <v>24753</v>
          </cell>
        </row>
        <row r="118">
          <cell r="F118">
            <v>-28014</v>
          </cell>
          <cell r="G118">
            <v>0</v>
          </cell>
          <cell r="H118">
            <v>-28014</v>
          </cell>
          <cell r="I118">
            <v>0</v>
          </cell>
          <cell r="J118">
            <v>-28014</v>
          </cell>
          <cell r="K118">
            <v>-24753</v>
          </cell>
        </row>
        <row r="119">
          <cell r="F119">
            <v>0</v>
          </cell>
          <cell r="G119">
            <v>0</v>
          </cell>
          <cell r="H119">
            <v>0</v>
          </cell>
          <cell r="I119">
            <v>0</v>
          </cell>
          <cell r="J119">
            <v>0</v>
          </cell>
          <cell r="K119">
            <v>0</v>
          </cell>
        </row>
        <row r="120">
          <cell r="F120">
            <v>0</v>
          </cell>
          <cell r="G120">
            <v>0</v>
          </cell>
          <cell r="H120">
            <v>0</v>
          </cell>
          <cell r="I120">
            <v>0</v>
          </cell>
          <cell r="J120">
            <v>0</v>
          </cell>
          <cell r="K120">
            <v>0</v>
          </cell>
        </row>
        <row r="121">
          <cell r="F121">
            <v>0</v>
          </cell>
          <cell r="G121">
            <v>0</v>
          </cell>
          <cell r="H121">
            <v>0</v>
          </cell>
          <cell r="I121">
            <v>0</v>
          </cell>
          <cell r="J121">
            <v>0</v>
          </cell>
          <cell r="K121">
            <v>0</v>
          </cell>
        </row>
        <row r="122">
          <cell r="F122">
            <v>0</v>
          </cell>
          <cell r="G122">
            <v>0</v>
          </cell>
          <cell r="H122">
            <v>0</v>
          </cell>
          <cell r="I122">
            <v>0</v>
          </cell>
          <cell r="J122">
            <v>0</v>
          </cell>
          <cell r="K122">
            <v>0</v>
          </cell>
        </row>
        <row r="123">
          <cell r="F123">
            <v>0</v>
          </cell>
          <cell r="G123">
            <v>0</v>
          </cell>
          <cell r="H123">
            <v>0</v>
          </cell>
          <cell r="I123">
            <v>0</v>
          </cell>
          <cell r="J123">
            <v>0</v>
          </cell>
          <cell r="K123">
            <v>0</v>
          </cell>
        </row>
        <row r="125">
          <cell r="F125">
            <v>136</v>
          </cell>
          <cell r="G125">
            <v>0</v>
          </cell>
          <cell r="H125">
            <v>136</v>
          </cell>
          <cell r="I125">
            <v>0</v>
          </cell>
          <cell r="J125">
            <v>136</v>
          </cell>
          <cell r="K125">
            <v>0</v>
          </cell>
        </row>
        <row r="126">
          <cell r="F126">
            <v>3927</v>
          </cell>
          <cell r="G126">
            <v>0</v>
          </cell>
          <cell r="H126">
            <v>3927</v>
          </cell>
          <cell r="I126">
            <v>0</v>
          </cell>
          <cell r="J126">
            <v>3927</v>
          </cell>
          <cell r="K126">
            <v>3927</v>
          </cell>
        </row>
        <row r="127">
          <cell r="F127">
            <v>0</v>
          </cell>
          <cell r="G127">
            <v>0</v>
          </cell>
          <cell r="H127">
            <v>0</v>
          </cell>
          <cell r="I127">
            <v>0</v>
          </cell>
          <cell r="J127">
            <v>0</v>
          </cell>
          <cell r="K127">
            <v>0</v>
          </cell>
        </row>
        <row r="128">
          <cell r="F128">
            <v>0</v>
          </cell>
          <cell r="G128">
            <v>0</v>
          </cell>
          <cell r="H128">
            <v>0</v>
          </cell>
          <cell r="I128">
            <v>0</v>
          </cell>
          <cell r="J128">
            <v>0</v>
          </cell>
          <cell r="K128">
            <v>0</v>
          </cell>
        </row>
        <row r="129">
          <cell r="F129">
            <v>0</v>
          </cell>
          <cell r="G129">
            <v>0</v>
          </cell>
          <cell r="H129">
            <v>0</v>
          </cell>
          <cell r="I129">
            <v>0</v>
          </cell>
          <cell r="J129">
            <v>0</v>
          </cell>
          <cell r="K129">
            <v>0</v>
          </cell>
        </row>
        <row r="130">
          <cell r="F130">
            <v>0</v>
          </cell>
          <cell r="G130">
            <v>0</v>
          </cell>
          <cell r="H130">
            <v>0</v>
          </cell>
          <cell r="I130">
            <v>0</v>
          </cell>
          <cell r="J130">
            <v>0</v>
          </cell>
          <cell r="K130">
            <v>0</v>
          </cell>
        </row>
        <row r="131">
          <cell r="F131">
            <v>0</v>
          </cell>
          <cell r="G131">
            <v>0</v>
          </cell>
          <cell r="H131">
            <v>0</v>
          </cell>
          <cell r="I131">
            <v>0</v>
          </cell>
          <cell r="J131">
            <v>0</v>
          </cell>
          <cell r="K131">
            <v>0</v>
          </cell>
        </row>
        <row r="132">
          <cell r="F132">
            <v>4063</v>
          </cell>
          <cell r="G132">
            <v>0</v>
          </cell>
          <cell r="H132">
            <v>4063</v>
          </cell>
          <cell r="I132">
            <v>0</v>
          </cell>
          <cell r="J132">
            <v>4063</v>
          </cell>
          <cell r="K132">
            <v>3927</v>
          </cell>
        </row>
        <row r="134">
          <cell r="F134">
            <v>2500</v>
          </cell>
          <cell r="G134">
            <v>0</v>
          </cell>
          <cell r="H134">
            <v>2500</v>
          </cell>
          <cell r="I134">
            <v>0</v>
          </cell>
          <cell r="J134">
            <v>2500</v>
          </cell>
          <cell r="K134">
            <v>2500</v>
          </cell>
        </row>
        <row r="135">
          <cell r="F135">
            <v>125</v>
          </cell>
          <cell r="G135">
            <v>0</v>
          </cell>
          <cell r="H135">
            <v>125</v>
          </cell>
          <cell r="I135">
            <v>0</v>
          </cell>
          <cell r="J135">
            <v>125</v>
          </cell>
          <cell r="K135">
            <v>125</v>
          </cell>
        </row>
        <row r="136">
          <cell r="F136">
            <v>0</v>
          </cell>
          <cell r="G136">
            <v>0</v>
          </cell>
          <cell r="H136">
            <v>0</v>
          </cell>
          <cell r="I136">
            <v>0</v>
          </cell>
          <cell r="J136">
            <v>0</v>
          </cell>
          <cell r="K136">
            <v>0</v>
          </cell>
        </row>
        <row r="137">
          <cell r="F137">
            <v>0</v>
          </cell>
          <cell r="G137">
            <v>0</v>
          </cell>
          <cell r="H137">
            <v>0</v>
          </cell>
          <cell r="I137">
            <v>0</v>
          </cell>
          <cell r="J137">
            <v>0</v>
          </cell>
          <cell r="K137">
            <v>0</v>
          </cell>
        </row>
        <row r="138">
          <cell r="F138">
            <v>2625</v>
          </cell>
          <cell r="G138">
            <v>0</v>
          </cell>
          <cell r="H138">
            <v>2625</v>
          </cell>
          <cell r="I138">
            <v>0</v>
          </cell>
          <cell r="J138">
            <v>2625</v>
          </cell>
          <cell r="K138">
            <v>2625</v>
          </cell>
        </row>
        <row r="140">
          <cell r="F140">
            <v>200</v>
          </cell>
          <cell r="G140">
            <v>0</v>
          </cell>
          <cell r="H140">
            <v>200</v>
          </cell>
          <cell r="I140">
            <v>0</v>
          </cell>
          <cell r="J140">
            <v>200</v>
          </cell>
          <cell r="K140">
            <v>200</v>
          </cell>
        </row>
        <row r="141">
          <cell r="F141">
            <v>0</v>
          </cell>
          <cell r="G141">
            <v>0</v>
          </cell>
          <cell r="H141">
            <v>0</v>
          </cell>
          <cell r="I141">
            <v>0</v>
          </cell>
          <cell r="J141">
            <v>0</v>
          </cell>
          <cell r="K141">
            <v>0</v>
          </cell>
        </row>
        <row r="142">
          <cell r="F142">
            <v>200</v>
          </cell>
          <cell r="G142">
            <v>0</v>
          </cell>
          <cell r="H142">
            <v>200</v>
          </cell>
          <cell r="I142">
            <v>0</v>
          </cell>
          <cell r="J142">
            <v>200</v>
          </cell>
          <cell r="K142">
            <v>200</v>
          </cell>
        </row>
        <row r="144">
          <cell r="F144">
            <v>1603</v>
          </cell>
          <cell r="G144">
            <v>0</v>
          </cell>
          <cell r="H144">
            <v>1603</v>
          </cell>
          <cell r="I144">
            <v>0</v>
          </cell>
          <cell r="J144">
            <v>1603</v>
          </cell>
          <cell r="K144">
            <v>1603</v>
          </cell>
        </row>
        <row r="145">
          <cell r="F145">
            <v>0</v>
          </cell>
          <cell r="G145">
            <v>0</v>
          </cell>
          <cell r="H145">
            <v>0</v>
          </cell>
          <cell r="I145">
            <v>0</v>
          </cell>
          <cell r="J145">
            <v>0</v>
          </cell>
          <cell r="K145">
            <v>0</v>
          </cell>
        </row>
        <row r="146">
          <cell r="F146">
            <v>1603</v>
          </cell>
          <cell r="G146">
            <v>0</v>
          </cell>
          <cell r="H146">
            <v>1603</v>
          </cell>
          <cell r="I146">
            <v>0</v>
          </cell>
          <cell r="J146">
            <v>1603</v>
          </cell>
          <cell r="K146">
            <v>1603</v>
          </cell>
        </row>
        <row r="148">
          <cell r="F148">
            <v>6</v>
          </cell>
          <cell r="G148">
            <v>0</v>
          </cell>
          <cell r="H148">
            <v>6</v>
          </cell>
          <cell r="I148">
            <v>0</v>
          </cell>
          <cell r="J148">
            <v>6</v>
          </cell>
          <cell r="K148">
            <v>6</v>
          </cell>
        </row>
        <row r="149">
          <cell r="F149">
            <v>8</v>
          </cell>
          <cell r="G149">
            <v>0</v>
          </cell>
          <cell r="H149">
            <v>8</v>
          </cell>
          <cell r="I149">
            <v>0</v>
          </cell>
          <cell r="J149">
            <v>8</v>
          </cell>
          <cell r="K149">
            <v>99</v>
          </cell>
        </row>
        <row r="150">
          <cell r="F150">
            <v>45</v>
          </cell>
          <cell r="G150">
            <v>0</v>
          </cell>
          <cell r="H150">
            <v>45</v>
          </cell>
          <cell r="I150">
            <v>0</v>
          </cell>
          <cell r="J150">
            <v>45</v>
          </cell>
          <cell r="K150">
            <v>0</v>
          </cell>
        </row>
        <row r="151">
          <cell r="F151">
            <v>672</v>
          </cell>
          <cell r="G151">
            <v>0</v>
          </cell>
          <cell r="H151">
            <v>672</v>
          </cell>
          <cell r="I151">
            <v>0</v>
          </cell>
          <cell r="J151">
            <v>672</v>
          </cell>
          <cell r="K151">
            <v>0</v>
          </cell>
        </row>
        <row r="152">
          <cell r="F152">
            <v>0</v>
          </cell>
          <cell r="G152">
            <v>0</v>
          </cell>
          <cell r="H152">
            <v>0</v>
          </cell>
          <cell r="I152">
            <v>0</v>
          </cell>
          <cell r="J152">
            <v>0</v>
          </cell>
          <cell r="K152">
            <v>0</v>
          </cell>
        </row>
        <row r="153">
          <cell r="F153">
            <v>0</v>
          </cell>
          <cell r="G153">
            <v>0</v>
          </cell>
          <cell r="H153">
            <v>0</v>
          </cell>
          <cell r="I153">
            <v>0</v>
          </cell>
          <cell r="J153">
            <v>0</v>
          </cell>
          <cell r="K153">
            <v>0</v>
          </cell>
        </row>
        <row r="154">
          <cell r="F154">
            <v>731</v>
          </cell>
          <cell r="G154">
            <v>0</v>
          </cell>
          <cell r="H154">
            <v>731</v>
          </cell>
          <cell r="I154">
            <v>0</v>
          </cell>
          <cell r="J154">
            <v>731</v>
          </cell>
          <cell r="K154">
            <v>105</v>
          </cell>
        </row>
        <row r="156">
          <cell r="F156">
            <v>0</v>
          </cell>
          <cell r="G156">
            <v>0</v>
          </cell>
          <cell r="H156">
            <v>0</v>
          </cell>
          <cell r="I156">
            <v>0</v>
          </cell>
          <cell r="J156">
            <v>0</v>
          </cell>
          <cell r="K156">
            <v>0</v>
          </cell>
        </row>
        <row r="158">
          <cell r="F158">
            <v>0</v>
          </cell>
          <cell r="G158">
            <v>0</v>
          </cell>
          <cell r="H158">
            <v>0</v>
          </cell>
          <cell r="I158">
            <v>0</v>
          </cell>
          <cell r="J158">
            <v>0</v>
          </cell>
          <cell r="K158">
            <v>0</v>
          </cell>
        </row>
        <row r="159">
          <cell r="F159">
            <v>0</v>
          </cell>
          <cell r="G159">
            <v>0</v>
          </cell>
          <cell r="H159">
            <v>0</v>
          </cell>
          <cell r="I159">
            <v>0</v>
          </cell>
          <cell r="J159">
            <v>0</v>
          </cell>
          <cell r="K159">
            <v>0</v>
          </cell>
        </row>
        <row r="160">
          <cell r="F160">
            <v>0</v>
          </cell>
          <cell r="G160">
            <v>0</v>
          </cell>
          <cell r="H160">
            <v>0</v>
          </cell>
          <cell r="I160">
            <v>0</v>
          </cell>
          <cell r="J160">
            <v>0</v>
          </cell>
          <cell r="K160">
            <v>0</v>
          </cell>
        </row>
        <row r="161">
          <cell r="F161">
            <v>0</v>
          </cell>
          <cell r="G161">
            <v>0</v>
          </cell>
          <cell r="H161">
            <v>0</v>
          </cell>
          <cell r="I161">
            <v>0</v>
          </cell>
          <cell r="J161">
            <v>0</v>
          </cell>
          <cell r="K161">
            <v>0</v>
          </cell>
        </row>
        <row r="162">
          <cell r="F162">
            <v>-1306</v>
          </cell>
          <cell r="G162">
            <v>0</v>
          </cell>
          <cell r="H162">
            <v>-1306</v>
          </cell>
          <cell r="I162">
            <v>0</v>
          </cell>
          <cell r="J162">
            <v>-1306</v>
          </cell>
          <cell r="K162">
            <v>-1243</v>
          </cell>
        </row>
        <row r="163">
          <cell r="F163">
            <v>-196</v>
          </cell>
          <cell r="G163">
            <v>0</v>
          </cell>
          <cell r="H163">
            <v>-196</v>
          </cell>
          <cell r="I163">
            <v>0</v>
          </cell>
          <cell r="J163">
            <v>-196</v>
          </cell>
          <cell r="K163">
            <v>-199</v>
          </cell>
        </row>
        <row r="164">
          <cell r="F164">
            <v>-1502</v>
          </cell>
          <cell r="G164">
            <v>0</v>
          </cell>
          <cell r="H164">
            <v>-1502</v>
          </cell>
          <cell r="I164">
            <v>0</v>
          </cell>
          <cell r="J164">
            <v>-1502</v>
          </cell>
          <cell r="K164">
            <v>-1442</v>
          </cell>
        </row>
        <row r="166">
          <cell r="F166">
            <v>0</v>
          </cell>
          <cell r="G166">
            <v>0</v>
          </cell>
          <cell r="H166">
            <v>0</v>
          </cell>
          <cell r="I166">
            <v>0</v>
          </cell>
          <cell r="J166">
            <v>0</v>
          </cell>
          <cell r="K166">
            <v>0</v>
          </cell>
        </row>
        <row r="167">
          <cell r="F167">
            <v>-146</v>
          </cell>
          <cell r="G167">
            <v>0</v>
          </cell>
          <cell r="H167">
            <v>-146</v>
          </cell>
          <cell r="I167">
            <v>0</v>
          </cell>
          <cell r="J167">
            <v>-146</v>
          </cell>
          <cell r="K167">
            <v>-140</v>
          </cell>
        </row>
        <row r="168">
          <cell r="F168">
            <v>-26</v>
          </cell>
          <cell r="G168">
            <v>0</v>
          </cell>
          <cell r="H168">
            <v>-26</v>
          </cell>
          <cell r="I168">
            <v>0</v>
          </cell>
          <cell r="J168">
            <v>-26</v>
          </cell>
          <cell r="K168">
            <v>-27</v>
          </cell>
        </row>
        <row r="169">
          <cell r="F169">
            <v>-172</v>
          </cell>
          <cell r="G169">
            <v>0</v>
          </cell>
          <cell r="H169">
            <v>-172</v>
          </cell>
          <cell r="I169">
            <v>0</v>
          </cell>
          <cell r="J169">
            <v>-172</v>
          </cell>
          <cell r="K169">
            <v>-167</v>
          </cell>
        </row>
        <row r="171">
          <cell r="F171">
            <v>0</v>
          </cell>
          <cell r="G171">
            <v>0</v>
          </cell>
          <cell r="H171">
            <v>0</v>
          </cell>
          <cell r="I171">
            <v>0</v>
          </cell>
          <cell r="J171">
            <v>0</v>
          </cell>
          <cell r="K171">
            <v>0</v>
          </cell>
        </row>
        <row r="172">
          <cell r="F172">
            <v>-384</v>
          </cell>
          <cell r="G172">
            <v>0</v>
          </cell>
          <cell r="H172">
            <v>-384</v>
          </cell>
          <cell r="I172">
            <v>0</v>
          </cell>
          <cell r="J172">
            <v>-384</v>
          </cell>
          <cell r="K172">
            <v>-757</v>
          </cell>
        </row>
        <row r="173">
          <cell r="F173">
            <v>-384</v>
          </cell>
          <cell r="G173">
            <v>0</v>
          </cell>
          <cell r="H173">
            <v>-384</v>
          </cell>
          <cell r="I173">
            <v>0</v>
          </cell>
          <cell r="J173">
            <v>-384</v>
          </cell>
          <cell r="K173">
            <v>-757</v>
          </cell>
        </row>
        <row r="175">
          <cell r="F175">
            <v>0</v>
          </cell>
          <cell r="G175">
            <v>0</v>
          </cell>
          <cell r="H175">
            <v>0</v>
          </cell>
          <cell r="I175">
            <v>0</v>
          </cell>
          <cell r="J175">
            <v>0</v>
          </cell>
          <cell r="K175">
            <v>0</v>
          </cell>
        </row>
        <row r="176">
          <cell r="F176">
            <v>0</v>
          </cell>
          <cell r="G176">
            <v>0</v>
          </cell>
          <cell r="H176">
            <v>0</v>
          </cell>
          <cell r="I176">
            <v>0</v>
          </cell>
          <cell r="J176">
            <v>0</v>
          </cell>
          <cell r="K176">
            <v>0</v>
          </cell>
        </row>
        <row r="177">
          <cell r="F177">
            <v>0</v>
          </cell>
          <cell r="G177">
            <v>0</v>
          </cell>
          <cell r="H177">
            <v>0</v>
          </cell>
          <cell r="I177">
            <v>0</v>
          </cell>
          <cell r="J177">
            <v>0</v>
          </cell>
          <cell r="K177">
            <v>0</v>
          </cell>
        </row>
        <row r="178">
          <cell r="F178">
            <v>-47</v>
          </cell>
          <cell r="G178">
            <v>0</v>
          </cell>
          <cell r="H178">
            <v>-47</v>
          </cell>
          <cell r="I178">
            <v>0</v>
          </cell>
          <cell r="J178">
            <v>-47</v>
          </cell>
          <cell r="K178">
            <v>-1414</v>
          </cell>
        </row>
        <row r="179">
          <cell r="F179">
            <v>-47</v>
          </cell>
          <cell r="G179">
            <v>0</v>
          </cell>
          <cell r="H179">
            <v>-47</v>
          </cell>
          <cell r="I179">
            <v>0</v>
          </cell>
          <cell r="J179">
            <v>-47</v>
          </cell>
          <cell r="K179">
            <v>-1414</v>
          </cell>
        </row>
        <row r="181">
          <cell r="F181">
            <v>0</v>
          </cell>
          <cell r="G181">
            <v>0</v>
          </cell>
          <cell r="H181">
            <v>0</v>
          </cell>
          <cell r="I181">
            <v>0</v>
          </cell>
          <cell r="J181">
            <v>0</v>
          </cell>
          <cell r="K181">
            <v>0</v>
          </cell>
        </row>
        <row r="183">
          <cell r="F183">
            <v>0</v>
          </cell>
          <cell r="G183">
            <v>0</v>
          </cell>
          <cell r="H183">
            <v>0</v>
          </cell>
          <cell r="I183">
            <v>0</v>
          </cell>
          <cell r="J183">
            <v>0</v>
          </cell>
          <cell r="K183">
            <v>0</v>
          </cell>
        </row>
        <row r="184">
          <cell r="F184">
            <v>0</v>
          </cell>
          <cell r="G184">
            <v>0</v>
          </cell>
          <cell r="H184">
            <v>0</v>
          </cell>
          <cell r="I184">
            <v>0</v>
          </cell>
          <cell r="J184">
            <v>0</v>
          </cell>
          <cell r="K184">
            <v>0</v>
          </cell>
        </row>
        <row r="185">
          <cell r="F185">
            <v>0</v>
          </cell>
          <cell r="G185">
            <v>0</v>
          </cell>
          <cell r="H185">
            <v>0</v>
          </cell>
          <cell r="I185">
            <v>0</v>
          </cell>
          <cell r="J185">
            <v>0</v>
          </cell>
          <cell r="K185">
            <v>0</v>
          </cell>
        </row>
        <row r="186">
          <cell r="F186">
            <v>0</v>
          </cell>
          <cell r="G186">
            <v>0</v>
          </cell>
          <cell r="H186">
            <v>0</v>
          </cell>
          <cell r="I186">
            <v>0</v>
          </cell>
          <cell r="J186">
            <v>0</v>
          </cell>
          <cell r="K186">
            <v>0</v>
          </cell>
        </row>
        <row r="187">
          <cell r="F187">
            <v>0</v>
          </cell>
          <cell r="G187">
            <v>0</v>
          </cell>
          <cell r="H187">
            <v>0</v>
          </cell>
          <cell r="I187">
            <v>0</v>
          </cell>
          <cell r="J187">
            <v>0</v>
          </cell>
          <cell r="K187">
            <v>0</v>
          </cell>
        </row>
        <row r="188">
          <cell r="F188">
            <v>0</v>
          </cell>
          <cell r="G188">
            <v>0</v>
          </cell>
          <cell r="H188">
            <v>0</v>
          </cell>
          <cell r="I188">
            <v>0</v>
          </cell>
          <cell r="J188">
            <v>0</v>
          </cell>
          <cell r="K188">
            <v>0</v>
          </cell>
        </row>
        <row r="189">
          <cell r="F189">
            <v>0</v>
          </cell>
          <cell r="G189">
            <v>0</v>
          </cell>
          <cell r="H189">
            <v>0</v>
          </cell>
          <cell r="I189">
            <v>0</v>
          </cell>
          <cell r="J189">
            <v>0</v>
          </cell>
          <cell r="K189">
            <v>0</v>
          </cell>
        </row>
        <row r="190">
          <cell r="F190">
            <v>0</v>
          </cell>
          <cell r="G190">
            <v>0</v>
          </cell>
          <cell r="H190">
            <v>0</v>
          </cell>
          <cell r="I190">
            <v>0</v>
          </cell>
          <cell r="J190">
            <v>0</v>
          </cell>
          <cell r="K190">
            <v>0</v>
          </cell>
        </row>
        <row r="191">
          <cell r="F191">
            <v>0</v>
          </cell>
          <cell r="G191">
            <v>0</v>
          </cell>
          <cell r="H191">
            <v>0</v>
          </cell>
          <cell r="I191">
            <v>0</v>
          </cell>
          <cell r="J191">
            <v>0</v>
          </cell>
          <cell r="K191">
            <v>0</v>
          </cell>
        </row>
        <row r="192">
          <cell r="F192">
            <v>0</v>
          </cell>
          <cell r="G192">
            <v>0</v>
          </cell>
          <cell r="H192">
            <v>0</v>
          </cell>
          <cell r="I192">
            <v>0</v>
          </cell>
          <cell r="J192">
            <v>0</v>
          </cell>
          <cell r="K192">
            <v>0</v>
          </cell>
        </row>
        <row r="193">
          <cell r="F193">
            <v>0</v>
          </cell>
          <cell r="G193">
            <v>0</v>
          </cell>
          <cell r="H193">
            <v>0</v>
          </cell>
          <cell r="I193">
            <v>0</v>
          </cell>
          <cell r="J193">
            <v>0</v>
          </cell>
          <cell r="K193">
            <v>0</v>
          </cell>
        </row>
        <row r="194">
          <cell r="F194">
            <v>0</v>
          </cell>
          <cell r="G194">
            <v>0</v>
          </cell>
          <cell r="H194">
            <v>0</v>
          </cell>
          <cell r="I194">
            <v>0</v>
          </cell>
          <cell r="J194">
            <v>0</v>
          </cell>
          <cell r="K194">
            <v>0</v>
          </cell>
        </row>
        <row r="195">
          <cell r="F195">
            <v>0</v>
          </cell>
          <cell r="G195">
            <v>0</v>
          </cell>
          <cell r="H195">
            <v>0</v>
          </cell>
          <cell r="I195">
            <v>0</v>
          </cell>
          <cell r="J195">
            <v>0</v>
          </cell>
          <cell r="K195">
            <v>0</v>
          </cell>
        </row>
        <row r="196">
          <cell r="F196">
            <v>0</v>
          </cell>
          <cell r="G196">
            <v>0</v>
          </cell>
          <cell r="H196">
            <v>0</v>
          </cell>
          <cell r="I196">
            <v>0</v>
          </cell>
          <cell r="J196">
            <v>0</v>
          </cell>
          <cell r="K196">
            <v>0</v>
          </cell>
        </row>
        <row r="197">
          <cell r="F197">
            <v>0</v>
          </cell>
          <cell r="G197">
            <v>0</v>
          </cell>
          <cell r="H197">
            <v>0</v>
          </cell>
          <cell r="I197">
            <v>0</v>
          </cell>
          <cell r="J197">
            <v>0</v>
          </cell>
          <cell r="K197">
            <v>0</v>
          </cell>
        </row>
        <row r="198">
          <cell r="F198">
            <v>0</v>
          </cell>
          <cell r="G198">
            <v>0</v>
          </cell>
          <cell r="H198">
            <v>0</v>
          </cell>
          <cell r="I198">
            <v>0</v>
          </cell>
          <cell r="J198">
            <v>0</v>
          </cell>
          <cell r="K198">
            <v>0</v>
          </cell>
        </row>
        <row r="199">
          <cell r="F199">
            <v>0</v>
          </cell>
          <cell r="G199">
            <v>0</v>
          </cell>
          <cell r="H199">
            <v>0</v>
          </cell>
          <cell r="I199">
            <v>0</v>
          </cell>
          <cell r="J199">
            <v>0</v>
          </cell>
          <cell r="K199">
            <v>0</v>
          </cell>
        </row>
        <row r="200">
          <cell r="F200">
            <v>0</v>
          </cell>
          <cell r="G200">
            <v>0</v>
          </cell>
          <cell r="H200">
            <v>0</v>
          </cell>
          <cell r="I200">
            <v>0</v>
          </cell>
          <cell r="J200">
            <v>0</v>
          </cell>
          <cell r="K200">
            <v>0</v>
          </cell>
        </row>
        <row r="201">
          <cell r="F201">
            <v>0</v>
          </cell>
          <cell r="G201">
            <v>0</v>
          </cell>
          <cell r="H201">
            <v>0</v>
          </cell>
          <cell r="I201">
            <v>0</v>
          </cell>
          <cell r="J201">
            <v>0</v>
          </cell>
          <cell r="K201">
            <v>0</v>
          </cell>
        </row>
        <row r="202">
          <cell r="F202">
            <v>0</v>
          </cell>
          <cell r="G202">
            <v>0</v>
          </cell>
          <cell r="H202">
            <v>0</v>
          </cell>
          <cell r="I202">
            <v>0</v>
          </cell>
          <cell r="J202">
            <v>0</v>
          </cell>
          <cell r="K202">
            <v>0</v>
          </cell>
        </row>
        <row r="203">
          <cell r="F203">
            <v>0</v>
          </cell>
          <cell r="G203">
            <v>0</v>
          </cell>
          <cell r="H203">
            <v>0</v>
          </cell>
          <cell r="I203">
            <v>0</v>
          </cell>
          <cell r="J203">
            <v>0</v>
          </cell>
          <cell r="K203">
            <v>0</v>
          </cell>
        </row>
        <row r="204">
          <cell r="F204">
            <v>0</v>
          </cell>
          <cell r="G204">
            <v>0</v>
          </cell>
          <cell r="H204">
            <v>0</v>
          </cell>
          <cell r="I204">
            <v>0</v>
          </cell>
          <cell r="J204">
            <v>0</v>
          </cell>
          <cell r="K204">
            <v>0</v>
          </cell>
        </row>
        <row r="205">
          <cell r="F205">
            <v>0</v>
          </cell>
          <cell r="G205">
            <v>0</v>
          </cell>
          <cell r="H205">
            <v>0</v>
          </cell>
          <cell r="I205">
            <v>0</v>
          </cell>
          <cell r="J205">
            <v>0</v>
          </cell>
          <cell r="K205">
            <v>0</v>
          </cell>
        </row>
        <row r="206">
          <cell r="F206">
            <v>0</v>
          </cell>
          <cell r="G206">
            <v>0</v>
          </cell>
          <cell r="H206">
            <v>0</v>
          </cell>
          <cell r="I206">
            <v>0</v>
          </cell>
          <cell r="J206">
            <v>0</v>
          </cell>
          <cell r="K206">
            <v>0</v>
          </cell>
        </row>
        <row r="207">
          <cell r="F207">
            <v>0</v>
          </cell>
          <cell r="G207">
            <v>0</v>
          </cell>
          <cell r="H207">
            <v>0</v>
          </cell>
          <cell r="I207">
            <v>0</v>
          </cell>
          <cell r="J207">
            <v>0</v>
          </cell>
          <cell r="K207">
            <v>0</v>
          </cell>
        </row>
        <row r="208">
          <cell r="F208">
            <v>0</v>
          </cell>
          <cell r="G208">
            <v>0</v>
          </cell>
          <cell r="H208">
            <v>0</v>
          </cell>
          <cell r="I208">
            <v>0</v>
          </cell>
          <cell r="J208">
            <v>0</v>
          </cell>
          <cell r="K208">
            <v>0</v>
          </cell>
        </row>
        <row r="209">
          <cell r="F209">
            <v>0</v>
          </cell>
          <cell r="G209">
            <v>0</v>
          </cell>
          <cell r="H209">
            <v>0</v>
          </cell>
          <cell r="I209">
            <v>0</v>
          </cell>
          <cell r="J209">
            <v>0</v>
          </cell>
          <cell r="K209">
            <v>0</v>
          </cell>
        </row>
        <row r="210">
          <cell r="F210">
            <v>0</v>
          </cell>
          <cell r="G210">
            <v>0</v>
          </cell>
          <cell r="H210">
            <v>0</v>
          </cell>
          <cell r="I210">
            <v>0</v>
          </cell>
          <cell r="J210">
            <v>0</v>
          </cell>
          <cell r="K210">
            <v>0</v>
          </cell>
        </row>
        <row r="211">
          <cell r="F211">
            <v>0</v>
          </cell>
          <cell r="G211">
            <v>0</v>
          </cell>
          <cell r="H211">
            <v>0</v>
          </cell>
          <cell r="I211">
            <v>0</v>
          </cell>
          <cell r="J211">
            <v>0</v>
          </cell>
          <cell r="K211">
            <v>0</v>
          </cell>
        </row>
        <row r="212">
          <cell r="F212">
            <v>0</v>
          </cell>
          <cell r="G212">
            <v>0</v>
          </cell>
          <cell r="H212">
            <v>0</v>
          </cell>
          <cell r="I212">
            <v>0</v>
          </cell>
          <cell r="J212">
            <v>0</v>
          </cell>
          <cell r="K212">
            <v>0</v>
          </cell>
        </row>
        <row r="213">
          <cell r="F213">
            <v>0</v>
          </cell>
          <cell r="G213">
            <v>0</v>
          </cell>
          <cell r="H213">
            <v>0</v>
          </cell>
          <cell r="I213">
            <v>0</v>
          </cell>
          <cell r="J213">
            <v>0</v>
          </cell>
          <cell r="K213">
            <v>0</v>
          </cell>
        </row>
        <row r="214">
          <cell r="F214">
            <v>0</v>
          </cell>
          <cell r="G214">
            <v>0</v>
          </cell>
          <cell r="H214">
            <v>0</v>
          </cell>
          <cell r="I214">
            <v>0</v>
          </cell>
          <cell r="J214">
            <v>0</v>
          </cell>
          <cell r="K214">
            <v>0</v>
          </cell>
        </row>
        <row r="215">
          <cell r="F215">
            <v>-448</v>
          </cell>
          <cell r="G215">
            <v>0</v>
          </cell>
          <cell r="H215">
            <v>-448</v>
          </cell>
          <cell r="I215">
            <v>0</v>
          </cell>
          <cell r="J215">
            <v>-448</v>
          </cell>
          <cell r="K215">
            <v>-86</v>
          </cell>
        </row>
        <row r="216">
          <cell r="F216">
            <v>-4386</v>
          </cell>
          <cell r="G216">
            <v>0</v>
          </cell>
          <cell r="H216">
            <v>-4386</v>
          </cell>
          <cell r="I216">
            <v>0</v>
          </cell>
          <cell r="J216">
            <v>-4386</v>
          </cell>
          <cell r="K216">
            <v>-2972</v>
          </cell>
        </row>
        <row r="217">
          <cell r="F217">
            <v>-7</v>
          </cell>
          <cell r="G217">
            <v>0</v>
          </cell>
          <cell r="H217">
            <v>-7</v>
          </cell>
          <cell r="I217">
            <v>0</v>
          </cell>
          <cell r="J217">
            <v>-7</v>
          </cell>
          <cell r="K217">
            <v>-36</v>
          </cell>
        </row>
        <row r="218">
          <cell r="F218">
            <v>0</v>
          </cell>
          <cell r="G218">
            <v>0</v>
          </cell>
          <cell r="H218">
            <v>0</v>
          </cell>
          <cell r="I218">
            <v>0</v>
          </cell>
          <cell r="J218">
            <v>0</v>
          </cell>
          <cell r="K218">
            <v>53</v>
          </cell>
        </row>
        <row r="219">
          <cell r="F219">
            <v>-23199</v>
          </cell>
          <cell r="G219">
            <v>0</v>
          </cell>
          <cell r="H219">
            <v>-23199</v>
          </cell>
          <cell r="I219">
            <v>0</v>
          </cell>
          <cell r="J219">
            <v>-23199</v>
          </cell>
          <cell r="K219">
            <v>-21986</v>
          </cell>
        </row>
        <row r="220">
          <cell r="F220">
            <v>-221</v>
          </cell>
          <cell r="G220">
            <v>0</v>
          </cell>
          <cell r="H220">
            <v>-221</v>
          </cell>
          <cell r="I220">
            <v>0</v>
          </cell>
          <cell r="J220">
            <v>-221</v>
          </cell>
          <cell r="K220">
            <v>-385</v>
          </cell>
        </row>
        <row r="221">
          <cell r="F221">
            <v>-8</v>
          </cell>
          <cell r="G221">
            <v>0</v>
          </cell>
          <cell r="H221">
            <v>-8</v>
          </cell>
          <cell r="I221">
            <v>0</v>
          </cell>
          <cell r="J221">
            <v>-8</v>
          </cell>
          <cell r="K221">
            <v>-6</v>
          </cell>
        </row>
        <row r="222">
          <cell r="F222">
            <v>-1</v>
          </cell>
          <cell r="G222">
            <v>0</v>
          </cell>
          <cell r="H222">
            <v>-1</v>
          </cell>
          <cell r="I222">
            <v>0</v>
          </cell>
          <cell r="J222">
            <v>-1</v>
          </cell>
          <cell r="K222">
            <v>-1</v>
          </cell>
        </row>
        <row r="223">
          <cell r="F223">
            <v>-165</v>
          </cell>
          <cell r="G223">
            <v>0</v>
          </cell>
          <cell r="H223">
            <v>-165</v>
          </cell>
          <cell r="I223">
            <v>0</v>
          </cell>
          <cell r="J223">
            <v>-165</v>
          </cell>
          <cell r="K223">
            <v>-159</v>
          </cell>
        </row>
        <row r="224">
          <cell r="F224">
            <v>-21</v>
          </cell>
          <cell r="G224">
            <v>0</v>
          </cell>
          <cell r="H224">
            <v>-21</v>
          </cell>
          <cell r="I224">
            <v>0</v>
          </cell>
          <cell r="J224">
            <v>-21</v>
          </cell>
          <cell r="K224">
            <v>-23</v>
          </cell>
        </row>
        <row r="225">
          <cell r="F225">
            <v>-15</v>
          </cell>
          <cell r="G225">
            <v>0</v>
          </cell>
          <cell r="H225">
            <v>-15</v>
          </cell>
          <cell r="I225">
            <v>0</v>
          </cell>
          <cell r="J225">
            <v>-15</v>
          </cell>
          <cell r="K225">
            <v>-99</v>
          </cell>
        </row>
        <row r="226">
          <cell r="F226">
            <v>-1553</v>
          </cell>
          <cell r="G226">
            <v>0</v>
          </cell>
          <cell r="H226">
            <v>-1553</v>
          </cell>
          <cell r="I226">
            <v>0</v>
          </cell>
          <cell r="J226">
            <v>-1553</v>
          </cell>
          <cell r="K226">
            <v>-483</v>
          </cell>
        </row>
        <row r="227">
          <cell r="F227">
            <v>-30024</v>
          </cell>
          <cell r="G227">
            <v>0</v>
          </cell>
          <cell r="H227">
            <v>-30024</v>
          </cell>
          <cell r="I227">
            <v>0</v>
          </cell>
          <cell r="J227">
            <v>-30024</v>
          </cell>
          <cell r="K227">
            <v>-26183</v>
          </cell>
        </row>
        <row r="229">
          <cell r="F229">
            <v>0</v>
          </cell>
          <cell r="G229">
            <v>0</v>
          </cell>
          <cell r="H229">
            <v>0</v>
          </cell>
          <cell r="I229">
            <v>0</v>
          </cell>
          <cell r="J229">
            <v>0</v>
          </cell>
          <cell r="K229">
            <v>0</v>
          </cell>
        </row>
        <row r="231">
          <cell r="F231">
            <v>0</v>
          </cell>
          <cell r="G231">
            <v>0</v>
          </cell>
          <cell r="H231">
            <v>0</v>
          </cell>
          <cell r="I231">
            <v>0</v>
          </cell>
          <cell r="J231">
            <v>0</v>
          </cell>
          <cell r="K231">
            <v>0</v>
          </cell>
        </row>
        <row r="233">
          <cell r="F233">
            <v>0</v>
          </cell>
          <cell r="G233">
            <v>0</v>
          </cell>
          <cell r="H233">
            <v>0</v>
          </cell>
          <cell r="I233">
            <v>0</v>
          </cell>
          <cell r="J233">
            <v>0</v>
          </cell>
          <cell r="K233">
            <v>0</v>
          </cell>
        </row>
        <row r="234">
          <cell r="F234">
            <v>0</v>
          </cell>
          <cell r="G234">
            <v>0</v>
          </cell>
          <cell r="H234">
            <v>0</v>
          </cell>
          <cell r="I234">
            <v>0</v>
          </cell>
          <cell r="J234">
            <v>0</v>
          </cell>
          <cell r="K234">
            <v>0</v>
          </cell>
        </row>
        <row r="235">
          <cell r="F235">
            <v>0</v>
          </cell>
          <cell r="G235">
            <v>0</v>
          </cell>
          <cell r="H235">
            <v>0</v>
          </cell>
          <cell r="I235">
            <v>0</v>
          </cell>
          <cell r="J235">
            <v>0</v>
          </cell>
          <cell r="K235">
            <v>0</v>
          </cell>
        </row>
        <row r="236">
          <cell r="F236">
            <v>0</v>
          </cell>
          <cell r="G236">
            <v>0</v>
          </cell>
          <cell r="H236">
            <v>0</v>
          </cell>
          <cell r="I236">
            <v>0</v>
          </cell>
          <cell r="J236">
            <v>0</v>
          </cell>
          <cell r="K236">
            <v>0</v>
          </cell>
        </row>
        <row r="237">
          <cell r="F237">
            <v>0</v>
          </cell>
          <cell r="G237">
            <v>0</v>
          </cell>
          <cell r="H237">
            <v>0</v>
          </cell>
          <cell r="I237">
            <v>0</v>
          </cell>
          <cell r="J237">
            <v>0</v>
          </cell>
          <cell r="K237">
            <v>0</v>
          </cell>
        </row>
        <row r="238">
          <cell r="F238">
            <v>0</v>
          </cell>
          <cell r="G238">
            <v>0</v>
          </cell>
          <cell r="H238">
            <v>0</v>
          </cell>
          <cell r="I238">
            <v>0</v>
          </cell>
          <cell r="J238">
            <v>0</v>
          </cell>
          <cell r="K238">
            <v>0</v>
          </cell>
        </row>
        <row r="239">
          <cell r="F239">
            <v>0</v>
          </cell>
          <cell r="G239">
            <v>0</v>
          </cell>
          <cell r="H239">
            <v>0</v>
          </cell>
          <cell r="I239">
            <v>0</v>
          </cell>
          <cell r="J239">
            <v>0</v>
          </cell>
          <cell r="K239">
            <v>0</v>
          </cell>
        </row>
        <row r="240">
          <cell r="F240">
            <v>0</v>
          </cell>
          <cell r="G240">
            <v>0</v>
          </cell>
          <cell r="H240">
            <v>0</v>
          </cell>
          <cell r="I240">
            <v>0</v>
          </cell>
          <cell r="J240">
            <v>0</v>
          </cell>
          <cell r="K240">
            <v>0</v>
          </cell>
        </row>
        <row r="241">
          <cell r="F241">
            <v>0</v>
          </cell>
          <cell r="G241">
            <v>0</v>
          </cell>
          <cell r="H241">
            <v>0</v>
          </cell>
          <cell r="I241">
            <v>0</v>
          </cell>
          <cell r="J241">
            <v>0</v>
          </cell>
          <cell r="K241">
            <v>0</v>
          </cell>
        </row>
        <row r="243">
          <cell r="F243">
            <v>-2625</v>
          </cell>
          <cell r="G243">
            <v>0</v>
          </cell>
          <cell r="H243">
            <v>-2625</v>
          </cell>
          <cell r="I243">
            <v>0</v>
          </cell>
          <cell r="J243">
            <v>-2625</v>
          </cell>
          <cell r="K243">
            <v>-107</v>
          </cell>
        </row>
        <row r="244">
          <cell r="F244">
            <v>-2625</v>
          </cell>
          <cell r="G244">
            <v>0</v>
          </cell>
          <cell r="H244">
            <v>-2625</v>
          </cell>
          <cell r="I244">
            <v>0</v>
          </cell>
          <cell r="J244">
            <v>-2625</v>
          </cell>
          <cell r="K244">
            <v>-107</v>
          </cell>
        </row>
        <row r="246">
          <cell r="F246">
            <v>0</v>
          </cell>
          <cell r="G246">
            <v>0</v>
          </cell>
          <cell r="H246">
            <v>0</v>
          </cell>
          <cell r="I246">
            <v>0</v>
          </cell>
          <cell r="J246">
            <v>0</v>
          </cell>
          <cell r="K246">
            <v>0</v>
          </cell>
        </row>
        <row r="247">
          <cell r="F247">
            <v>0</v>
          </cell>
          <cell r="G247">
            <v>0</v>
          </cell>
          <cell r="H247">
            <v>0</v>
          </cell>
          <cell r="I247">
            <v>0</v>
          </cell>
          <cell r="J247">
            <v>0</v>
          </cell>
          <cell r="K247">
            <v>0</v>
          </cell>
        </row>
        <row r="248">
          <cell r="F248">
            <v>0</v>
          </cell>
          <cell r="G248">
            <v>0</v>
          </cell>
          <cell r="H248">
            <v>0</v>
          </cell>
          <cell r="I248">
            <v>0</v>
          </cell>
          <cell r="J248">
            <v>0</v>
          </cell>
          <cell r="K248">
            <v>0</v>
          </cell>
        </row>
        <row r="249">
          <cell r="F249">
            <v>0</v>
          </cell>
          <cell r="G249">
            <v>0</v>
          </cell>
          <cell r="H249">
            <v>0</v>
          </cell>
          <cell r="I249">
            <v>0</v>
          </cell>
          <cell r="J249">
            <v>0</v>
          </cell>
          <cell r="K249">
            <v>0</v>
          </cell>
        </row>
        <row r="250">
          <cell r="F250">
            <v>0</v>
          </cell>
          <cell r="G250">
            <v>0</v>
          </cell>
          <cell r="H250">
            <v>0</v>
          </cell>
          <cell r="I250">
            <v>0</v>
          </cell>
          <cell r="J250">
            <v>0</v>
          </cell>
          <cell r="K250">
            <v>0</v>
          </cell>
        </row>
        <row r="251">
          <cell r="F251">
            <v>0</v>
          </cell>
          <cell r="G251">
            <v>0</v>
          </cell>
          <cell r="H251">
            <v>0</v>
          </cell>
          <cell r="I251">
            <v>0</v>
          </cell>
          <cell r="J251">
            <v>0</v>
          </cell>
          <cell r="K251">
            <v>0</v>
          </cell>
        </row>
        <row r="252">
          <cell r="F252">
            <v>0</v>
          </cell>
          <cell r="G252">
            <v>0</v>
          </cell>
          <cell r="H252">
            <v>0</v>
          </cell>
          <cell r="I252">
            <v>0</v>
          </cell>
          <cell r="J252">
            <v>0</v>
          </cell>
          <cell r="K252">
            <v>0</v>
          </cell>
        </row>
        <row r="253">
          <cell r="F253">
            <v>0</v>
          </cell>
          <cell r="G253">
            <v>0</v>
          </cell>
          <cell r="H253">
            <v>0</v>
          </cell>
          <cell r="I253">
            <v>0</v>
          </cell>
          <cell r="J253">
            <v>0</v>
          </cell>
          <cell r="K253">
            <v>0</v>
          </cell>
        </row>
        <row r="254">
          <cell r="F254">
            <v>0</v>
          </cell>
          <cell r="G254">
            <v>0</v>
          </cell>
          <cell r="H254">
            <v>0</v>
          </cell>
          <cell r="I254">
            <v>0</v>
          </cell>
          <cell r="J254">
            <v>0</v>
          </cell>
          <cell r="K254">
            <v>0</v>
          </cell>
        </row>
        <row r="255">
          <cell r="F255">
            <v>0</v>
          </cell>
          <cell r="G255">
            <v>0</v>
          </cell>
          <cell r="H255">
            <v>0</v>
          </cell>
          <cell r="I255">
            <v>0</v>
          </cell>
          <cell r="J255">
            <v>0</v>
          </cell>
          <cell r="K255">
            <v>0</v>
          </cell>
        </row>
        <row r="256">
          <cell r="F256">
            <v>0</v>
          </cell>
          <cell r="G256">
            <v>0</v>
          </cell>
          <cell r="H256">
            <v>0</v>
          </cell>
          <cell r="I256">
            <v>0</v>
          </cell>
          <cell r="J256">
            <v>0</v>
          </cell>
          <cell r="K256">
            <v>0</v>
          </cell>
        </row>
        <row r="257">
          <cell r="F257">
            <v>0</v>
          </cell>
          <cell r="G257">
            <v>0</v>
          </cell>
          <cell r="H257">
            <v>0</v>
          </cell>
          <cell r="I257">
            <v>0</v>
          </cell>
          <cell r="J257">
            <v>0</v>
          </cell>
          <cell r="K257">
            <v>0</v>
          </cell>
        </row>
        <row r="258">
          <cell r="F258">
            <v>0</v>
          </cell>
          <cell r="G258">
            <v>0</v>
          </cell>
          <cell r="H258">
            <v>0</v>
          </cell>
          <cell r="I258">
            <v>0</v>
          </cell>
          <cell r="J258">
            <v>0</v>
          </cell>
          <cell r="K258">
            <v>0</v>
          </cell>
        </row>
        <row r="259">
          <cell r="F259">
            <v>0</v>
          </cell>
          <cell r="G259">
            <v>0</v>
          </cell>
          <cell r="H259">
            <v>0</v>
          </cell>
          <cell r="I259">
            <v>0</v>
          </cell>
          <cell r="J259">
            <v>0</v>
          </cell>
          <cell r="K259">
            <v>0</v>
          </cell>
        </row>
        <row r="260">
          <cell r="F260">
            <v>0</v>
          </cell>
          <cell r="G260">
            <v>0</v>
          </cell>
          <cell r="H260">
            <v>0</v>
          </cell>
          <cell r="I260">
            <v>0</v>
          </cell>
          <cell r="J260">
            <v>0</v>
          </cell>
          <cell r="K260">
            <v>0</v>
          </cell>
        </row>
        <row r="261">
          <cell r="F261">
            <v>0</v>
          </cell>
          <cell r="G261">
            <v>0</v>
          </cell>
          <cell r="H261">
            <v>0</v>
          </cell>
          <cell r="I261">
            <v>0</v>
          </cell>
          <cell r="J261">
            <v>0</v>
          </cell>
          <cell r="K261">
            <v>0</v>
          </cell>
        </row>
        <row r="262">
          <cell r="F262">
            <v>0</v>
          </cell>
          <cell r="G262">
            <v>0</v>
          </cell>
          <cell r="H262">
            <v>0</v>
          </cell>
          <cell r="I262">
            <v>0</v>
          </cell>
          <cell r="J262">
            <v>0</v>
          </cell>
          <cell r="K262">
            <v>0</v>
          </cell>
        </row>
        <row r="263">
          <cell r="F263">
            <v>0</v>
          </cell>
          <cell r="G263">
            <v>0</v>
          </cell>
          <cell r="H263">
            <v>0</v>
          </cell>
          <cell r="I263">
            <v>0</v>
          </cell>
          <cell r="J263">
            <v>0</v>
          </cell>
          <cell r="K263">
            <v>0</v>
          </cell>
        </row>
        <row r="264">
          <cell r="F264">
            <v>0</v>
          </cell>
          <cell r="G264">
            <v>0</v>
          </cell>
          <cell r="H264">
            <v>0</v>
          </cell>
          <cell r="I264">
            <v>0</v>
          </cell>
          <cell r="J264">
            <v>0</v>
          </cell>
          <cell r="K264">
            <v>101051</v>
          </cell>
        </row>
        <row r="265">
          <cell r="F265">
            <v>0</v>
          </cell>
          <cell r="G265">
            <v>0</v>
          </cell>
          <cell r="H265">
            <v>0</v>
          </cell>
          <cell r="I265">
            <v>0</v>
          </cell>
          <cell r="J265">
            <v>0</v>
          </cell>
          <cell r="K265">
            <v>-44988</v>
          </cell>
        </row>
        <row r="266">
          <cell r="F266">
            <v>0</v>
          </cell>
          <cell r="G266">
            <v>0</v>
          </cell>
          <cell r="H266">
            <v>0</v>
          </cell>
          <cell r="I266">
            <v>0</v>
          </cell>
          <cell r="J266">
            <v>0</v>
          </cell>
          <cell r="K266">
            <v>56063</v>
          </cell>
        </row>
        <row r="268">
          <cell r="F268">
            <v>-17939</v>
          </cell>
          <cell r="G268">
            <v>0</v>
          </cell>
          <cell r="H268">
            <v>-17939</v>
          </cell>
          <cell r="I268">
            <v>0</v>
          </cell>
          <cell r="J268">
            <v>-17939</v>
          </cell>
          <cell r="K268">
            <v>-83212</v>
          </cell>
        </row>
        <row r="269">
          <cell r="F269">
            <v>48024</v>
          </cell>
          <cell r="G269">
            <v>0</v>
          </cell>
          <cell r="H269">
            <v>48024</v>
          </cell>
          <cell r="I269">
            <v>0</v>
          </cell>
          <cell r="J269">
            <v>48024</v>
          </cell>
          <cell r="K269">
            <v>175167</v>
          </cell>
        </row>
        <row r="270">
          <cell r="F270">
            <v>0</v>
          </cell>
          <cell r="G270">
            <v>0</v>
          </cell>
          <cell r="H270">
            <v>0</v>
          </cell>
          <cell r="I270">
            <v>0</v>
          </cell>
          <cell r="J270">
            <v>0</v>
          </cell>
          <cell r="K270">
            <v>2755</v>
          </cell>
        </row>
        <row r="271">
          <cell r="F271">
            <v>-58993</v>
          </cell>
          <cell r="G271">
            <v>0</v>
          </cell>
          <cell r="H271">
            <v>-58993</v>
          </cell>
          <cell r="I271">
            <v>0</v>
          </cell>
          <cell r="J271">
            <v>-58993</v>
          </cell>
          <cell r="K271">
            <v>-23442</v>
          </cell>
        </row>
        <row r="272">
          <cell r="F272">
            <v>62664</v>
          </cell>
          <cell r="G272">
            <v>0</v>
          </cell>
          <cell r="H272">
            <v>62664</v>
          </cell>
          <cell r="I272">
            <v>0</v>
          </cell>
          <cell r="J272">
            <v>62664</v>
          </cell>
          <cell r="K272">
            <v>70487</v>
          </cell>
        </row>
        <row r="273">
          <cell r="F273">
            <v>0</v>
          </cell>
          <cell r="G273">
            <v>0</v>
          </cell>
          <cell r="H273">
            <v>0</v>
          </cell>
          <cell r="I273">
            <v>0</v>
          </cell>
          <cell r="J273">
            <v>0</v>
          </cell>
          <cell r="K273">
            <v>-80044</v>
          </cell>
        </row>
        <row r="274">
          <cell r="F274">
            <v>-1007820</v>
          </cell>
          <cell r="G274">
            <v>0</v>
          </cell>
          <cell r="H274">
            <v>-1007820</v>
          </cell>
          <cell r="I274">
            <v>0</v>
          </cell>
          <cell r="J274">
            <v>-1007820</v>
          </cell>
          <cell r="K274">
            <v>-1091897</v>
          </cell>
        </row>
        <row r="275">
          <cell r="F275">
            <v>-974064</v>
          </cell>
          <cell r="G275">
            <v>0</v>
          </cell>
          <cell r="H275">
            <v>-974064</v>
          </cell>
          <cell r="I275">
            <v>0</v>
          </cell>
          <cell r="J275">
            <v>-974064</v>
          </cell>
          <cell r="K275">
            <v>-1030186</v>
          </cell>
        </row>
        <row r="277">
          <cell r="F277">
            <v>0</v>
          </cell>
          <cell r="G277">
            <v>0</v>
          </cell>
          <cell r="H277">
            <v>0</v>
          </cell>
          <cell r="I277">
            <v>0</v>
          </cell>
          <cell r="J277">
            <v>0</v>
          </cell>
          <cell r="K277">
            <v>0</v>
          </cell>
        </row>
        <row r="278">
          <cell r="F278">
            <v>0</v>
          </cell>
          <cell r="G278">
            <v>0</v>
          </cell>
          <cell r="H278">
            <v>0</v>
          </cell>
          <cell r="I278">
            <v>0</v>
          </cell>
          <cell r="J278">
            <v>0</v>
          </cell>
          <cell r="K278">
            <v>0</v>
          </cell>
        </row>
        <row r="279">
          <cell r="F279">
            <v>0</v>
          </cell>
          <cell r="G279">
            <v>0</v>
          </cell>
          <cell r="H279">
            <v>0</v>
          </cell>
          <cell r="I279">
            <v>0</v>
          </cell>
          <cell r="J279">
            <v>0</v>
          </cell>
          <cell r="K279">
            <v>0</v>
          </cell>
        </row>
        <row r="280">
          <cell r="F280">
            <v>0</v>
          </cell>
          <cell r="G280">
            <v>0</v>
          </cell>
          <cell r="H280">
            <v>0</v>
          </cell>
          <cell r="I280">
            <v>0</v>
          </cell>
          <cell r="J280">
            <v>0</v>
          </cell>
          <cell r="K280">
            <v>0</v>
          </cell>
        </row>
        <row r="281">
          <cell r="F281">
            <v>0</v>
          </cell>
          <cell r="G281">
            <v>0</v>
          </cell>
          <cell r="H281">
            <v>0</v>
          </cell>
          <cell r="I281">
            <v>0</v>
          </cell>
          <cell r="J281">
            <v>0</v>
          </cell>
          <cell r="K281">
            <v>0</v>
          </cell>
        </row>
        <row r="282">
          <cell r="F282">
            <v>0</v>
          </cell>
          <cell r="G282">
            <v>0</v>
          </cell>
          <cell r="H282">
            <v>0</v>
          </cell>
          <cell r="I282">
            <v>0</v>
          </cell>
          <cell r="J282">
            <v>0</v>
          </cell>
          <cell r="K282">
            <v>0</v>
          </cell>
        </row>
        <row r="283">
          <cell r="F283">
            <v>0</v>
          </cell>
          <cell r="G283">
            <v>0</v>
          </cell>
          <cell r="H283">
            <v>0</v>
          </cell>
          <cell r="I283">
            <v>0</v>
          </cell>
          <cell r="J283">
            <v>0</v>
          </cell>
          <cell r="K283">
            <v>0</v>
          </cell>
        </row>
        <row r="284">
          <cell r="F284">
            <v>0</v>
          </cell>
          <cell r="G284">
            <v>0</v>
          </cell>
          <cell r="H284">
            <v>0</v>
          </cell>
          <cell r="I284">
            <v>0</v>
          </cell>
          <cell r="J284">
            <v>0</v>
          </cell>
          <cell r="K284">
            <v>0</v>
          </cell>
        </row>
        <row r="285">
          <cell r="F285">
            <v>-757</v>
          </cell>
          <cell r="G285">
            <v>0</v>
          </cell>
          <cell r="H285">
            <v>-757</v>
          </cell>
          <cell r="I285">
            <v>0</v>
          </cell>
          <cell r="J285">
            <v>-757</v>
          </cell>
          <cell r="K285">
            <v>-523</v>
          </cell>
        </row>
        <row r="286">
          <cell r="F286">
            <v>-757</v>
          </cell>
          <cell r="G286">
            <v>0</v>
          </cell>
          <cell r="H286">
            <v>-757</v>
          </cell>
          <cell r="I286">
            <v>0</v>
          </cell>
          <cell r="J286">
            <v>-757</v>
          </cell>
          <cell r="K286">
            <v>-523</v>
          </cell>
        </row>
        <row r="288">
          <cell r="F288">
            <v>0</v>
          </cell>
          <cell r="G288">
            <v>0</v>
          </cell>
          <cell r="H288">
            <v>0</v>
          </cell>
          <cell r="I288">
            <v>0</v>
          </cell>
          <cell r="J288">
            <v>0</v>
          </cell>
          <cell r="K288">
            <v>0</v>
          </cell>
        </row>
        <row r="289">
          <cell r="F289">
            <v>0</v>
          </cell>
          <cell r="G289">
            <v>0</v>
          </cell>
          <cell r="H289">
            <v>0</v>
          </cell>
          <cell r="I289">
            <v>0</v>
          </cell>
          <cell r="J289">
            <v>0</v>
          </cell>
          <cell r="K289">
            <v>0</v>
          </cell>
        </row>
        <row r="290">
          <cell r="F290">
            <v>0</v>
          </cell>
          <cell r="G290">
            <v>0</v>
          </cell>
          <cell r="H290">
            <v>0</v>
          </cell>
          <cell r="I290">
            <v>0</v>
          </cell>
          <cell r="J290">
            <v>0</v>
          </cell>
          <cell r="K290">
            <v>0</v>
          </cell>
        </row>
        <row r="291">
          <cell r="F291">
            <v>0</v>
          </cell>
          <cell r="G291">
            <v>0</v>
          </cell>
          <cell r="H291">
            <v>0</v>
          </cell>
          <cell r="I291">
            <v>0</v>
          </cell>
          <cell r="J291">
            <v>0</v>
          </cell>
          <cell r="K291">
            <v>0</v>
          </cell>
        </row>
        <row r="292">
          <cell r="F292">
            <v>0</v>
          </cell>
          <cell r="G292">
            <v>0</v>
          </cell>
          <cell r="H292">
            <v>0</v>
          </cell>
          <cell r="I292">
            <v>0</v>
          </cell>
          <cell r="J292">
            <v>0</v>
          </cell>
          <cell r="K292">
            <v>0</v>
          </cell>
        </row>
        <row r="293">
          <cell r="F293">
            <v>0</v>
          </cell>
          <cell r="G293">
            <v>0</v>
          </cell>
          <cell r="H293">
            <v>0</v>
          </cell>
          <cell r="I293">
            <v>0</v>
          </cell>
          <cell r="J293">
            <v>0</v>
          </cell>
          <cell r="K293">
            <v>0</v>
          </cell>
        </row>
        <row r="294">
          <cell r="F294">
            <v>0</v>
          </cell>
          <cell r="G294">
            <v>0</v>
          </cell>
          <cell r="H294">
            <v>0</v>
          </cell>
          <cell r="I294">
            <v>0</v>
          </cell>
          <cell r="J294">
            <v>0</v>
          </cell>
          <cell r="K294">
            <v>0</v>
          </cell>
        </row>
        <row r="295">
          <cell r="F295">
            <v>0</v>
          </cell>
          <cell r="G295">
            <v>0</v>
          </cell>
          <cell r="H295">
            <v>0</v>
          </cell>
          <cell r="I295">
            <v>0</v>
          </cell>
          <cell r="J295">
            <v>0</v>
          </cell>
          <cell r="K295">
            <v>0</v>
          </cell>
        </row>
        <row r="296">
          <cell r="F296">
            <v>0</v>
          </cell>
          <cell r="G296">
            <v>0</v>
          </cell>
          <cell r="H296">
            <v>0</v>
          </cell>
          <cell r="I296">
            <v>0</v>
          </cell>
          <cell r="J296">
            <v>0</v>
          </cell>
          <cell r="K296">
            <v>0</v>
          </cell>
        </row>
        <row r="297">
          <cell r="F297">
            <v>0</v>
          </cell>
          <cell r="G297">
            <v>0</v>
          </cell>
          <cell r="H297">
            <v>0</v>
          </cell>
          <cell r="I297">
            <v>0</v>
          </cell>
          <cell r="J297">
            <v>0</v>
          </cell>
          <cell r="K297">
            <v>0</v>
          </cell>
        </row>
        <row r="298">
          <cell r="F298">
            <v>-1309</v>
          </cell>
          <cell r="G298">
            <v>0</v>
          </cell>
          <cell r="H298">
            <v>-1309</v>
          </cell>
          <cell r="I298">
            <v>0</v>
          </cell>
          <cell r="J298">
            <v>-1309</v>
          </cell>
          <cell r="K298">
            <v>-2359</v>
          </cell>
        </row>
        <row r="299">
          <cell r="F299">
            <v>-1309</v>
          </cell>
          <cell r="G299">
            <v>0</v>
          </cell>
          <cell r="H299">
            <v>-1309</v>
          </cell>
          <cell r="I299">
            <v>0</v>
          </cell>
          <cell r="J299">
            <v>-1309</v>
          </cell>
          <cell r="K299">
            <v>-2359</v>
          </cell>
        </row>
        <row r="301">
          <cell r="F301">
            <v>0</v>
          </cell>
          <cell r="G301">
            <v>0</v>
          </cell>
          <cell r="H301">
            <v>0</v>
          </cell>
          <cell r="I301">
            <v>0</v>
          </cell>
          <cell r="J301">
            <v>0</v>
          </cell>
          <cell r="K301">
            <v>1282</v>
          </cell>
        </row>
        <row r="302">
          <cell r="F302">
            <v>0</v>
          </cell>
          <cell r="G302">
            <v>0</v>
          </cell>
          <cell r="H302">
            <v>0</v>
          </cell>
          <cell r="I302">
            <v>0</v>
          </cell>
          <cell r="J302">
            <v>0</v>
          </cell>
          <cell r="K302">
            <v>142</v>
          </cell>
        </row>
        <row r="303">
          <cell r="F303">
            <v>0</v>
          </cell>
          <cell r="G303">
            <v>0</v>
          </cell>
          <cell r="H303">
            <v>0</v>
          </cell>
          <cell r="I303">
            <v>0</v>
          </cell>
          <cell r="J303">
            <v>0</v>
          </cell>
          <cell r="K303">
            <v>-158</v>
          </cell>
        </row>
        <row r="304">
          <cell r="F304">
            <v>0</v>
          </cell>
          <cell r="G304">
            <v>0</v>
          </cell>
          <cell r="H304">
            <v>0</v>
          </cell>
          <cell r="I304">
            <v>0</v>
          </cell>
          <cell r="J304">
            <v>0</v>
          </cell>
          <cell r="K304">
            <v>-42</v>
          </cell>
        </row>
        <row r="305">
          <cell r="F305">
            <v>0</v>
          </cell>
          <cell r="G305">
            <v>0</v>
          </cell>
          <cell r="H305">
            <v>0</v>
          </cell>
          <cell r="I305">
            <v>0</v>
          </cell>
          <cell r="J305">
            <v>0</v>
          </cell>
          <cell r="K305">
            <v>0</v>
          </cell>
        </row>
        <row r="306">
          <cell r="F306">
            <v>-172</v>
          </cell>
          <cell r="G306">
            <v>0</v>
          </cell>
          <cell r="H306">
            <v>-172</v>
          </cell>
          <cell r="I306">
            <v>0</v>
          </cell>
          <cell r="J306">
            <v>-172</v>
          </cell>
          <cell r="K306">
            <v>0</v>
          </cell>
        </row>
        <row r="307">
          <cell r="F307">
            <v>30</v>
          </cell>
          <cell r="G307">
            <v>0</v>
          </cell>
          <cell r="H307">
            <v>30</v>
          </cell>
          <cell r="I307">
            <v>0</v>
          </cell>
          <cell r="J307">
            <v>30</v>
          </cell>
          <cell r="K307">
            <v>0</v>
          </cell>
        </row>
        <row r="308">
          <cell r="F308">
            <v>0</v>
          </cell>
          <cell r="G308">
            <v>0</v>
          </cell>
          <cell r="H308">
            <v>0</v>
          </cell>
          <cell r="I308">
            <v>0</v>
          </cell>
          <cell r="J308">
            <v>0</v>
          </cell>
          <cell r="K308">
            <v>0</v>
          </cell>
        </row>
        <row r="309">
          <cell r="F309">
            <v>-142</v>
          </cell>
          <cell r="G309">
            <v>0</v>
          </cell>
          <cell r="H309">
            <v>-142</v>
          </cell>
          <cell r="I309">
            <v>0</v>
          </cell>
          <cell r="J309">
            <v>-142</v>
          </cell>
          <cell r="K309">
            <v>1224</v>
          </cell>
        </row>
        <row r="311">
          <cell r="F311">
            <v>0</v>
          </cell>
          <cell r="G311">
            <v>0</v>
          </cell>
          <cell r="H311">
            <v>0</v>
          </cell>
          <cell r="I311">
            <v>0</v>
          </cell>
          <cell r="J311">
            <v>0</v>
          </cell>
          <cell r="K311">
            <v>0</v>
          </cell>
        </row>
        <row r="313">
          <cell r="F313">
            <v>0</v>
          </cell>
          <cell r="G313">
            <v>0</v>
          </cell>
          <cell r="H313">
            <v>0</v>
          </cell>
          <cell r="I313">
            <v>0</v>
          </cell>
          <cell r="J313">
            <v>0</v>
          </cell>
          <cell r="K313">
            <v>0</v>
          </cell>
        </row>
        <row r="314">
          <cell r="F314">
            <v>0</v>
          </cell>
          <cell r="G314">
            <v>0</v>
          </cell>
          <cell r="H314">
            <v>0</v>
          </cell>
          <cell r="I314">
            <v>0</v>
          </cell>
          <cell r="J314">
            <v>0</v>
          </cell>
          <cell r="K314">
            <v>-238</v>
          </cell>
        </row>
        <row r="315">
          <cell r="F315">
            <v>0</v>
          </cell>
          <cell r="G315">
            <v>0</v>
          </cell>
          <cell r="H315">
            <v>0</v>
          </cell>
          <cell r="I315">
            <v>0</v>
          </cell>
          <cell r="J315">
            <v>0</v>
          </cell>
          <cell r="K315">
            <v>0</v>
          </cell>
        </row>
        <row r="316">
          <cell r="F316">
            <v>0</v>
          </cell>
          <cell r="G316">
            <v>0</v>
          </cell>
          <cell r="H316">
            <v>0</v>
          </cell>
          <cell r="I316">
            <v>0</v>
          </cell>
          <cell r="J316">
            <v>0</v>
          </cell>
          <cell r="K316">
            <v>0</v>
          </cell>
        </row>
        <row r="317">
          <cell r="F317">
            <v>0</v>
          </cell>
          <cell r="G317">
            <v>0</v>
          </cell>
          <cell r="H317">
            <v>0</v>
          </cell>
          <cell r="I317">
            <v>0</v>
          </cell>
          <cell r="J317">
            <v>0</v>
          </cell>
          <cell r="K317">
            <v>-1572</v>
          </cell>
        </row>
        <row r="318">
          <cell r="F318">
            <v>0</v>
          </cell>
          <cell r="G318">
            <v>0</v>
          </cell>
          <cell r="H318">
            <v>0</v>
          </cell>
          <cell r="I318">
            <v>0</v>
          </cell>
          <cell r="J318">
            <v>0</v>
          </cell>
          <cell r="K318">
            <v>-1539</v>
          </cell>
        </row>
        <row r="319">
          <cell r="F319">
            <v>0</v>
          </cell>
          <cell r="G319">
            <v>0</v>
          </cell>
          <cell r="H319">
            <v>0</v>
          </cell>
          <cell r="I319">
            <v>0</v>
          </cell>
          <cell r="J319">
            <v>0</v>
          </cell>
          <cell r="K319">
            <v>-1595</v>
          </cell>
        </row>
        <row r="320">
          <cell r="F320">
            <v>0</v>
          </cell>
          <cell r="G320">
            <v>0</v>
          </cell>
          <cell r="H320">
            <v>0</v>
          </cell>
          <cell r="I320">
            <v>0</v>
          </cell>
          <cell r="J320">
            <v>0</v>
          </cell>
          <cell r="K320">
            <v>-73</v>
          </cell>
        </row>
        <row r="321">
          <cell r="F321">
            <v>0</v>
          </cell>
          <cell r="G321">
            <v>0</v>
          </cell>
          <cell r="H321">
            <v>0</v>
          </cell>
          <cell r="I321">
            <v>0</v>
          </cell>
          <cell r="J321">
            <v>0</v>
          </cell>
          <cell r="K321">
            <v>-5998</v>
          </cell>
        </row>
        <row r="322">
          <cell r="F322">
            <v>0</v>
          </cell>
          <cell r="G322">
            <v>0</v>
          </cell>
          <cell r="H322">
            <v>0</v>
          </cell>
          <cell r="I322">
            <v>0</v>
          </cell>
          <cell r="J322">
            <v>0</v>
          </cell>
          <cell r="K322">
            <v>0</v>
          </cell>
        </row>
        <row r="323">
          <cell r="F323">
            <v>0</v>
          </cell>
          <cell r="G323">
            <v>0</v>
          </cell>
          <cell r="H323">
            <v>0</v>
          </cell>
          <cell r="I323">
            <v>0</v>
          </cell>
          <cell r="J323">
            <v>0</v>
          </cell>
          <cell r="K323">
            <v>-3355</v>
          </cell>
        </row>
        <row r="324">
          <cell r="F324">
            <v>0</v>
          </cell>
          <cell r="G324">
            <v>0</v>
          </cell>
          <cell r="H324">
            <v>0</v>
          </cell>
          <cell r="I324">
            <v>0</v>
          </cell>
          <cell r="J324">
            <v>0</v>
          </cell>
          <cell r="K324">
            <v>-1377</v>
          </cell>
        </row>
        <row r="325">
          <cell r="F325">
            <v>0</v>
          </cell>
          <cell r="G325">
            <v>0</v>
          </cell>
          <cell r="H325">
            <v>0</v>
          </cell>
          <cell r="I325">
            <v>0</v>
          </cell>
          <cell r="J325">
            <v>0</v>
          </cell>
          <cell r="K325">
            <v>-56</v>
          </cell>
        </row>
        <row r="326">
          <cell r="F326">
            <v>0</v>
          </cell>
          <cell r="G326">
            <v>0</v>
          </cell>
          <cell r="H326">
            <v>0</v>
          </cell>
          <cell r="I326">
            <v>0</v>
          </cell>
          <cell r="J326">
            <v>0</v>
          </cell>
          <cell r="K326">
            <v>0</v>
          </cell>
        </row>
        <row r="327">
          <cell r="F327">
            <v>0</v>
          </cell>
          <cell r="G327">
            <v>0</v>
          </cell>
          <cell r="H327">
            <v>0</v>
          </cell>
          <cell r="I327">
            <v>0</v>
          </cell>
          <cell r="J327">
            <v>0</v>
          </cell>
          <cell r="K327">
            <v>-378</v>
          </cell>
        </row>
        <row r="328">
          <cell r="F328">
            <v>0</v>
          </cell>
          <cell r="G328">
            <v>0</v>
          </cell>
          <cell r="H328">
            <v>0</v>
          </cell>
          <cell r="I328">
            <v>0</v>
          </cell>
          <cell r="J328">
            <v>0</v>
          </cell>
          <cell r="K328">
            <v>0</v>
          </cell>
        </row>
        <row r="329">
          <cell r="F329">
            <v>0</v>
          </cell>
          <cell r="G329">
            <v>0</v>
          </cell>
          <cell r="H329">
            <v>0</v>
          </cell>
          <cell r="I329">
            <v>0</v>
          </cell>
          <cell r="J329">
            <v>0</v>
          </cell>
          <cell r="K329">
            <v>-2596</v>
          </cell>
        </row>
        <row r="330">
          <cell r="F330">
            <v>0</v>
          </cell>
          <cell r="G330">
            <v>0</v>
          </cell>
          <cell r="H330">
            <v>0</v>
          </cell>
          <cell r="I330">
            <v>0</v>
          </cell>
          <cell r="J330">
            <v>0</v>
          </cell>
          <cell r="K330">
            <v>-4124</v>
          </cell>
        </row>
        <row r="331">
          <cell r="F331">
            <v>0</v>
          </cell>
          <cell r="G331">
            <v>0</v>
          </cell>
          <cell r="H331">
            <v>0</v>
          </cell>
          <cell r="I331">
            <v>0</v>
          </cell>
          <cell r="J331">
            <v>0</v>
          </cell>
          <cell r="K331">
            <v>-780</v>
          </cell>
        </row>
        <row r="332">
          <cell r="F332">
            <v>-19964</v>
          </cell>
          <cell r="G332">
            <v>0</v>
          </cell>
          <cell r="H332">
            <v>-19964</v>
          </cell>
          <cell r="I332">
            <v>4406</v>
          </cell>
          <cell r="J332">
            <v>-15558</v>
          </cell>
          <cell r="K332">
            <v>0</v>
          </cell>
        </row>
        <row r="333">
          <cell r="F333">
            <v>-107</v>
          </cell>
          <cell r="G333">
            <v>0</v>
          </cell>
          <cell r="H333">
            <v>-107</v>
          </cell>
          <cell r="I333">
            <v>0</v>
          </cell>
          <cell r="J333">
            <v>-107</v>
          </cell>
          <cell r="K333">
            <v>0</v>
          </cell>
        </row>
        <row r="334">
          <cell r="F334">
            <v>-4646</v>
          </cell>
          <cell r="G334">
            <v>0</v>
          </cell>
          <cell r="H334">
            <v>-4646</v>
          </cell>
          <cell r="I334">
            <v>0</v>
          </cell>
          <cell r="J334">
            <v>-4646</v>
          </cell>
          <cell r="K334">
            <v>0</v>
          </cell>
        </row>
        <row r="335">
          <cell r="F335">
            <v>-24717</v>
          </cell>
          <cell r="G335">
            <v>0</v>
          </cell>
          <cell r="H335">
            <v>-24717</v>
          </cell>
          <cell r="I335">
            <v>4406</v>
          </cell>
          <cell r="J335">
            <v>-20311</v>
          </cell>
          <cell r="K335">
            <v>-23681</v>
          </cell>
        </row>
        <row r="337">
          <cell r="F337">
            <v>0</v>
          </cell>
          <cell r="G337">
            <v>0</v>
          </cell>
          <cell r="H337">
            <v>0</v>
          </cell>
          <cell r="I337">
            <v>0</v>
          </cell>
          <cell r="J337">
            <v>0</v>
          </cell>
          <cell r="K337">
            <v>-10645</v>
          </cell>
        </row>
        <row r="338">
          <cell r="F338">
            <v>0</v>
          </cell>
          <cell r="G338">
            <v>0</v>
          </cell>
          <cell r="H338">
            <v>0</v>
          </cell>
          <cell r="I338">
            <v>0</v>
          </cell>
          <cell r="J338">
            <v>0</v>
          </cell>
          <cell r="K338">
            <v>-15642</v>
          </cell>
        </row>
        <row r="339">
          <cell r="F339">
            <v>0</v>
          </cell>
          <cell r="G339">
            <v>0</v>
          </cell>
          <cell r="H339">
            <v>0</v>
          </cell>
          <cell r="I339">
            <v>0</v>
          </cell>
          <cell r="J339">
            <v>0</v>
          </cell>
          <cell r="K339">
            <v>-737</v>
          </cell>
        </row>
        <row r="340">
          <cell r="F340">
            <v>-23190</v>
          </cell>
          <cell r="G340">
            <v>0</v>
          </cell>
          <cell r="H340">
            <v>-23190</v>
          </cell>
          <cell r="I340">
            <v>0</v>
          </cell>
          <cell r="J340">
            <v>-23190</v>
          </cell>
          <cell r="K340">
            <v>0</v>
          </cell>
        </row>
        <row r="341">
          <cell r="F341">
            <v>0</v>
          </cell>
          <cell r="G341">
            <v>0</v>
          </cell>
          <cell r="H341">
            <v>0</v>
          </cell>
          <cell r="I341">
            <v>0</v>
          </cell>
          <cell r="J341">
            <v>0</v>
          </cell>
          <cell r="K341">
            <v>0</v>
          </cell>
        </row>
        <row r="342">
          <cell r="F342">
            <v>0</v>
          </cell>
          <cell r="G342">
            <v>0</v>
          </cell>
          <cell r="H342">
            <v>0</v>
          </cell>
          <cell r="I342">
            <v>0</v>
          </cell>
          <cell r="J342">
            <v>0</v>
          </cell>
          <cell r="K342">
            <v>0</v>
          </cell>
        </row>
        <row r="343">
          <cell r="F343">
            <v>0</v>
          </cell>
          <cell r="G343">
            <v>0</v>
          </cell>
          <cell r="H343">
            <v>0</v>
          </cell>
          <cell r="I343">
            <v>0</v>
          </cell>
          <cell r="J343">
            <v>0</v>
          </cell>
          <cell r="K343">
            <v>0</v>
          </cell>
        </row>
        <row r="344">
          <cell r="F344">
            <v>-8662</v>
          </cell>
          <cell r="G344">
            <v>0</v>
          </cell>
          <cell r="H344">
            <v>-8662</v>
          </cell>
          <cell r="I344">
            <v>0</v>
          </cell>
          <cell r="J344">
            <v>-8662</v>
          </cell>
          <cell r="K344">
            <v>0</v>
          </cell>
        </row>
        <row r="345">
          <cell r="F345">
            <v>-31852</v>
          </cell>
          <cell r="G345">
            <v>0</v>
          </cell>
          <cell r="H345">
            <v>-31852</v>
          </cell>
          <cell r="I345">
            <v>0</v>
          </cell>
          <cell r="J345">
            <v>-31852</v>
          </cell>
          <cell r="K345">
            <v>-27024</v>
          </cell>
        </row>
        <row r="347">
          <cell r="F347">
            <v>0</v>
          </cell>
          <cell r="G347">
            <v>0</v>
          </cell>
          <cell r="H347">
            <v>0</v>
          </cell>
          <cell r="I347">
            <v>0</v>
          </cell>
          <cell r="J347">
            <v>0</v>
          </cell>
          <cell r="K347">
            <v>0</v>
          </cell>
        </row>
        <row r="349">
          <cell r="F349">
            <v>0</v>
          </cell>
          <cell r="G349">
            <v>0</v>
          </cell>
          <cell r="H349">
            <v>0</v>
          </cell>
          <cell r="I349">
            <v>0</v>
          </cell>
          <cell r="J349">
            <v>0</v>
          </cell>
          <cell r="K349">
            <v>0</v>
          </cell>
        </row>
        <row r="350">
          <cell r="F350">
            <v>0</v>
          </cell>
          <cell r="G350">
            <v>0</v>
          </cell>
          <cell r="H350">
            <v>0</v>
          </cell>
          <cell r="I350">
            <v>0</v>
          </cell>
          <cell r="J350">
            <v>0</v>
          </cell>
          <cell r="K350">
            <v>0</v>
          </cell>
        </row>
        <row r="352">
          <cell r="F352">
            <v>0</v>
          </cell>
          <cell r="G352">
            <v>0</v>
          </cell>
          <cell r="H352">
            <v>0</v>
          </cell>
          <cell r="I352">
            <v>0</v>
          </cell>
          <cell r="J352">
            <v>0</v>
          </cell>
          <cell r="K352">
            <v>-46</v>
          </cell>
        </row>
        <row r="353">
          <cell r="F353">
            <v>0</v>
          </cell>
          <cell r="G353">
            <v>0</v>
          </cell>
          <cell r="H353">
            <v>0</v>
          </cell>
          <cell r="I353">
            <v>0</v>
          </cell>
          <cell r="J353">
            <v>0</v>
          </cell>
          <cell r="K353">
            <v>0</v>
          </cell>
        </row>
        <row r="354">
          <cell r="F354">
            <v>0</v>
          </cell>
          <cell r="G354">
            <v>0</v>
          </cell>
          <cell r="H354">
            <v>0</v>
          </cell>
          <cell r="I354">
            <v>0</v>
          </cell>
          <cell r="J354">
            <v>0</v>
          </cell>
          <cell r="K354">
            <v>-46</v>
          </cell>
        </row>
        <row r="356">
          <cell r="F356">
            <v>0</v>
          </cell>
          <cell r="G356">
            <v>0</v>
          </cell>
          <cell r="H356">
            <v>0</v>
          </cell>
          <cell r="I356">
            <v>0</v>
          </cell>
          <cell r="J356">
            <v>0</v>
          </cell>
          <cell r="K356">
            <v>0</v>
          </cell>
        </row>
        <row r="357">
          <cell r="F357">
            <v>0</v>
          </cell>
          <cell r="G357">
            <v>0</v>
          </cell>
          <cell r="H357">
            <v>0</v>
          </cell>
          <cell r="I357">
            <v>0</v>
          </cell>
          <cell r="J357">
            <v>0</v>
          </cell>
          <cell r="K357">
            <v>0</v>
          </cell>
        </row>
        <row r="358">
          <cell r="F358">
            <v>0</v>
          </cell>
          <cell r="G358">
            <v>0</v>
          </cell>
          <cell r="H358">
            <v>0</v>
          </cell>
          <cell r="I358">
            <v>0</v>
          </cell>
          <cell r="J358">
            <v>0</v>
          </cell>
          <cell r="K358">
            <v>0</v>
          </cell>
        </row>
        <row r="359">
          <cell r="F359">
            <v>0</v>
          </cell>
          <cell r="G359">
            <v>0</v>
          </cell>
          <cell r="H359">
            <v>0</v>
          </cell>
          <cell r="I359">
            <v>0</v>
          </cell>
          <cell r="J359">
            <v>0</v>
          </cell>
          <cell r="K359">
            <v>0</v>
          </cell>
        </row>
        <row r="360">
          <cell r="F360">
            <v>0</v>
          </cell>
          <cell r="G360">
            <v>0</v>
          </cell>
          <cell r="H360">
            <v>0</v>
          </cell>
          <cell r="I360">
            <v>0</v>
          </cell>
          <cell r="J360">
            <v>0</v>
          </cell>
          <cell r="K360">
            <v>0</v>
          </cell>
        </row>
        <row r="361">
          <cell r="F361">
            <v>0</v>
          </cell>
          <cell r="G361">
            <v>0</v>
          </cell>
          <cell r="H361">
            <v>0</v>
          </cell>
          <cell r="I361">
            <v>0</v>
          </cell>
          <cell r="J361">
            <v>0</v>
          </cell>
          <cell r="K361">
            <v>0</v>
          </cell>
        </row>
        <row r="362">
          <cell r="F362">
            <v>0</v>
          </cell>
          <cell r="G362">
            <v>0</v>
          </cell>
          <cell r="H362">
            <v>0</v>
          </cell>
          <cell r="I362">
            <v>0</v>
          </cell>
          <cell r="J362">
            <v>0</v>
          </cell>
          <cell r="K362">
            <v>-415</v>
          </cell>
        </row>
        <row r="363">
          <cell r="F363">
            <v>0</v>
          </cell>
          <cell r="G363">
            <v>0</v>
          </cell>
          <cell r="H363">
            <v>0</v>
          </cell>
          <cell r="I363">
            <v>0</v>
          </cell>
          <cell r="J363">
            <v>0</v>
          </cell>
          <cell r="K363">
            <v>-1902</v>
          </cell>
        </row>
        <row r="364">
          <cell r="F364">
            <v>0</v>
          </cell>
          <cell r="G364">
            <v>0</v>
          </cell>
          <cell r="H364">
            <v>0</v>
          </cell>
          <cell r="I364">
            <v>0</v>
          </cell>
          <cell r="J364">
            <v>0</v>
          </cell>
          <cell r="K364">
            <v>0</v>
          </cell>
        </row>
        <row r="365">
          <cell r="F365">
            <v>0</v>
          </cell>
          <cell r="G365">
            <v>0</v>
          </cell>
          <cell r="H365">
            <v>0</v>
          </cell>
          <cell r="I365">
            <v>0</v>
          </cell>
          <cell r="J365">
            <v>0</v>
          </cell>
          <cell r="K365">
            <v>-41</v>
          </cell>
        </row>
        <row r="366">
          <cell r="F366">
            <v>0</v>
          </cell>
          <cell r="G366">
            <v>0</v>
          </cell>
          <cell r="H366">
            <v>0</v>
          </cell>
          <cell r="I366">
            <v>0</v>
          </cell>
          <cell r="J366">
            <v>0</v>
          </cell>
          <cell r="K366">
            <v>-8</v>
          </cell>
        </row>
        <row r="367">
          <cell r="F367">
            <v>0</v>
          </cell>
          <cell r="G367">
            <v>0</v>
          </cell>
          <cell r="H367">
            <v>0</v>
          </cell>
          <cell r="I367">
            <v>0</v>
          </cell>
          <cell r="J367">
            <v>0</v>
          </cell>
          <cell r="K367">
            <v>0</v>
          </cell>
        </row>
        <row r="368">
          <cell r="F368">
            <v>0</v>
          </cell>
          <cell r="G368">
            <v>0</v>
          </cell>
          <cell r="H368">
            <v>0</v>
          </cell>
          <cell r="I368">
            <v>0</v>
          </cell>
          <cell r="J368">
            <v>0</v>
          </cell>
          <cell r="K368">
            <v>0</v>
          </cell>
        </row>
        <row r="369">
          <cell r="F369">
            <v>0</v>
          </cell>
          <cell r="G369">
            <v>0</v>
          </cell>
          <cell r="H369">
            <v>0</v>
          </cell>
          <cell r="I369">
            <v>0</v>
          </cell>
          <cell r="J369">
            <v>0</v>
          </cell>
          <cell r="K369">
            <v>-147</v>
          </cell>
        </row>
        <row r="370">
          <cell r="F370">
            <v>0</v>
          </cell>
          <cell r="G370">
            <v>0</v>
          </cell>
          <cell r="H370">
            <v>0</v>
          </cell>
          <cell r="I370">
            <v>0</v>
          </cell>
          <cell r="J370">
            <v>0</v>
          </cell>
          <cell r="K370">
            <v>-46</v>
          </cell>
        </row>
        <row r="371">
          <cell r="F371">
            <v>0</v>
          </cell>
          <cell r="G371">
            <v>0</v>
          </cell>
          <cell r="H371">
            <v>0</v>
          </cell>
          <cell r="I371">
            <v>0</v>
          </cell>
          <cell r="J371">
            <v>0</v>
          </cell>
          <cell r="K371">
            <v>-712</v>
          </cell>
        </row>
        <row r="372">
          <cell r="F372">
            <v>0</v>
          </cell>
          <cell r="G372">
            <v>0</v>
          </cell>
          <cell r="H372">
            <v>0</v>
          </cell>
          <cell r="I372">
            <v>0</v>
          </cell>
          <cell r="J372">
            <v>0</v>
          </cell>
          <cell r="K372">
            <v>-289</v>
          </cell>
        </row>
        <row r="373">
          <cell r="F373">
            <v>-169</v>
          </cell>
          <cell r="G373">
            <v>0</v>
          </cell>
          <cell r="H373">
            <v>-169</v>
          </cell>
          <cell r="I373">
            <v>0</v>
          </cell>
          <cell r="J373">
            <v>-169</v>
          </cell>
          <cell r="K373">
            <v>0</v>
          </cell>
        </row>
        <row r="374">
          <cell r="F374">
            <v>-3</v>
          </cell>
          <cell r="G374">
            <v>0</v>
          </cell>
          <cell r="H374">
            <v>-3</v>
          </cell>
          <cell r="I374">
            <v>0</v>
          </cell>
          <cell r="J374">
            <v>-3</v>
          </cell>
          <cell r="K374">
            <v>0</v>
          </cell>
        </row>
        <row r="375">
          <cell r="F375">
            <v>-690</v>
          </cell>
          <cell r="G375">
            <v>0</v>
          </cell>
          <cell r="H375">
            <v>-690</v>
          </cell>
          <cell r="I375">
            <v>0</v>
          </cell>
          <cell r="J375">
            <v>-690</v>
          </cell>
          <cell r="K375">
            <v>0</v>
          </cell>
        </row>
        <row r="376">
          <cell r="F376">
            <v>-495</v>
          </cell>
          <cell r="G376">
            <v>0</v>
          </cell>
          <cell r="H376">
            <v>-495</v>
          </cell>
          <cell r="I376">
            <v>0</v>
          </cell>
          <cell r="J376">
            <v>-495</v>
          </cell>
          <cell r="K376">
            <v>0</v>
          </cell>
        </row>
        <row r="377">
          <cell r="F377">
            <v>-128</v>
          </cell>
          <cell r="G377">
            <v>0</v>
          </cell>
          <cell r="H377">
            <v>-128</v>
          </cell>
          <cell r="I377">
            <v>0</v>
          </cell>
          <cell r="J377">
            <v>-128</v>
          </cell>
          <cell r="K377">
            <v>0</v>
          </cell>
        </row>
        <row r="378">
          <cell r="F378">
            <v>-492</v>
          </cell>
          <cell r="G378">
            <v>0</v>
          </cell>
          <cell r="H378">
            <v>-492</v>
          </cell>
          <cell r="I378">
            <v>0</v>
          </cell>
          <cell r="J378">
            <v>-492</v>
          </cell>
          <cell r="K378">
            <v>0</v>
          </cell>
        </row>
        <row r="379">
          <cell r="F379">
            <v>-2655</v>
          </cell>
          <cell r="G379">
            <v>0</v>
          </cell>
          <cell r="H379">
            <v>-2655</v>
          </cell>
          <cell r="I379">
            <v>0</v>
          </cell>
          <cell r="J379">
            <v>-2655</v>
          </cell>
          <cell r="K379">
            <v>0</v>
          </cell>
        </row>
        <row r="380">
          <cell r="F380">
            <v>-59</v>
          </cell>
          <cell r="G380">
            <v>0</v>
          </cell>
          <cell r="H380">
            <v>-59</v>
          </cell>
          <cell r="I380">
            <v>0</v>
          </cell>
          <cell r="J380">
            <v>-59</v>
          </cell>
          <cell r="K380">
            <v>0</v>
          </cell>
        </row>
        <row r="381">
          <cell r="F381">
            <v>0</v>
          </cell>
          <cell r="G381">
            <v>0</v>
          </cell>
          <cell r="H381">
            <v>0</v>
          </cell>
          <cell r="I381">
            <v>0</v>
          </cell>
          <cell r="J381">
            <v>0</v>
          </cell>
          <cell r="K381">
            <v>0</v>
          </cell>
        </row>
        <row r="382">
          <cell r="F382">
            <v>-4691</v>
          </cell>
          <cell r="G382">
            <v>0</v>
          </cell>
          <cell r="H382">
            <v>-4691</v>
          </cell>
          <cell r="I382">
            <v>0</v>
          </cell>
          <cell r="J382">
            <v>-4691</v>
          </cell>
          <cell r="K382">
            <v>-3560</v>
          </cell>
        </row>
        <row r="384">
          <cell r="F384">
            <v>0</v>
          </cell>
          <cell r="G384">
            <v>0</v>
          </cell>
          <cell r="H384">
            <v>0</v>
          </cell>
          <cell r="I384">
            <v>0</v>
          </cell>
          <cell r="J384">
            <v>0</v>
          </cell>
          <cell r="K384">
            <v>-1923</v>
          </cell>
        </row>
        <row r="385">
          <cell r="F385">
            <v>0</v>
          </cell>
          <cell r="G385">
            <v>0</v>
          </cell>
          <cell r="H385">
            <v>0</v>
          </cell>
          <cell r="I385">
            <v>0</v>
          </cell>
          <cell r="J385">
            <v>0</v>
          </cell>
          <cell r="K385">
            <v>132</v>
          </cell>
        </row>
        <row r="386">
          <cell r="F386">
            <v>0</v>
          </cell>
          <cell r="G386">
            <v>0</v>
          </cell>
          <cell r="H386">
            <v>0</v>
          </cell>
          <cell r="I386">
            <v>0</v>
          </cell>
          <cell r="J386">
            <v>0</v>
          </cell>
          <cell r="K386">
            <v>2219</v>
          </cell>
        </row>
        <row r="387">
          <cell r="F387">
            <v>0</v>
          </cell>
          <cell r="G387">
            <v>0</v>
          </cell>
          <cell r="H387">
            <v>0</v>
          </cell>
          <cell r="I387">
            <v>0</v>
          </cell>
          <cell r="J387">
            <v>0</v>
          </cell>
          <cell r="K387">
            <v>0</v>
          </cell>
        </row>
        <row r="388">
          <cell r="F388">
            <v>323</v>
          </cell>
          <cell r="G388">
            <v>0</v>
          </cell>
          <cell r="H388">
            <v>323</v>
          </cell>
          <cell r="I388">
            <v>0</v>
          </cell>
          <cell r="J388">
            <v>323</v>
          </cell>
          <cell r="K388">
            <v>0</v>
          </cell>
        </row>
        <row r="389">
          <cell r="F389">
            <v>-15793</v>
          </cell>
          <cell r="G389">
            <v>0</v>
          </cell>
          <cell r="H389">
            <v>-15793</v>
          </cell>
          <cell r="I389">
            <v>0</v>
          </cell>
          <cell r="J389">
            <v>-15793</v>
          </cell>
          <cell r="K389">
            <v>0</v>
          </cell>
        </row>
        <row r="390">
          <cell r="F390">
            <v>50</v>
          </cell>
          <cell r="G390">
            <v>0</v>
          </cell>
          <cell r="H390">
            <v>50</v>
          </cell>
          <cell r="I390">
            <v>0</v>
          </cell>
          <cell r="J390">
            <v>50</v>
          </cell>
          <cell r="K390">
            <v>0</v>
          </cell>
        </row>
        <row r="391">
          <cell r="F391">
            <v>-15420</v>
          </cell>
          <cell r="G391">
            <v>0</v>
          </cell>
          <cell r="H391">
            <v>-15420</v>
          </cell>
          <cell r="I391">
            <v>0</v>
          </cell>
          <cell r="J391">
            <v>-15420</v>
          </cell>
          <cell r="K391">
            <v>428</v>
          </cell>
        </row>
        <row r="393">
          <cell r="F393">
            <v>0</v>
          </cell>
          <cell r="G393">
            <v>0</v>
          </cell>
          <cell r="H393">
            <v>0</v>
          </cell>
          <cell r="I393">
            <v>0</v>
          </cell>
          <cell r="J393">
            <v>0</v>
          </cell>
          <cell r="K393">
            <v>-41</v>
          </cell>
        </row>
        <row r="394">
          <cell r="F394">
            <v>3157</v>
          </cell>
          <cell r="G394">
            <v>0</v>
          </cell>
          <cell r="H394">
            <v>3157</v>
          </cell>
          <cell r="I394">
            <v>-4406</v>
          </cell>
          <cell r="J394">
            <v>-1249</v>
          </cell>
          <cell r="K394">
            <v>0</v>
          </cell>
        </row>
        <row r="395">
          <cell r="F395">
            <v>3157</v>
          </cell>
          <cell r="G395">
            <v>0</v>
          </cell>
          <cell r="H395">
            <v>3157</v>
          </cell>
          <cell r="I395">
            <v>-4406</v>
          </cell>
          <cell r="J395">
            <v>-1249</v>
          </cell>
          <cell r="K395">
            <v>-41</v>
          </cell>
        </row>
        <row r="397">
          <cell r="F397">
            <v>0</v>
          </cell>
          <cell r="G397">
            <v>0</v>
          </cell>
          <cell r="H397">
            <v>0</v>
          </cell>
          <cell r="I397">
            <v>0</v>
          </cell>
          <cell r="J397">
            <v>0</v>
          </cell>
          <cell r="K397">
            <v>7759</v>
          </cell>
        </row>
        <row r="398">
          <cell r="F398">
            <v>0</v>
          </cell>
          <cell r="G398">
            <v>0</v>
          </cell>
          <cell r="H398">
            <v>0</v>
          </cell>
          <cell r="I398">
            <v>0</v>
          </cell>
          <cell r="J398">
            <v>0</v>
          </cell>
          <cell r="K398">
            <v>1440</v>
          </cell>
        </row>
        <row r="399">
          <cell r="F399">
            <v>0</v>
          </cell>
          <cell r="G399">
            <v>0</v>
          </cell>
          <cell r="H399">
            <v>0</v>
          </cell>
          <cell r="I399">
            <v>0</v>
          </cell>
          <cell r="J399">
            <v>0</v>
          </cell>
          <cell r="K399">
            <v>1241</v>
          </cell>
        </row>
        <row r="400">
          <cell r="F400">
            <v>7683</v>
          </cell>
          <cell r="G400">
            <v>0</v>
          </cell>
          <cell r="H400">
            <v>7683</v>
          </cell>
          <cell r="I400">
            <v>0</v>
          </cell>
          <cell r="J400">
            <v>7683</v>
          </cell>
          <cell r="K400">
            <v>0</v>
          </cell>
        </row>
        <row r="401">
          <cell r="F401">
            <v>1337</v>
          </cell>
          <cell r="G401">
            <v>0</v>
          </cell>
          <cell r="H401">
            <v>1337</v>
          </cell>
          <cell r="I401">
            <v>0</v>
          </cell>
          <cell r="J401">
            <v>1337</v>
          </cell>
          <cell r="K401">
            <v>0</v>
          </cell>
        </row>
        <row r="402">
          <cell r="F402">
            <v>1229</v>
          </cell>
          <cell r="G402">
            <v>0</v>
          </cell>
          <cell r="H402">
            <v>1229</v>
          </cell>
          <cell r="I402">
            <v>0</v>
          </cell>
          <cell r="J402">
            <v>1229</v>
          </cell>
          <cell r="K402">
            <v>0</v>
          </cell>
        </row>
        <row r="403">
          <cell r="F403">
            <v>10249</v>
          </cell>
          <cell r="G403">
            <v>0</v>
          </cell>
          <cell r="H403">
            <v>10249</v>
          </cell>
          <cell r="I403">
            <v>0</v>
          </cell>
          <cell r="J403">
            <v>10249</v>
          </cell>
          <cell r="K403">
            <v>10440</v>
          </cell>
        </row>
        <row r="405">
          <cell r="F405">
            <v>0</v>
          </cell>
          <cell r="G405">
            <v>0</v>
          </cell>
          <cell r="H405">
            <v>0</v>
          </cell>
          <cell r="I405">
            <v>0</v>
          </cell>
          <cell r="J405">
            <v>0</v>
          </cell>
          <cell r="K405">
            <v>869</v>
          </cell>
        </row>
        <row r="406">
          <cell r="F406">
            <v>864</v>
          </cell>
          <cell r="G406">
            <v>0</v>
          </cell>
          <cell r="H406">
            <v>864</v>
          </cell>
          <cell r="I406">
            <v>0</v>
          </cell>
          <cell r="J406">
            <v>864</v>
          </cell>
          <cell r="K406">
            <v>0</v>
          </cell>
        </row>
        <row r="407">
          <cell r="F407">
            <v>864</v>
          </cell>
          <cell r="G407">
            <v>0</v>
          </cell>
          <cell r="H407">
            <v>864</v>
          </cell>
          <cell r="I407">
            <v>0</v>
          </cell>
          <cell r="J407">
            <v>864</v>
          </cell>
          <cell r="K407">
            <v>869</v>
          </cell>
        </row>
        <row r="409">
          <cell r="F409">
            <v>0</v>
          </cell>
          <cell r="G409">
            <v>0</v>
          </cell>
          <cell r="H409">
            <v>0</v>
          </cell>
          <cell r="I409">
            <v>0</v>
          </cell>
          <cell r="J409">
            <v>0</v>
          </cell>
          <cell r="K409">
            <v>388</v>
          </cell>
        </row>
        <row r="410">
          <cell r="F410">
            <v>384</v>
          </cell>
          <cell r="G410">
            <v>0</v>
          </cell>
          <cell r="H410">
            <v>384</v>
          </cell>
          <cell r="I410">
            <v>0</v>
          </cell>
          <cell r="J410">
            <v>384</v>
          </cell>
          <cell r="K410">
            <v>0</v>
          </cell>
        </row>
        <row r="411">
          <cell r="F411">
            <v>384</v>
          </cell>
          <cell r="G411">
            <v>0</v>
          </cell>
          <cell r="H411">
            <v>384</v>
          </cell>
          <cell r="I411">
            <v>0</v>
          </cell>
          <cell r="J411">
            <v>384</v>
          </cell>
          <cell r="K411">
            <v>388</v>
          </cell>
        </row>
        <row r="413">
          <cell r="F413">
            <v>0</v>
          </cell>
          <cell r="G413">
            <v>0</v>
          </cell>
          <cell r="H413">
            <v>0</v>
          </cell>
          <cell r="I413">
            <v>0</v>
          </cell>
          <cell r="J413">
            <v>0</v>
          </cell>
          <cell r="K413">
            <v>0</v>
          </cell>
        </row>
        <row r="414">
          <cell r="F414">
            <v>0</v>
          </cell>
          <cell r="G414">
            <v>0</v>
          </cell>
          <cell r="H414">
            <v>0</v>
          </cell>
          <cell r="I414">
            <v>0</v>
          </cell>
          <cell r="J414">
            <v>0</v>
          </cell>
          <cell r="K414">
            <v>0</v>
          </cell>
        </row>
        <row r="415">
          <cell r="F415">
            <v>0</v>
          </cell>
          <cell r="G415">
            <v>0</v>
          </cell>
          <cell r="H415">
            <v>0</v>
          </cell>
          <cell r="I415">
            <v>0</v>
          </cell>
          <cell r="J415">
            <v>0</v>
          </cell>
          <cell r="K415">
            <v>6</v>
          </cell>
        </row>
        <row r="416">
          <cell r="F416">
            <v>0</v>
          </cell>
          <cell r="G416">
            <v>0</v>
          </cell>
          <cell r="H416">
            <v>0</v>
          </cell>
          <cell r="I416">
            <v>0</v>
          </cell>
          <cell r="J416">
            <v>0</v>
          </cell>
          <cell r="K416">
            <v>5</v>
          </cell>
        </row>
        <row r="417">
          <cell r="F417">
            <v>0</v>
          </cell>
          <cell r="G417">
            <v>0</v>
          </cell>
          <cell r="H417">
            <v>0</v>
          </cell>
          <cell r="I417">
            <v>0</v>
          </cell>
          <cell r="J417">
            <v>0</v>
          </cell>
          <cell r="K417">
            <v>10</v>
          </cell>
        </row>
        <row r="418">
          <cell r="F418">
            <v>0</v>
          </cell>
          <cell r="G418">
            <v>0</v>
          </cell>
          <cell r="H418">
            <v>0</v>
          </cell>
          <cell r="I418">
            <v>0</v>
          </cell>
          <cell r="J418">
            <v>0</v>
          </cell>
          <cell r="K418">
            <v>7</v>
          </cell>
        </row>
        <row r="419">
          <cell r="F419">
            <v>0</v>
          </cell>
          <cell r="G419">
            <v>0</v>
          </cell>
          <cell r="H419">
            <v>0</v>
          </cell>
          <cell r="I419">
            <v>0</v>
          </cell>
          <cell r="J419">
            <v>0</v>
          </cell>
          <cell r="K419">
            <v>0</v>
          </cell>
        </row>
        <row r="420">
          <cell r="F420">
            <v>0</v>
          </cell>
          <cell r="G420">
            <v>0</v>
          </cell>
          <cell r="H420">
            <v>0</v>
          </cell>
          <cell r="I420">
            <v>0</v>
          </cell>
          <cell r="J420">
            <v>0</v>
          </cell>
          <cell r="K420">
            <v>0</v>
          </cell>
        </row>
        <row r="421">
          <cell r="F421">
            <v>0</v>
          </cell>
          <cell r="G421">
            <v>0</v>
          </cell>
          <cell r="H421">
            <v>0</v>
          </cell>
          <cell r="I421">
            <v>0</v>
          </cell>
          <cell r="J421">
            <v>0</v>
          </cell>
          <cell r="K421">
            <v>0</v>
          </cell>
        </row>
        <row r="422">
          <cell r="F422">
            <v>0</v>
          </cell>
          <cell r="G422">
            <v>0</v>
          </cell>
          <cell r="H422">
            <v>0</v>
          </cell>
          <cell r="I422">
            <v>0</v>
          </cell>
          <cell r="J422">
            <v>0</v>
          </cell>
          <cell r="K422">
            <v>16</v>
          </cell>
        </row>
        <row r="423">
          <cell r="F423">
            <v>0</v>
          </cell>
          <cell r="G423">
            <v>0</v>
          </cell>
          <cell r="H423">
            <v>0</v>
          </cell>
          <cell r="I423">
            <v>0</v>
          </cell>
          <cell r="J423">
            <v>0</v>
          </cell>
          <cell r="K423">
            <v>5</v>
          </cell>
        </row>
        <row r="424">
          <cell r="F424">
            <v>0</v>
          </cell>
          <cell r="G424">
            <v>0</v>
          </cell>
          <cell r="H424">
            <v>0</v>
          </cell>
          <cell r="I424">
            <v>0</v>
          </cell>
          <cell r="J424">
            <v>0</v>
          </cell>
          <cell r="K424">
            <v>15</v>
          </cell>
        </row>
        <row r="425">
          <cell r="F425">
            <v>0</v>
          </cell>
          <cell r="G425">
            <v>0</v>
          </cell>
          <cell r="H425">
            <v>0</v>
          </cell>
          <cell r="I425">
            <v>0</v>
          </cell>
          <cell r="J425">
            <v>0</v>
          </cell>
          <cell r="K425">
            <v>1</v>
          </cell>
        </row>
        <row r="426">
          <cell r="F426">
            <v>0</v>
          </cell>
          <cell r="G426">
            <v>0</v>
          </cell>
          <cell r="H426">
            <v>0</v>
          </cell>
          <cell r="I426">
            <v>0</v>
          </cell>
          <cell r="J426">
            <v>0</v>
          </cell>
          <cell r="K426">
            <v>0</v>
          </cell>
        </row>
        <row r="427">
          <cell r="F427">
            <v>0</v>
          </cell>
          <cell r="G427">
            <v>0</v>
          </cell>
          <cell r="H427">
            <v>0</v>
          </cell>
          <cell r="I427">
            <v>0</v>
          </cell>
          <cell r="J427">
            <v>0</v>
          </cell>
          <cell r="K427">
            <v>4</v>
          </cell>
        </row>
        <row r="428">
          <cell r="F428">
            <v>70</v>
          </cell>
          <cell r="G428">
            <v>0</v>
          </cell>
          <cell r="H428">
            <v>70</v>
          </cell>
          <cell r="I428">
            <v>0</v>
          </cell>
          <cell r="J428">
            <v>70</v>
          </cell>
          <cell r="K428">
            <v>0</v>
          </cell>
        </row>
        <row r="429">
          <cell r="F429">
            <v>70</v>
          </cell>
          <cell r="G429">
            <v>0</v>
          </cell>
          <cell r="H429">
            <v>70</v>
          </cell>
          <cell r="I429">
            <v>0</v>
          </cell>
          <cell r="J429">
            <v>70</v>
          </cell>
          <cell r="K429">
            <v>69</v>
          </cell>
        </row>
        <row r="431">
          <cell r="F431">
            <v>0</v>
          </cell>
          <cell r="G431">
            <v>0</v>
          </cell>
          <cell r="H431">
            <v>0</v>
          </cell>
          <cell r="I431">
            <v>0</v>
          </cell>
          <cell r="J431">
            <v>0</v>
          </cell>
          <cell r="K431">
            <v>0</v>
          </cell>
        </row>
        <row r="433">
          <cell r="F433">
            <v>0</v>
          </cell>
          <cell r="G433">
            <v>0</v>
          </cell>
          <cell r="H433">
            <v>0</v>
          </cell>
          <cell r="I433">
            <v>0</v>
          </cell>
          <cell r="J433">
            <v>0</v>
          </cell>
          <cell r="K433">
            <v>0</v>
          </cell>
        </row>
        <row r="435">
          <cell r="F435">
            <v>0</v>
          </cell>
          <cell r="G435">
            <v>0</v>
          </cell>
          <cell r="H435">
            <v>0</v>
          </cell>
          <cell r="I435">
            <v>0</v>
          </cell>
          <cell r="J435">
            <v>0</v>
          </cell>
          <cell r="K435">
            <v>0</v>
          </cell>
        </row>
        <row r="436">
          <cell r="F436">
            <v>0</v>
          </cell>
          <cell r="G436">
            <v>0</v>
          </cell>
          <cell r="H436">
            <v>0</v>
          </cell>
          <cell r="I436">
            <v>0</v>
          </cell>
          <cell r="J436">
            <v>0</v>
          </cell>
          <cell r="K436">
            <v>4</v>
          </cell>
        </row>
        <row r="437">
          <cell r="F437">
            <v>0</v>
          </cell>
          <cell r="G437">
            <v>0</v>
          </cell>
          <cell r="H437">
            <v>0</v>
          </cell>
          <cell r="I437">
            <v>0</v>
          </cell>
          <cell r="J437">
            <v>0</v>
          </cell>
          <cell r="K437">
            <v>11</v>
          </cell>
        </row>
        <row r="438">
          <cell r="F438">
            <v>0</v>
          </cell>
          <cell r="G438">
            <v>0</v>
          </cell>
          <cell r="H438">
            <v>0</v>
          </cell>
          <cell r="I438">
            <v>0</v>
          </cell>
          <cell r="J438">
            <v>0</v>
          </cell>
          <cell r="K438">
            <v>2</v>
          </cell>
        </row>
        <row r="439">
          <cell r="F439">
            <v>0</v>
          </cell>
          <cell r="G439">
            <v>0</v>
          </cell>
          <cell r="H439">
            <v>0</v>
          </cell>
          <cell r="I439">
            <v>0</v>
          </cell>
          <cell r="J439">
            <v>0</v>
          </cell>
          <cell r="K439">
            <v>0</v>
          </cell>
        </row>
        <row r="440">
          <cell r="F440">
            <v>0</v>
          </cell>
          <cell r="G440">
            <v>0</v>
          </cell>
          <cell r="H440">
            <v>0</v>
          </cell>
          <cell r="I440">
            <v>0</v>
          </cell>
          <cell r="J440">
            <v>0</v>
          </cell>
          <cell r="K440">
            <v>0</v>
          </cell>
        </row>
        <row r="441">
          <cell r="F441">
            <v>0</v>
          </cell>
          <cell r="G441">
            <v>0</v>
          </cell>
          <cell r="H441">
            <v>0</v>
          </cell>
          <cell r="I441">
            <v>0</v>
          </cell>
          <cell r="J441">
            <v>0</v>
          </cell>
          <cell r="K441">
            <v>1</v>
          </cell>
        </row>
        <row r="442">
          <cell r="F442">
            <v>0</v>
          </cell>
          <cell r="G442">
            <v>0</v>
          </cell>
          <cell r="H442">
            <v>0</v>
          </cell>
          <cell r="I442">
            <v>0</v>
          </cell>
          <cell r="J442">
            <v>0</v>
          </cell>
          <cell r="K442">
            <v>0</v>
          </cell>
        </row>
        <row r="443">
          <cell r="F443">
            <v>0</v>
          </cell>
          <cell r="G443">
            <v>0</v>
          </cell>
          <cell r="H443">
            <v>0</v>
          </cell>
          <cell r="I443">
            <v>0</v>
          </cell>
          <cell r="J443">
            <v>0</v>
          </cell>
          <cell r="K443">
            <v>0</v>
          </cell>
        </row>
        <row r="444">
          <cell r="F444">
            <v>0</v>
          </cell>
          <cell r="G444">
            <v>0</v>
          </cell>
          <cell r="H444">
            <v>0</v>
          </cell>
          <cell r="I444">
            <v>0</v>
          </cell>
          <cell r="J444">
            <v>0</v>
          </cell>
          <cell r="K444">
            <v>0</v>
          </cell>
        </row>
        <row r="445">
          <cell r="F445">
            <v>0</v>
          </cell>
          <cell r="G445">
            <v>0</v>
          </cell>
          <cell r="H445">
            <v>0</v>
          </cell>
          <cell r="I445">
            <v>0</v>
          </cell>
          <cell r="J445">
            <v>0</v>
          </cell>
          <cell r="K445">
            <v>1</v>
          </cell>
        </row>
        <row r="446">
          <cell r="F446">
            <v>0</v>
          </cell>
          <cell r="G446">
            <v>0</v>
          </cell>
          <cell r="H446">
            <v>0</v>
          </cell>
          <cell r="I446">
            <v>0</v>
          </cell>
          <cell r="J446">
            <v>0</v>
          </cell>
          <cell r="K446">
            <v>0</v>
          </cell>
        </row>
        <row r="447">
          <cell r="F447">
            <v>0</v>
          </cell>
          <cell r="G447">
            <v>0</v>
          </cell>
          <cell r="H447">
            <v>0</v>
          </cell>
          <cell r="I447">
            <v>0</v>
          </cell>
          <cell r="J447">
            <v>0</v>
          </cell>
          <cell r="K447">
            <v>1</v>
          </cell>
        </row>
        <row r="448">
          <cell r="F448">
            <v>0</v>
          </cell>
          <cell r="G448">
            <v>0</v>
          </cell>
          <cell r="H448">
            <v>0</v>
          </cell>
          <cell r="I448">
            <v>0</v>
          </cell>
          <cell r="J448">
            <v>0</v>
          </cell>
          <cell r="K448">
            <v>4</v>
          </cell>
        </row>
        <row r="449">
          <cell r="F449">
            <v>0</v>
          </cell>
          <cell r="G449">
            <v>0</v>
          </cell>
          <cell r="H449">
            <v>0</v>
          </cell>
          <cell r="I449">
            <v>0</v>
          </cell>
          <cell r="J449">
            <v>0</v>
          </cell>
          <cell r="K449">
            <v>32</v>
          </cell>
        </row>
        <row r="450">
          <cell r="F450">
            <v>0</v>
          </cell>
          <cell r="G450">
            <v>0</v>
          </cell>
          <cell r="H450">
            <v>0</v>
          </cell>
          <cell r="I450">
            <v>0</v>
          </cell>
          <cell r="J450">
            <v>0</v>
          </cell>
          <cell r="K450">
            <v>11</v>
          </cell>
        </row>
        <row r="451">
          <cell r="F451">
            <v>2</v>
          </cell>
          <cell r="G451">
            <v>0</v>
          </cell>
          <cell r="H451">
            <v>2</v>
          </cell>
          <cell r="I451">
            <v>0</v>
          </cell>
          <cell r="J451">
            <v>2</v>
          </cell>
          <cell r="K451">
            <v>0</v>
          </cell>
        </row>
        <row r="452">
          <cell r="F452">
            <v>1</v>
          </cell>
          <cell r="G452">
            <v>0</v>
          </cell>
          <cell r="H452">
            <v>1</v>
          </cell>
          <cell r="I452">
            <v>0</v>
          </cell>
          <cell r="J452">
            <v>1</v>
          </cell>
          <cell r="K452">
            <v>0</v>
          </cell>
        </row>
        <row r="453">
          <cell r="F453">
            <v>0</v>
          </cell>
          <cell r="G453">
            <v>0</v>
          </cell>
          <cell r="H453">
            <v>0</v>
          </cell>
          <cell r="I453">
            <v>0</v>
          </cell>
          <cell r="J453">
            <v>0</v>
          </cell>
          <cell r="K453">
            <v>0</v>
          </cell>
        </row>
        <row r="454">
          <cell r="F454">
            <v>28</v>
          </cell>
          <cell r="G454">
            <v>0</v>
          </cell>
          <cell r="H454">
            <v>28</v>
          </cell>
          <cell r="I454">
            <v>0</v>
          </cell>
          <cell r="J454">
            <v>28</v>
          </cell>
          <cell r="K454">
            <v>0</v>
          </cell>
        </row>
        <row r="455">
          <cell r="F455">
            <v>8</v>
          </cell>
          <cell r="G455">
            <v>0</v>
          </cell>
          <cell r="H455">
            <v>8</v>
          </cell>
          <cell r="I455">
            <v>0</v>
          </cell>
          <cell r="J455">
            <v>8</v>
          </cell>
          <cell r="K455">
            <v>0</v>
          </cell>
        </row>
        <row r="456">
          <cell r="F456">
            <v>3</v>
          </cell>
          <cell r="G456">
            <v>0</v>
          </cell>
          <cell r="H456">
            <v>3</v>
          </cell>
          <cell r="I456">
            <v>0</v>
          </cell>
          <cell r="J456">
            <v>3</v>
          </cell>
          <cell r="K456">
            <v>0</v>
          </cell>
        </row>
        <row r="457">
          <cell r="F457">
            <v>12</v>
          </cell>
          <cell r="G457">
            <v>0</v>
          </cell>
          <cell r="H457">
            <v>12</v>
          </cell>
          <cell r="I457">
            <v>0</v>
          </cell>
          <cell r="J457">
            <v>12</v>
          </cell>
          <cell r="K457">
            <v>0</v>
          </cell>
        </row>
        <row r="458">
          <cell r="F458">
            <v>-1</v>
          </cell>
          <cell r="G458">
            <v>0</v>
          </cell>
          <cell r="H458">
            <v>-1</v>
          </cell>
          <cell r="I458">
            <v>0</v>
          </cell>
          <cell r="J458">
            <v>-1</v>
          </cell>
          <cell r="K458">
            <v>2</v>
          </cell>
        </row>
        <row r="459">
          <cell r="F459">
            <v>53</v>
          </cell>
          <cell r="G459">
            <v>0</v>
          </cell>
          <cell r="H459">
            <v>53</v>
          </cell>
          <cell r="I459">
            <v>0</v>
          </cell>
          <cell r="J459">
            <v>53</v>
          </cell>
          <cell r="K459">
            <v>69</v>
          </cell>
        </row>
        <row r="461">
          <cell r="F461">
            <v>0</v>
          </cell>
          <cell r="G461">
            <v>0</v>
          </cell>
          <cell r="H461">
            <v>0</v>
          </cell>
          <cell r="I461">
            <v>0</v>
          </cell>
          <cell r="J461">
            <v>0</v>
          </cell>
          <cell r="K461">
            <v>0</v>
          </cell>
        </row>
        <row r="463">
          <cell r="F463">
            <v>0</v>
          </cell>
          <cell r="G463">
            <v>0</v>
          </cell>
          <cell r="H463">
            <v>0</v>
          </cell>
          <cell r="I463">
            <v>0</v>
          </cell>
          <cell r="J463">
            <v>0</v>
          </cell>
          <cell r="K463">
            <v>20</v>
          </cell>
        </row>
        <row r="464">
          <cell r="F464">
            <v>0</v>
          </cell>
          <cell r="G464">
            <v>0</v>
          </cell>
          <cell r="H464">
            <v>0</v>
          </cell>
          <cell r="I464">
            <v>0</v>
          </cell>
          <cell r="J464">
            <v>0</v>
          </cell>
          <cell r="K464">
            <v>0</v>
          </cell>
        </row>
        <row r="465">
          <cell r="F465">
            <v>0</v>
          </cell>
          <cell r="G465">
            <v>0</v>
          </cell>
          <cell r="H465">
            <v>0</v>
          </cell>
          <cell r="I465">
            <v>0</v>
          </cell>
          <cell r="J465">
            <v>0</v>
          </cell>
          <cell r="K465">
            <v>91</v>
          </cell>
        </row>
        <row r="466">
          <cell r="F466">
            <v>5</v>
          </cell>
          <cell r="G466">
            <v>0</v>
          </cell>
          <cell r="H466">
            <v>5</v>
          </cell>
          <cell r="I466">
            <v>5</v>
          </cell>
          <cell r="J466">
            <v>10</v>
          </cell>
          <cell r="K466">
            <v>0</v>
          </cell>
        </row>
        <row r="467">
          <cell r="F467">
            <v>91</v>
          </cell>
          <cell r="G467">
            <v>0</v>
          </cell>
          <cell r="H467">
            <v>91</v>
          </cell>
          <cell r="I467">
            <v>0</v>
          </cell>
          <cell r="J467">
            <v>91</v>
          </cell>
          <cell r="K467">
            <v>0</v>
          </cell>
        </row>
        <row r="468">
          <cell r="F468">
            <v>96</v>
          </cell>
          <cell r="G468">
            <v>0</v>
          </cell>
          <cell r="H468">
            <v>96</v>
          </cell>
          <cell r="I468">
            <v>5</v>
          </cell>
          <cell r="J468">
            <v>101</v>
          </cell>
          <cell r="K468">
            <v>111</v>
          </cell>
        </row>
        <row r="470">
          <cell r="F470">
            <v>0</v>
          </cell>
          <cell r="G470">
            <v>0</v>
          </cell>
          <cell r="H470">
            <v>0</v>
          </cell>
          <cell r="I470">
            <v>0</v>
          </cell>
          <cell r="J470">
            <v>0</v>
          </cell>
          <cell r="K470">
            <v>20</v>
          </cell>
        </row>
        <row r="471">
          <cell r="F471">
            <v>0</v>
          </cell>
          <cell r="G471">
            <v>0</v>
          </cell>
          <cell r="H471">
            <v>0</v>
          </cell>
          <cell r="I471">
            <v>0</v>
          </cell>
          <cell r="J471">
            <v>0</v>
          </cell>
          <cell r="K471">
            <v>0</v>
          </cell>
        </row>
        <row r="472">
          <cell r="F472">
            <v>182</v>
          </cell>
          <cell r="G472">
            <v>0</v>
          </cell>
          <cell r="H472">
            <v>182</v>
          </cell>
          <cell r="I472">
            <v>-5</v>
          </cell>
          <cell r="J472">
            <v>177</v>
          </cell>
          <cell r="K472">
            <v>0</v>
          </cell>
        </row>
        <row r="473">
          <cell r="F473">
            <v>182</v>
          </cell>
          <cell r="G473">
            <v>0</v>
          </cell>
          <cell r="H473">
            <v>182</v>
          </cell>
          <cell r="I473">
            <v>-5</v>
          </cell>
          <cell r="J473">
            <v>177</v>
          </cell>
          <cell r="K473">
            <v>20</v>
          </cell>
        </row>
        <row r="475">
          <cell r="F475">
            <v>0</v>
          </cell>
          <cell r="G475">
            <v>0</v>
          </cell>
          <cell r="H475">
            <v>0</v>
          </cell>
          <cell r="I475">
            <v>0</v>
          </cell>
          <cell r="J475">
            <v>0</v>
          </cell>
          <cell r="K475">
            <v>6</v>
          </cell>
        </row>
        <row r="476">
          <cell r="F476">
            <v>0</v>
          </cell>
          <cell r="G476">
            <v>0</v>
          </cell>
          <cell r="H476">
            <v>0</v>
          </cell>
          <cell r="I476">
            <v>0</v>
          </cell>
          <cell r="J476">
            <v>0</v>
          </cell>
          <cell r="K476">
            <v>92</v>
          </cell>
        </row>
        <row r="477">
          <cell r="F477">
            <v>74</v>
          </cell>
          <cell r="G477">
            <v>0</v>
          </cell>
          <cell r="H477">
            <v>74</v>
          </cell>
          <cell r="I477">
            <v>0</v>
          </cell>
          <cell r="J477">
            <v>74</v>
          </cell>
          <cell r="K477">
            <v>0</v>
          </cell>
        </row>
        <row r="478">
          <cell r="F478">
            <v>74</v>
          </cell>
          <cell r="G478">
            <v>0</v>
          </cell>
          <cell r="H478">
            <v>74</v>
          </cell>
          <cell r="I478">
            <v>0</v>
          </cell>
          <cell r="J478">
            <v>74</v>
          </cell>
          <cell r="K478">
            <v>98</v>
          </cell>
        </row>
        <row r="480">
          <cell r="F480">
            <v>0</v>
          </cell>
          <cell r="G480">
            <v>0</v>
          </cell>
          <cell r="H480">
            <v>0</v>
          </cell>
          <cell r="I480">
            <v>0</v>
          </cell>
          <cell r="J480">
            <v>0</v>
          </cell>
          <cell r="K480">
            <v>129</v>
          </cell>
        </row>
        <row r="481">
          <cell r="F481">
            <v>0</v>
          </cell>
          <cell r="G481">
            <v>0</v>
          </cell>
          <cell r="H481">
            <v>0</v>
          </cell>
          <cell r="I481">
            <v>0</v>
          </cell>
          <cell r="J481">
            <v>0</v>
          </cell>
          <cell r="K481">
            <v>0</v>
          </cell>
        </row>
        <row r="482">
          <cell r="F482">
            <v>0</v>
          </cell>
          <cell r="G482">
            <v>0</v>
          </cell>
          <cell r="H482">
            <v>0</v>
          </cell>
          <cell r="I482">
            <v>0</v>
          </cell>
          <cell r="J482">
            <v>0</v>
          </cell>
          <cell r="K482">
            <v>15</v>
          </cell>
        </row>
        <row r="483">
          <cell r="F483">
            <v>23</v>
          </cell>
          <cell r="G483">
            <v>0</v>
          </cell>
          <cell r="H483">
            <v>23</v>
          </cell>
          <cell r="I483">
            <v>0</v>
          </cell>
          <cell r="J483">
            <v>23</v>
          </cell>
          <cell r="K483">
            <v>0</v>
          </cell>
        </row>
        <row r="484">
          <cell r="F484">
            <v>15</v>
          </cell>
          <cell r="G484">
            <v>0</v>
          </cell>
          <cell r="H484">
            <v>15</v>
          </cell>
          <cell r="I484">
            <v>0</v>
          </cell>
          <cell r="J484">
            <v>15</v>
          </cell>
          <cell r="K484">
            <v>0</v>
          </cell>
        </row>
        <row r="485">
          <cell r="F485">
            <v>38</v>
          </cell>
          <cell r="G485">
            <v>0</v>
          </cell>
          <cell r="H485">
            <v>38</v>
          </cell>
          <cell r="I485">
            <v>0</v>
          </cell>
          <cell r="J485">
            <v>38</v>
          </cell>
          <cell r="K485">
            <v>144</v>
          </cell>
        </row>
        <row r="487">
          <cell r="F487">
            <v>0</v>
          </cell>
          <cell r="G487">
            <v>0</v>
          </cell>
          <cell r="H487">
            <v>0</v>
          </cell>
          <cell r="I487">
            <v>0</v>
          </cell>
          <cell r="J487">
            <v>0</v>
          </cell>
          <cell r="K487">
            <v>141</v>
          </cell>
        </row>
        <row r="488">
          <cell r="F488">
            <v>0</v>
          </cell>
          <cell r="G488">
            <v>0</v>
          </cell>
          <cell r="H488">
            <v>0</v>
          </cell>
          <cell r="I488">
            <v>0</v>
          </cell>
          <cell r="J488">
            <v>0</v>
          </cell>
          <cell r="K488">
            <v>20</v>
          </cell>
        </row>
        <row r="489">
          <cell r="F489">
            <v>0</v>
          </cell>
          <cell r="G489">
            <v>0</v>
          </cell>
          <cell r="H489">
            <v>0</v>
          </cell>
          <cell r="I489">
            <v>0</v>
          </cell>
          <cell r="J489">
            <v>0</v>
          </cell>
          <cell r="K489">
            <v>76</v>
          </cell>
        </row>
        <row r="490">
          <cell r="F490">
            <v>0</v>
          </cell>
          <cell r="G490">
            <v>0</v>
          </cell>
          <cell r="H490">
            <v>0</v>
          </cell>
          <cell r="I490">
            <v>0</v>
          </cell>
          <cell r="J490">
            <v>0</v>
          </cell>
          <cell r="K490">
            <v>25</v>
          </cell>
        </row>
        <row r="491">
          <cell r="F491">
            <v>0</v>
          </cell>
          <cell r="G491">
            <v>0</v>
          </cell>
          <cell r="H491">
            <v>0</v>
          </cell>
          <cell r="I491">
            <v>0</v>
          </cell>
          <cell r="J491">
            <v>0</v>
          </cell>
          <cell r="K491">
            <v>25</v>
          </cell>
        </row>
        <row r="492">
          <cell r="F492">
            <v>252</v>
          </cell>
          <cell r="G492">
            <v>0</v>
          </cell>
          <cell r="H492">
            <v>252</v>
          </cell>
          <cell r="I492">
            <v>0</v>
          </cell>
          <cell r="J492">
            <v>252</v>
          </cell>
          <cell r="K492">
            <v>0</v>
          </cell>
        </row>
        <row r="493">
          <cell r="F493">
            <v>252</v>
          </cell>
          <cell r="G493">
            <v>0</v>
          </cell>
          <cell r="H493">
            <v>252</v>
          </cell>
          <cell r="I493">
            <v>0</v>
          </cell>
          <cell r="J493">
            <v>252</v>
          </cell>
          <cell r="K493">
            <v>287</v>
          </cell>
        </row>
        <row r="495">
          <cell r="F495">
            <v>0</v>
          </cell>
          <cell r="G495">
            <v>0</v>
          </cell>
          <cell r="H495">
            <v>0</v>
          </cell>
          <cell r="I495">
            <v>0</v>
          </cell>
          <cell r="J495">
            <v>0</v>
          </cell>
          <cell r="K495">
            <v>0</v>
          </cell>
        </row>
        <row r="497">
          <cell r="F497">
            <v>0</v>
          </cell>
          <cell r="G497">
            <v>0</v>
          </cell>
          <cell r="H497">
            <v>0</v>
          </cell>
          <cell r="I497">
            <v>0</v>
          </cell>
          <cell r="J497">
            <v>0</v>
          </cell>
          <cell r="K497">
            <v>0</v>
          </cell>
        </row>
        <row r="499">
          <cell r="F499">
            <v>0</v>
          </cell>
          <cell r="G499">
            <v>0</v>
          </cell>
          <cell r="H499">
            <v>0</v>
          </cell>
          <cell r="I499">
            <v>0</v>
          </cell>
          <cell r="J499">
            <v>0</v>
          </cell>
          <cell r="K499">
            <v>5847</v>
          </cell>
        </row>
        <row r="500">
          <cell r="F500">
            <v>1213</v>
          </cell>
          <cell r="G500">
            <v>0</v>
          </cell>
          <cell r="H500">
            <v>1213</v>
          </cell>
          <cell r="I500">
            <v>0</v>
          </cell>
          <cell r="J500">
            <v>1213</v>
          </cell>
          <cell r="K500">
            <v>0</v>
          </cell>
        </row>
        <row r="501">
          <cell r="F501">
            <v>1213</v>
          </cell>
          <cell r="G501">
            <v>0</v>
          </cell>
          <cell r="H501">
            <v>1213</v>
          </cell>
          <cell r="I501">
            <v>0</v>
          </cell>
          <cell r="J501">
            <v>1213</v>
          </cell>
          <cell r="K501">
            <v>5847</v>
          </cell>
        </row>
        <row r="503">
          <cell r="F503">
            <v>0</v>
          </cell>
          <cell r="G503">
            <v>0</v>
          </cell>
          <cell r="H503">
            <v>0</v>
          </cell>
          <cell r="I503">
            <v>0</v>
          </cell>
          <cell r="J503">
            <v>0</v>
          </cell>
          <cell r="K503">
            <v>-54</v>
          </cell>
        </row>
        <row r="504">
          <cell r="F504">
            <v>0</v>
          </cell>
          <cell r="G504">
            <v>0</v>
          </cell>
          <cell r="H504">
            <v>0</v>
          </cell>
          <cell r="I504">
            <v>0</v>
          </cell>
          <cell r="J504">
            <v>0</v>
          </cell>
          <cell r="K504">
            <v>845</v>
          </cell>
        </row>
        <row r="505">
          <cell r="F505">
            <v>0</v>
          </cell>
          <cell r="G505">
            <v>0</v>
          </cell>
          <cell r="H505">
            <v>0</v>
          </cell>
          <cell r="I505">
            <v>0</v>
          </cell>
          <cell r="J505">
            <v>0</v>
          </cell>
          <cell r="K505">
            <v>-22</v>
          </cell>
        </row>
        <row r="506">
          <cell r="F506">
            <v>0</v>
          </cell>
          <cell r="G506">
            <v>0</v>
          </cell>
          <cell r="H506">
            <v>0</v>
          </cell>
          <cell r="I506">
            <v>0</v>
          </cell>
          <cell r="J506">
            <v>0</v>
          </cell>
          <cell r="K506">
            <v>-42</v>
          </cell>
        </row>
        <row r="507">
          <cell r="F507">
            <v>0</v>
          </cell>
          <cell r="G507">
            <v>0</v>
          </cell>
          <cell r="H507">
            <v>0</v>
          </cell>
          <cell r="I507">
            <v>0</v>
          </cell>
          <cell r="J507">
            <v>0</v>
          </cell>
          <cell r="K507">
            <v>20</v>
          </cell>
        </row>
        <row r="508">
          <cell r="F508">
            <v>0</v>
          </cell>
          <cell r="G508">
            <v>0</v>
          </cell>
          <cell r="H508">
            <v>0</v>
          </cell>
          <cell r="I508">
            <v>0</v>
          </cell>
          <cell r="J508">
            <v>0</v>
          </cell>
          <cell r="K508">
            <v>0</v>
          </cell>
        </row>
        <row r="509">
          <cell r="F509">
            <v>0</v>
          </cell>
          <cell r="G509">
            <v>0</v>
          </cell>
          <cell r="H509">
            <v>0</v>
          </cell>
          <cell r="I509">
            <v>0</v>
          </cell>
          <cell r="J509">
            <v>0</v>
          </cell>
          <cell r="K509">
            <v>54</v>
          </cell>
        </row>
        <row r="510">
          <cell r="F510">
            <v>0</v>
          </cell>
          <cell r="G510">
            <v>0</v>
          </cell>
          <cell r="H510">
            <v>0</v>
          </cell>
          <cell r="I510">
            <v>0</v>
          </cell>
          <cell r="J510">
            <v>0</v>
          </cell>
          <cell r="K510">
            <v>0</v>
          </cell>
        </row>
        <row r="511">
          <cell r="F511">
            <v>0</v>
          </cell>
          <cell r="G511">
            <v>0</v>
          </cell>
          <cell r="H511">
            <v>0</v>
          </cell>
          <cell r="I511">
            <v>0</v>
          </cell>
          <cell r="J511">
            <v>0</v>
          </cell>
          <cell r="K511">
            <v>0</v>
          </cell>
        </row>
        <row r="512">
          <cell r="F512">
            <v>757</v>
          </cell>
          <cell r="G512">
            <v>0</v>
          </cell>
          <cell r="H512">
            <v>757</v>
          </cell>
          <cell r="I512">
            <v>0</v>
          </cell>
          <cell r="J512">
            <v>757</v>
          </cell>
          <cell r="K512">
            <v>0</v>
          </cell>
        </row>
        <row r="513">
          <cell r="F513">
            <v>757</v>
          </cell>
          <cell r="G513">
            <v>0</v>
          </cell>
          <cell r="H513">
            <v>757</v>
          </cell>
          <cell r="I513">
            <v>0</v>
          </cell>
          <cell r="J513">
            <v>757</v>
          </cell>
          <cell r="K513">
            <v>801</v>
          </cell>
        </row>
        <row r="515">
          <cell r="F515">
            <v>0</v>
          </cell>
          <cell r="G515">
            <v>0</v>
          </cell>
          <cell r="H515">
            <v>0</v>
          </cell>
          <cell r="I515">
            <v>0</v>
          </cell>
          <cell r="J515">
            <v>0</v>
          </cell>
          <cell r="K515">
            <v>2853</v>
          </cell>
        </row>
        <row r="516">
          <cell r="F516">
            <v>1309</v>
          </cell>
          <cell r="G516">
            <v>0</v>
          </cell>
          <cell r="H516">
            <v>1309</v>
          </cell>
          <cell r="I516">
            <v>0</v>
          </cell>
          <cell r="J516">
            <v>1309</v>
          </cell>
          <cell r="K516">
            <v>0</v>
          </cell>
        </row>
        <row r="517">
          <cell r="F517">
            <v>1309</v>
          </cell>
          <cell r="G517">
            <v>0</v>
          </cell>
          <cell r="H517">
            <v>1309</v>
          </cell>
          <cell r="I517">
            <v>0</v>
          </cell>
          <cell r="J517">
            <v>1309</v>
          </cell>
          <cell r="K517">
            <v>2853</v>
          </cell>
        </row>
        <row r="519">
          <cell r="F519">
            <v>0</v>
          </cell>
          <cell r="G519">
            <v>0</v>
          </cell>
          <cell r="H519">
            <v>0</v>
          </cell>
          <cell r="I519">
            <v>0</v>
          </cell>
          <cell r="J519">
            <v>0</v>
          </cell>
          <cell r="K519">
            <v>0</v>
          </cell>
        </row>
        <row r="521">
          <cell r="F521">
            <v>0</v>
          </cell>
          <cell r="G521">
            <v>0</v>
          </cell>
          <cell r="H521">
            <v>0</v>
          </cell>
          <cell r="I521">
            <v>0</v>
          </cell>
          <cell r="J521">
            <v>0</v>
          </cell>
          <cell r="K521">
            <v>0</v>
          </cell>
        </row>
        <row r="523">
          <cell r="F523">
            <v>0</v>
          </cell>
          <cell r="G523">
            <v>0</v>
          </cell>
          <cell r="H523">
            <v>0</v>
          </cell>
          <cell r="I523">
            <v>0</v>
          </cell>
          <cell r="J523">
            <v>0</v>
          </cell>
          <cell r="K523">
            <v>0</v>
          </cell>
        </row>
        <row r="525">
          <cell r="F525">
            <v>0</v>
          </cell>
          <cell r="G525">
            <v>0</v>
          </cell>
          <cell r="H525">
            <v>0</v>
          </cell>
          <cell r="I525">
            <v>0</v>
          </cell>
          <cell r="J525">
            <v>0</v>
          </cell>
          <cell r="K525">
            <v>0</v>
          </cell>
        </row>
        <row r="527">
          <cell r="F527">
            <v>0</v>
          </cell>
          <cell r="G527">
            <v>0</v>
          </cell>
          <cell r="H527">
            <v>0</v>
          </cell>
          <cell r="I527">
            <v>0</v>
          </cell>
          <cell r="J527">
            <v>0</v>
          </cell>
          <cell r="K527">
            <v>0</v>
          </cell>
        </row>
        <row r="528">
          <cell r="F528">
            <v>0</v>
          </cell>
          <cell r="G528">
            <v>0</v>
          </cell>
          <cell r="H528">
            <v>0</v>
          </cell>
          <cell r="I528">
            <v>0</v>
          </cell>
          <cell r="J528">
            <v>0</v>
          </cell>
          <cell r="K528">
            <v>0</v>
          </cell>
        </row>
      </sheetData>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Distribution"/>
      <sheetName val="UHA"/>
      <sheetName val="CF"/>
      <sheetName val="Lead"/>
      <sheetName val="Links"/>
      <sheetName val="Tickmarks"/>
    </sheetNames>
    <sheetDataSet>
      <sheetData sheetId="0" refreshError="1"/>
      <sheetData sheetId="1" refreshError="1"/>
      <sheetData sheetId="2" refreshError="1"/>
      <sheetData sheetId="3" refreshError="1"/>
      <sheetData sheetId="4" refreshError="1"/>
      <sheetData sheetId="5">
        <row r="2">
          <cell r="F2" t="str">
            <v>Preliminary</v>
          </cell>
          <cell r="H2" t="str">
            <v>AJE</v>
          </cell>
          <cell r="I2" t="str">
            <v>Adjusted</v>
          </cell>
          <cell r="J2" t="str">
            <v>RJE</v>
          </cell>
          <cell r="K2" t="str">
            <v>Final</v>
          </cell>
          <cell r="M2" t="str">
            <v>PY1</v>
          </cell>
          <cell r="N2">
            <v>0</v>
          </cell>
          <cell r="O2">
            <v>0</v>
          </cell>
        </row>
        <row r="4">
          <cell r="F4">
            <v>8181</v>
          </cell>
          <cell r="H4">
            <v>0</v>
          </cell>
          <cell r="I4">
            <v>8181</v>
          </cell>
          <cell r="J4">
            <v>0</v>
          </cell>
          <cell r="K4">
            <v>8181</v>
          </cell>
          <cell r="M4">
            <v>0</v>
          </cell>
        </row>
        <row r="5">
          <cell r="F5">
            <v>36799</v>
          </cell>
          <cell r="H5">
            <v>0</v>
          </cell>
          <cell r="I5">
            <v>36799</v>
          </cell>
          <cell r="J5">
            <v>0</v>
          </cell>
          <cell r="K5">
            <v>36799</v>
          </cell>
          <cell r="M5">
            <v>7447</v>
          </cell>
        </row>
        <row r="6">
          <cell r="F6">
            <v>7637</v>
          </cell>
          <cell r="H6">
            <v>0</v>
          </cell>
          <cell r="I6">
            <v>7637</v>
          </cell>
          <cell r="J6">
            <v>0</v>
          </cell>
          <cell r="K6">
            <v>7637</v>
          </cell>
          <cell r="M6">
            <v>225456</v>
          </cell>
        </row>
        <row r="7">
          <cell r="F7">
            <v>6</v>
          </cell>
          <cell r="H7">
            <v>0</v>
          </cell>
          <cell r="I7">
            <v>6</v>
          </cell>
          <cell r="J7">
            <v>0</v>
          </cell>
          <cell r="K7">
            <v>6</v>
          </cell>
          <cell r="M7">
            <v>7</v>
          </cell>
        </row>
        <row r="8">
          <cell r="F8">
            <v>1075</v>
          </cell>
          <cell r="H8">
            <v>0</v>
          </cell>
          <cell r="I8">
            <v>1075</v>
          </cell>
          <cell r="J8">
            <v>0</v>
          </cell>
          <cell r="K8">
            <v>1075</v>
          </cell>
          <cell r="M8">
            <v>1075</v>
          </cell>
        </row>
        <row r="9">
          <cell r="F9">
            <v>880</v>
          </cell>
          <cell r="H9">
            <v>0</v>
          </cell>
          <cell r="I9">
            <v>880</v>
          </cell>
          <cell r="J9">
            <v>0</v>
          </cell>
          <cell r="K9">
            <v>880</v>
          </cell>
          <cell r="M9">
            <v>880</v>
          </cell>
        </row>
        <row r="10">
          <cell r="F10">
            <v>5706</v>
          </cell>
          <cell r="H10">
            <v>0</v>
          </cell>
          <cell r="I10">
            <v>5706</v>
          </cell>
          <cell r="J10">
            <v>0</v>
          </cell>
          <cell r="K10">
            <v>5706</v>
          </cell>
          <cell r="M10">
            <v>1750</v>
          </cell>
        </row>
        <row r="11">
          <cell r="F11">
            <v>825</v>
          </cell>
          <cell r="H11">
            <v>0</v>
          </cell>
          <cell r="I11">
            <v>825</v>
          </cell>
          <cell r="J11">
            <v>0</v>
          </cell>
          <cell r="K11">
            <v>825</v>
          </cell>
          <cell r="M11">
            <v>826</v>
          </cell>
        </row>
        <row r="12">
          <cell r="F12">
            <v>4793</v>
          </cell>
          <cell r="H12">
            <v>0</v>
          </cell>
          <cell r="I12">
            <v>4793</v>
          </cell>
          <cell r="J12">
            <v>0</v>
          </cell>
          <cell r="K12">
            <v>4793</v>
          </cell>
          <cell r="M12">
            <v>3507</v>
          </cell>
        </row>
        <row r="13">
          <cell r="F13">
            <v>65902</v>
          </cell>
          <cell r="H13">
            <v>0</v>
          </cell>
          <cell r="I13">
            <v>65902</v>
          </cell>
          <cell r="J13">
            <v>0</v>
          </cell>
          <cell r="K13">
            <v>65902</v>
          </cell>
          <cell r="M13">
            <v>240948</v>
          </cell>
        </row>
        <row r="15">
          <cell r="F15">
            <v>531014</v>
          </cell>
          <cell r="H15">
            <v>0</v>
          </cell>
          <cell r="I15">
            <v>531014</v>
          </cell>
          <cell r="J15">
            <v>0</v>
          </cell>
          <cell r="K15">
            <v>531014</v>
          </cell>
          <cell r="M15">
            <v>305492</v>
          </cell>
        </row>
        <row r="16">
          <cell r="F16">
            <v>-31948</v>
          </cell>
          <cell r="H16">
            <v>0</v>
          </cell>
          <cell r="I16">
            <v>-31948</v>
          </cell>
          <cell r="J16">
            <v>0</v>
          </cell>
          <cell r="K16">
            <v>-31948</v>
          </cell>
          <cell r="M16">
            <v>13643</v>
          </cell>
        </row>
        <row r="17">
          <cell r="F17">
            <v>499066</v>
          </cell>
          <cell r="H17">
            <v>0</v>
          </cell>
          <cell r="I17">
            <v>499066</v>
          </cell>
          <cell r="J17">
            <v>0</v>
          </cell>
          <cell r="K17">
            <v>499066</v>
          </cell>
          <cell r="M17">
            <v>319135</v>
          </cell>
        </row>
        <row r="19">
          <cell r="F19">
            <v>50000</v>
          </cell>
          <cell r="H19">
            <v>0</v>
          </cell>
          <cell r="I19">
            <v>50000</v>
          </cell>
          <cell r="J19">
            <v>0</v>
          </cell>
          <cell r="K19">
            <v>50000</v>
          </cell>
          <cell r="M19">
            <v>24952</v>
          </cell>
        </row>
        <row r="20">
          <cell r="F20">
            <v>6131</v>
          </cell>
          <cell r="H20">
            <v>0</v>
          </cell>
          <cell r="I20">
            <v>6131</v>
          </cell>
          <cell r="J20">
            <v>0</v>
          </cell>
          <cell r="K20">
            <v>6131</v>
          </cell>
          <cell r="M20">
            <v>-313</v>
          </cell>
        </row>
        <row r="21">
          <cell r="F21">
            <v>56131</v>
          </cell>
          <cell r="H21">
            <v>0</v>
          </cell>
          <cell r="I21">
            <v>56131</v>
          </cell>
          <cell r="J21">
            <v>0</v>
          </cell>
          <cell r="K21">
            <v>56131</v>
          </cell>
          <cell r="M21">
            <v>24639</v>
          </cell>
        </row>
        <row r="23">
          <cell r="F23">
            <v>3354</v>
          </cell>
          <cell r="H23">
            <v>0</v>
          </cell>
          <cell r="I23">
            <v>3354</v>
          </cell>
          <cell r="J23">
            <v>0</v>
          </cell>
          <cell r="K23">
            <v>3354</v>
          </cell>
          <cell r="M23">
            <v>4291</v>
          </cell>
        </row>
        <row r="24">
          <cell r="F24">
            <v>2110</v>
          </cell>
          <cell r="H24">
            <v>0</v>
          </cell>
          <cell r="I24">
            <v>2110</v>
          </cell>
          <cell r="J24">
            <v>0</v>
          </cell>
          <cell r="K24">
            <v>2110</v>
          </cell>
          <cell r="M24">
            <v>1696</v>
          </cell>
        </row>
        <row r="25">
          <cell r="F25">
            <v>-2130</v>
          </cell>
          <cell r="H25">
            <v>0</v>
          </cell>
          <cell r="I25">
            <v>-2130</v>
          </cell>
          <cell r="J25">
            <v>0</v>
          </cell>
          <cell r="K25">
            <v>-2130</v>
          </cell>
          <cell r="M25">
            <v>-2252</v>
          </cell>
        </row>
        <row r="26">
          <cell r="F26">
            <v>3334</v>
          </cell>
          <cell r="H26">
            <v>0</v>
          </cell>
          <cell r="I26">
            <v>3334</v>
          </cell>
          <cell r="J26">
            <v>0</v>
          </cell>
          <cell r="K26">
            <v>3334</v>
          </cell>
          <cell r="M26">
            <v>3735</v>
          </cell>
        </row>
        <row r="28">
          <cell r="F28">
            <v>15452</v>
          </cell>
          <cell r="H28">
            <v>0</v>
          </cell>
          <cell r="I28">
            <v>15452</v>
          </cell>
          <cell r="J28">
            <v>0</v>
          </cell>
          <cell r="K28">
            <v>15452</v>
          </cell>
          <cell r="M28">
            <v>63128</v>
          </cell>
        </row>
        <row r="29">
          <cell r="F29">
            <v>35342</v>
          </cell>
          <cell r="H29">
            <v>0</v>
          </cell>
          <cell r="I29">
            <v>35342</v>
          </cell>
          <cell r="J29">
            <v>0</v>
          </cell>
          <cell r="K29">
            <v>35342</v>
          </cell>
          <cell r="M29">
            <v>28124</v>
          </cell>
        </row>
        <row r="30">
          <cell r="F30">
            <v>50794</v>
          </cell>
          <cell r="H30">
            <v>0</v>
          </cell>
          <cell r="I30">
            <v>50794</v>
          </cell>
          <cell r="J30">
            <v>0</v>
          </cell>
          <cell r="K30">
            <v>50794</v>
          </cell>
          <cell r="M30">
            <v>91252</v>
          </cell>
        </row>
        <row r="32">
          <cell r="F32">
            <v>150000</v>
          </cell>
          <cell r="H32">
            <v>0</v>
          </cell>
          <cell r="I32">
            <v>150000</v>
          </cell>
          <cell r="J32">
            <v>0</v>
          </cell>
          <cell r="K32">
            <v>150000</v>
          </cell>
          <cell r="M32">
            <v>30000</v>
          </cell>
        </row>
        <row r="33">
          <cell r="F33">
            <v>-22</v>
          </cell>
          <cell r="H33">
            <v>0</v>
          </cell>
          <cell r="I33">
            <v>-22</v>
          </cell>
          <cell r="J33">
            <v>0</v>
          </cell>
          <cell r="K33">
            <v>-22</v>
          </cell>
          <cell r="M33">
            <v>-3</v>
          </cell>
        </row>
        <row r="34">
          <cell r="F34">
            <v>-800</v>
          </cell>
          <cell r="H34">
            <v>0</v>
          </cell>
          <cell r="I34">
            <v>-800</v>
          </cell>
          <cell r="J34">
            <v>0</v>
          </cell>
          <cell r="K34">
            <v>-800</v>
          </cell>
          <cell r="M34">
            <v>-42</v>
          </cell>
        </row>
        <row r="35">
          <cell r="F35">
            <v>149178</v>
          </cell>
          <cell r="H35">
            <v>0</v>
          </cell>
          <cell r="I35">
            <v>149178</v>
          </cell>
          <cell r="J35">
            <v>0</v>
          </cell>
          <cell r="K35">
            <v>149178</v>
          </cell>
          <cell r="M35">
            <v>29955</v>
          </cell>
        </row>
        <row r="37">
          <cell r="F37">
            <v>21492</v>
          </cell>
          <cell r="H37">
            <v>0</v>
          </cell>
          <cell r="I37">
            <v>21492</v>
          </cell>
          <cell r="J37">
            <v>0</v>
          </cell>
          <cell r="K37">
            <v>21492</v>
          </cell>
          <cell r="M37">
            <v>0</v>
          </cell>
        </row>
        <row r="38">
          <cell r="F38">
            <v>21492</v>
          </cell>
          <cell r="H38">
            <v>0</v>
          </cell>
          <cell r="I38">
            <v>21492</v>
          </cell>
          <cell r="J38">
            <v>0</v>
          </cell>
          <cell r="K38">
            <v>21492</v>
          </cell>
          <cell r="M38">
            <v>0</v>
          </cell>
        </row>
        <row r="40">
          <cell r="F40">
            <v>1702</v>
          </cell>
          <cell r="H40">
            <v>0</v>
          </cell>
          <cell r="I40">
            <v>1702</v>
          </cell>
          <cell r="J40">
            <v>0</v>
          </cell>
          <cell r="K40">
            <v>1702</v>
          </cell>
          <cell r="M40">
            <v>295</v>
          </cell>
        </row>
        <row r="41">
          <cell r="F41">
            <v>1702</v>
          </cell>
          <cell r="H41">
            <v>0</v>
          </cell>
          <cell r="I41">
            <v>1702</v>
          </cell>
          <cell r="J41">
            <v>0</v>
          </cell>
          <cell r="K41">
            <v>1702</v>
          </cell>
          <cell r="M41">
            <v>295</v>
          </cell>
        </row>
        <row r="43">
          <cell r="F43">
            <v>105</v>
          </cell>
          <cell r="H43">
            <v>0</v>
          </cell>
          <cell r="I43">
            <v>105</v>
          </cell>
          <cell r="J43">
            <v>0</v>
          </cell>
          <cell r="K43">
            <v>105</v>
          </cell>
          <cell r="M43">
            <v>0</v>
          </cell>
        </row>
        <row r="44">
          <cell r="F44">
            <v>96</v>
          </cell>
          <cell r="H44">
            <v>0</v>
          </cell>
          <cell r="I44">
            <v>96</v>
          </cell>
          <cell r="J44">
            <v>0</v>
          </cell>
          <cell r="K44">
            <v>96</v>
          </cell>
          <cell r="M44">
            <v>41</v>
          </cell>
        </row>
        <row r="45">
          <cell r="F45">
            <v>242</v>
          </cell>
          <cell r="H45">
            <v>0</v>
          </cell>
          <cell r="I45">
            <v>242</v>
          </cell>
          <cell r="J45">
            <v>0</v>
          </cell>
          <cell r="K45">
            <v>242</v>
          </cell>
          <cell r="M45">
            <v>301</v>
          </cell>
        </row>
        <row r="46">
          <cell r="F46">
            <v>443</v>
          </cell>
          <cell r="H46">
            <v>0</v>
          </cell>
          <cell r="I46">
            <v>443</v>
          </cell>
          <cell r="J46">
            <v>0</v>
          </cell>
          <cell r="K46">
            <v>443</v>
          </cell>
          <cell r="M46">
            <v>342</v>
          </cell>
        </row>
        <row r="48">
          <cell r="F48">
            <v>2388</v>
          </cell>
          <cell r="H48">
            <v>0</v>
          </cell>
          <cell r="I48">
            <v>2388</v>
          </cell>
          <cell r="J48">
            <v>0</v>
          </cell>
          <cell r="K48">
            <v>2388</v>
          </cell>
          <cell r="M48">
            <v>648</v>
          </cell>
        </row>
        <row r="49">
          <cell r="F49">
            <v>2388</v>
          </cell>
          <cell r="H49">
            <v>0</v>
          </cell>
          <cell r="I49">
            <v>2388</v>
          </cell>
          <cell r="J49">
            <v>0</v>
          </cell>
          <cell r="K49">
            <v>2388</v>
          </cell>
          <cell r="M49">
            <v>648</v>
          </cell>
        </row>
        <row r="51">
          <cell r="F51">
            <v>10</v>
          </cell>
          <cell r="H51">
            <v>0</v>
          </cell>
          <cell r="I51">
            <v>10</v>
          </cell>
          <cell r="J51">
            <v>0</v>
          </cell>
          <cell r="K51">
            <v>10</v>
          </cell>
          <cell r="M51">
            <v>28</v>
          </cell>
        </row>
        <row r="52">
          <cell r="F52">
            <v>10</v>
          </cell>
          <cell r="H52">
            <v>0</v>
          </cell>
          <cell r="I52">
            <v>10</v>
          </cell>
          <cell r="J52">
            <v>0</v>
          </cell>
          <cell r="K52">
            <v>10</v>
          </cell>
          <cell r="M52">
            <v>28</v>
          </cell>
        </row>
        <row r="54">
          <cell r="F54">
            <v>0</v>
          </cell>
          <cell r="H54">
            <v>0</v>
          </cell>
          <cell r="I54">
            <v>0</v>
          </cell>
          <cell r="J54">
            <v>0</v>
          </cell>
          <cell r="K54">
            <v>0</v>
          </cell>
          <cell r="M54">
            <v>0</v>
          </cell>
        </row>
        <row r="56">
          <cell r="F56">
            <v>476</v>
          </cell>
          <cell r="H56">
            <v>0</v>
          </cell>
          <cell r="I56">
            <v>476</v>
          </cell>
          <cell r="J56">
            <v>0</v>
          </cell>
          <cell r="K56">
            <v>476</v>
          </cell>
          <cell r="M56">
            <v>476</v>
          </cell>
        </row>
        <row r="57">
          <cell r="F57">
            <v>2500</v>
          </cell>
          <cell r="H57">
            <v>0</v>
          </cell>
          <cell r="I57">
            <v>2500</v>
          </cell>
          <cell r="J57">
            <v>0</v>
          </cell>
          <cell r="K57">
            <v>2500</v>
          </cell>
          <cell r="M57">
            <v>2500</v>
          </cell>
        </row>
        <row r="58">
          <cell r="F58">
            <v>1317</v>
          </cell>
          <cell r="H58">
            <v>0</v>
          </cell>
          <cell r="I58">
            <v>1317</v>
          </cell>
          <cell r="J58">
            <v>0</v>
          </cell>
          <cell r="K58">
            <v>1317</v>
          </cell>
          <cell r="M58">
            <v>1317</v>
          </cell>
        </row>
        <row r="59">
          <cell r="F59">
            <v>4293</v>
          </cell>
          <cell r="H59">
            <v>0</v>
          </cell>
          <cell r="I59">
            <v>4293</v>
          </cell>
          <cell r="J59">
            <v>0</v>
          </cell>
          <cell r="K59">
            <v>4293</v>
          </cell>
          <cell r="M59">
            <v>4293</v>
          </cell>
        </row>
        <row r="61">
          <cell r="F61">
            <v>300</v>
          </cell>
          <cell r="H61">
            <v>0</v>
          </cell>
          <cell r="I61">
            <v>300</v>
          </cell>
          <cell r="J61">
            <v>0</v>
          </cell>
          <cell r="K61">
            <v>300</v>
          </cell>
          <cell r="M61">
            <v>300</v>
          </cell>
        </row>
        <row r="62">
          <cell r="F62">
            <v>300</v>
          </cell>
          <cell r="H62">
            <v>0</v>
          </cell>
          <cell r="I62">
            <v>300</v>
          </cell>
          <cell r="J62">
            <v>0</v>
          </cell>
          <cell r="K62">
            <v>300</v>
          </cell>
          <cell r="M62">
            <v>300</v>
          </cell>
        </row>
        <row r="64">
          <cell r="F64">
            <v>0</v>
          </cell>
          <cell r="H64">
            <v>0</v>
          </cell>
          <cell r="I64">
            <v>0</v>
          </cell>
          <cell r="J64">
            <v>0</v>
          </cell>
          <cell r="K64">
            <v>0</v>
          </cell>
          <cell r="M64">
            <v>0</v>
          </cell>
        </row>
        <row r="66">
          <cell r="F66">
            <v>0</v>
          </cell>
          <cell r="H66">
            <v>0</v>
          </cell>
          <cell r="I66">
            <v>0</v>
          </cell>
          <cell r="J66">
            <v>0</v>
          </cell>
          <cell r="K66">
            <v>0</v>
          </cell>
          <cell r="M66">
            <v>0</v>
          </cell>
        </row>
        <row r="68">
          <cell r="F68">
            <v>28</v>
          </cell>
          <cell r="H68">
            <v>0</v>
          </cell>
          <cell r="I68">
            <v>28</v>
          </cell>
          <cell r="J68">
            <v>0</v>
          </cell>
          <cell r="K68">
            <v>28</v>
          </cell>
          <cell r="M68">
            <v>28</v>
          </cell>
        </row>
        <row r="69">
          <cell r="F69">
            <v>9</v>
          </cell>
          <cell r="H69">
            <v>0</v>
          </cell>
          <cell r="I69">
            <v>9</v>
          </cell>
          <cell r="J69">
            <v>0</v>
          </cell>
          <cell r="K69">
            <v>9</v>
          </cell>
          <cell r="M69">
            <v>39</v>
          </cell>
        </row>
        <row r="70">
          <cell r="F70">
            <v>307</v>
          </cell>
          <cell r="H70">
            <v>0</v>
          </cell>
          <cell r="I70">
            <v>307</v>
          </cell>
          <cell r="J70">
            <v>0</v>
          </cell>
          <cell r="K70">
            <v>307</v>
          </cell>
          <cell r="M70">
            <v>307</v>
          </cell>
        </row>
        <row r="71">
          <cell r="F71">
            <v>35</v>
          </cell>
          <cell r="H71">
            <v>0</v>
          </cell>
          <cell r="I71">
            <v>35</v>
          </cell>
          <cell r="J71">
            <v>0</v>
          </cell>
          <cell r="K71">
            <v>35</v>
          </cell>
          <cell r="M71">
            <v>35</v>
          </cell>
        </row>
        <row r="72">
          <cell r="F72">
            <v>379</v>
          </cell>
          <cell r="H72">
            <v>0</v>
          </cell>
          <cell r="I72">
            <v>379</v>
          </cell>
          <cell r="J72">
            <v>0</v>
          </cell>
          <cell r="K72">
            <v>379</v>
          </cell>
          <cell r="M72">
            <v>409</v>
          </cell>
        </row>
        <row r="74">
          <cell r="F74">
            <v>-687</v>
          </cell>
          <cell r="H74">
            <v>0</v>
          </cell>
          <cell r="I74">
            <v>-687</v>
          </cell>
          <cell r="J74">
            <v>0</v>
          </cell>
          <cell r="K74">
            <v>-687</v>
          </cell>
          <cell r="M74">
            <v>-977</v>
          </cell>
        </row>
        <row r="75">
          <cell r="F75">
            <v>-687</v>
          </cell>
          <cell r="H75">
            <v>0</v>
          </cell>
          <cell r="I75">
            <v>-687</v>
          </cell>
          <cell r="J75">
            <v>0</v>
          </cell>
          <cell r="K75">
            <v>-687</v>
          </cell>
          <cell r="M75">
            <v>-977</v>
          </cell>
        </row>
        <row r="77">
          <cell r="F77">
            <v>-1351</v>
          </cell>
          <cell r="H77">
            <v>0</v>
          </cell>
          <cell r="I77">
            <v>-1351</v>
          </cell>
          <cell r="J77">
            <v>0</v>
          </cell>
          <cell r="K77">
            <v>-1351</v>
          </cell>
          <cell r="M77">
            <v>-166</v>
          </cell>
        </row>
        <row r="78">
          <cell r="F78">
            <v>-1351</v>
          </cell>
          <cell r="H78">
            <v>0</v>
          </cell>
          <cell r="I78">
            <v>-1351</v>
          </cell>
          <cell r="J78">
            <v>0</v>
          </cell>
          <cell r="K78">
            <v>-1351</v>
          </cell>
          <cell r="M78">
            <v>-166</v>
          </cell>
        </row>
        <row r="80">
          <cell r="F80">
            <v>0</v>
          </cell>
          <cell r="H80">
            <v>0</v>
          </cell>
          <cell r="I80">
            <v>0</v>
          </cell>
          <cell r="J80">
            <v>0</v>
          </cell>
          <cell r="K80">
            <v>0</v>
          </cell>
          <cell r="M80">
            <v>-100</v>
          </cell>
        </row>
        <row r="81">
          <cell r="F81">
            <v>0</v>
          </cell>
          <cell r="H81">
            <v>0</v>
          </cell>
          <cell r="I81">
            <v>0</v>
          </cell>
          <cell r="J81">
            <v>0</v>
          </cell>
          <cell r="K81">
            <v>0</v>
          </cell>
          <cell r="M81">
            <v>-100</v>
          </cell>
        </row>
        <row r="83">
          <cell r="F83">
            <v>-173</v>
          </cell>
          <cell r="H83">
            <v>0</v>
          </cell>
          <cell r="I83">
            <v>-173</v>
          </cell>
          <cell r="J83">
            <v>0</v>
          </cell>
          <cell r="K83">
            <v>-173</v>
          </cell>
          <cell r="M83">
            <v>-147</v>
          </cell>
        </row>
        <row r="84">
          <cell r="F84">
            <v>-173</v>
          </cell>
          <cell r="H84">
            <v>0</v>
          </cell>
          <cell r="I84">
            <v>-173</v>
          </cell>
          <cell r="J84">
            <v>0</v>
          </cell>
          <cell r="K84">
            <v>-173</v>
          </cell>
          <cell r="M84">
            <v>-147</v>
          </cell>
        </row>
        <row r="86">
          <cell r="F86">
            <v>-69</v>
          </cell>
          <cell r="H86">
            <v>0</v>
          </cell>
          <cell r="I86">
            <v>-69</v>
          </cell>
          <cell r="J86">
            <v>0</v>
          </cell>
          <cell r="K86">
            <v>-69</v>
          </cell>
          <cell r="M86">
            <v>-96</v>
          </cell>
        </row>
        <row r="87">
          <cell r="F87">
            <v>-69</v>
          </cell>
          <cell r="H87">
            <v>0</v>
          </cell>
          <cell r="I87">
            <v>-69</v>
          </cell>
          <cell r="J87">
            <v>0</v>
          </cell>
          <cell r="K87">
            <v>-69</v>
          </cell>
          <cell r="M87">
            <v>-96</v>
          </cell>
        </row>
        <row r="89">
          <cell r="F89">
            <v>-312</v>
          </cell>
          <cell r="H89">
            <v>0</v>
          </cell>
          <cell r="I89">
            <v>-312</v>
          </cell>
          <cell r="J89">
            <v>0</v>
          </cell>
          <cell r="K89">
            <v>-312</v>
          </cell>
          <cell r="M89">
            <v>-394</v>
          </cell>
        </row>
        <row r="90">
          <cell r="F90">
            <v>-312</v>
          </cell>
          <cell r="H90">
            <v>0</v>
          </cell>
          <cell r="I90">
            <v>-312</v>
          </cell>
          <cell r="J90">
            <v>0</v>
          </cell>
          <cell r="K90">
            <v>-312</v>
          </cell>
          <cell r="M90">
            <v>-394</v>
          </cell>
        </row>
        <row r="92">
          <cell r="F92">
            <v>-829</v>
          </cell>
          <cell r="H92">
            <v>0</v>
          </cell>
          <cell r="I92">
            <v>-829</v>
          </cell>
          <cell r="J92">
            <v>0</v>
          </cell>
          <cell r="K92">
            <v>-829</v>
          </cell>
          <cell r="M92">
            <v>-829</v>
          </cell>
        </row>
        <row r="93">
          <cell r="F93">
            <v>-1955</v>
          </cell>
          <cell r="H93">
            <v>0</v>
          </cell>
          <cell r="I93">
            <v>-1955</v>
          </cell>
          <cell r="J93">
            <v>0</v>
          </cell>
          <cell r="K93">
            <v>-1955</v>
          </cell>
          <cell r="M93">
            <v>-1955</v>
          </cell>
        </row>
        <row r="94">
          <cell r="F94">
            <v>-2784</v>
          </cell>
          <cell r="H94">
            <v>0</v>
          </cell>
          <cell r="I94">
            <v>-2784</v>
          </cell>
          <cell r="J94">
            <v>0</v>
          </cell>
          <cell r="K94">
            <v>-2784</v>
          </cell>
          <cell r="M94">
            <v>-2784</v>
          </cell>
        </row>
        <row r="96">
          <cell r="F96">
            <v>0</v>
          </cell>
          <cell r="H96">
            <v>0</v>
          </cell>
          <cell r="I96">
            <v>0</v>
          </cell>
          <cell r="J96">
            <v>0</v>
          </cell>
          <cell r="K96">
            <v>0</v>
          </cell>
          <cell r="M96">
            <v>-8512</v>
          </cell>
        </row>
        <row r="97">
          <cell r="F97">
            <v>0</v>
          </cell>
          <cell r="H97">
            <v>0</v>
          </cell>
          <cell r="I97">
            <v>0</v>
          </cell>
          <cell r="J97">
            <v>0</v>
          </cell>
          <cell r="K97">
            <v>0</v>
          </cell>
          <cell r="M97">
            <v>-8512</v>
          </cell>
        </row>
        <row r="99">
          <cell r="F99">
            <v>-216</v>
          </cell>
          <cell r="H99">
            <v>0</v>
          </cell>
          <cell r="I99">
            <v>-216</v>
          </cell>
          <cell r="J99">
            <v>0</v>
          </cell>
          <cell r="K99">
            <v>-216</v>
          </cell>
          <cell r="M99">
            <v>-216</v>
          </cell>
        </row>
        <row r="100">
          <cell r="F100">
            <v>-216</v>
          </cell>
          <cell r="H100">
            <v>0</v>
          </cell>
          <cell r="I100">
            <v>-216</v>
          </cell>
          <cell r="J100">
            <v>0</v>
          </cell>
          <cell r="K100">
            <v>-216</v>
          </cell>
          <cell r="M100">
            <v>-216</v>
          </cell>
        </row>
        <row r="102">
          <cell r="F102">
            <v>-4371</v>
          </cell>
          <cell r="H102">
            <v>0</v>
          </cell>
          <cell r="I102">
            <v>-4371</v>
          </cell>
          <cell r="J102">
            <v>0</v>
          </cell>
          <cell r="K102">
            <v>-4371</v>
          </cell>
          <cell r="M102">
            <v>-3109</v>
          </cell>
        </row>
        <row r="103">
          <cell r="F103">
            <v>-4371</v>
          </cell>
          <cell r="H103">
            <v>0</v>
          </cell>
          <cell r="I103">
            <v>-4371</v>
          </cell>
          <cell r="J103">
            <v>0</v>
          </cell>
          <cell r="K103">
            <v>-4371</v>
          </cell>
          <cell r="M103">
            <v>-3109</v>
          </cell>
        </row>
        <row r="105">
          <cell r="F105">
            <v>26</v>
          </cell>
          <cell r="H105">
            <v>0</v>
          </cell>
          <cell r="I105">
            <v>26</v>
          </cell>
          <cell r="J105">
            <v>0</v>
          </cell>
          <cell r="K105">
            <v>26</v>
          </cell>
          <cell r="M105">
            <v>0</v>
          </cell>
        </row>
        <row r="106">
          <cell r="F106">
            <v>-148</v>
          </cell>
          <cell r="H106">
            <v>0</v>
          </cell>
          <cell r="I106">
            <v>-148</v>
          </cell>
          <cell r="J106">
            <v>0</v>
          </cell>
          <cell r="K106">
            <v>-148</v>
          </cell>
          <cell r="M106">
            <v>-77</v>
          </cell>
        </row>
        <row r="107">
          <cell r="F107">
            <v>27</v>
          </cell>
          <cell r="H107">
            <v>0</v>
          </cell>
          <cell r="I107">
            <v>27</v>
          </cell>
          <cell r="J107">
            <v>0</v>
          </cell>
          <cell r="K107">
            <v>27</v>
          </cell>
          <cell r="M107">
            <v>-5</v>
          </cell>
        </row>
        <row r="108">
          <cell r="F108">
            <v>17</v>
          </cell>
          <cell r="H108">
            <v>0</v>
          </cell>
          <cell r="I108">
            <v>17</v>
          </cell>
          <cell r="J108">
            <v>0</v>
          </cell>
          <cell r="K108">
            <v>17</v>
          </cell>
          <cell r="M108">
            <v>0</v>
          </cell>
        </row>
        <row r="109">
          <cell r="F109">
            <v>-125</v>
          </cell>
          <cell r="H109">
            <v>0</v>
          </cell>
          <cell r="I109">
            <v>-125</v>
          </cell>
          <cell r="J109">
            <v>0</v>
          </cell>
          <cell r="K109">
            <v>-125</v>
          </cell>
          <cell r="M109">
            <v>-125</v>
          </cell>
        </row>
        <row r="110">
          <cell r="F110">
            <v>-50</v>
          </cell>
          <cell r="H110">
            <v>0</v>
          </cell>
          <cell r="I110">
            <v>-50</v>
          </cell>
          <cell r="J110">
            <v>0</v>
          </cell>
          <cell r="K110">
            <v>-50</v>
          </cell>
          <cell r="M110">
            <v>0</v>
          </cell>
        </row>
        <row r="111">
          <cell r="F111">
            <v>-253</v>
          </cell>
          <cell r="H111">
            <v>0</v>
          </cell>
          <cell r="I111">
            <v>-253</v>
          </cell>
          <cell r="J111">
            <v>0</v>
          </cell>
          <cell r="K111">
            <v>-253</v>
          </cell>
          <cell r="M111">
            <v>-207</v>
          </cell>
        </row>
        <row r="113">
          <cell r="F113">
            <v>-10</v>
          </cell>
          <cell r="H113">
            <v>0</v>
          </cell>
          <cell r="I113">
            <v>-10</v>
          </cell>
          <cell r="J113">
            <v>0</v>
          </cell>
          <cell r="K113">
            <v>-10</v>
          </cell>
          <cell r="M113">
            <v>0</v>
          </cell>
        </row>
        <row r="114">
          <cell r="F114">
            <v>-10</v>
          </cell>
          <cell r="H114">
            <v>0</v>
          </cell>
          <cell r="I114">
            <v>-10</v>
          </cell>
          <cell r="J114">
            <v>0</v>
          </cell>
          <cell r="K114">
            <v>-10</v>
          </cell>
          <cell r="M114">
            <v>0</v>
          </cell>
        </row>
        <row r="116">
          <cell r="F116">
            <v>-520</v>
          </cell>
          <cell r="H116">
            <v>0</v>
          </cell>
          <cell r="I116">
            <v>-520</v>
          </cell>
          <cell r="J116">
            <v>0</v>
          </cell>
          <cell r="K116">
            <v>-520</v>
          </cell>
          <cell r="M116">
            <v>-287</v>
          </cell>
        </row>
        <row r="117">
          <cell r="F117">
            <v>-520</v>
          </cell>
          <cell r="H117">
            <v>0</v>
          </cell>
          <cell r="I117">
            <v>-520</v>
          </cell>
          <cell r="J117">
            <v>0</v>
          </cell>
          <cell r="K117">
            <v>-520</v>
          </cell>
          <cell r="M117">
            <v>-287</v>
          </cell>
        </row>
        <row r="119">
          <cell r="F119">
            <v>-9</v>
          </cell>
          <cell r="H119">
            <v>0</v>
          </cell>
          <cell r="I119">
            <v>-9</v>
          </cell>
          <cell r="J119">
            <v>0</v>
          </cell>
          <cell r="K119">
            <v>-9</v>
          </cell>
          <cell r="M119">
            <v>-5</v>
          </cell>
        </row>
        <row r="120">
          <cell r="F120">
            <v>8</v>
          </cell>
          <cell r="H120">
            <v>0</v>
          </cell>
          <cell r="I120">
            <v>8</v>
          </cell>
          <cell r="J120">
            <v>0</v>
          </cell>
          <cell r="K120">
            <v>8</v>
          </cell>
          <cell r="M120">
            <v>0</v>
          </cell>
        </row>
        <row r="121">
          <cell r="F121">
            <v>-1</v>
          </cell>
          <cell r="H121">
            <v>0</v>
          </cell>
          <cell r="I121">
            <v>-1</v>
          </cell>
          <cell r="J121">
            <v>0</v>
          </cell>
          <cell r="K121">
            <v>-1</v>
          </cell>
          <cell r="M121">
            <v>-5</v>
          </cell>
        </row>
        <row r="123">
          <cell r="F123">
            <v>-10732</v>
          </cell>
          <cell r="H123">
            <v>0</v>
          </cell>
          <cell r="I123">
            <v>-10732</v>
          </cell>
          <cell r="J123">
            <v>0</v>
          </cell>
          <cell r="K123">
            <v>-10732</v>
          </cell>
          <cell r="M123">
            <v>-10732</v>
          </cell>
        </row>
        <row r="124">
          <cell r="F124">
            <v>-10732</v>
          </cell>
          <cell r="H124">
            <v>0</v>
          </cell>
          <cell r="I124">
            <v>-10732</v>
          </cell>
          <cell r="J124">
            <v>0</v>
          </cell>
          <cell r="K124">
            <v>-10732</v>
          </cell>
          <cell r="M124">
            <v>-10732</v>
          </cell>
        </row>
        <row r="126">
          <cell r="F126">
            <v>-261</v>
          </cell>
          <cell r="H126">
            <v>0</v>
          </cell>
          <cell r="I126">
            <v>-261</v>
          </cell>
          <cell r="J126">
            <v>0</v>
          </cell>
          <cell r="K126">
            <v>-261</v>
          </cell>
          <cell r="M126">
            <v>-368</v>
          </cell>
        </row>
        <row r="127">
          <cell r="F127">
            <v>-261</v>
          </cell>
          <cell r="H127">
            <v>0</v>
          </cell>
          <cell r="I127">
            <v>-261</v>
          </cell>
          <cell r="J127">
            <v>0</v>
          </cell>
          <cell r="K127">
            <v>-261</v>
          </cell>
          <cell r="M127">
            <v>-368</v>
          </cell>
        </row>
        <row r="129">
          <cell r="F129">
            <v>-89</v>
          </cell>
          <cell r="H129">
            <v>0</v>
          </cell>
          <cell r="I129">
            <v>-89</v>
          </cell>
          <cell r="J129">
            <v>0</v>
          </cell>
          <cell r="K129">
            <v>-89</v>
          </cell>
          <cell r="M129">
            <v>-205</v>
          </cell>
        </row>
        <row r="130">
          <cell r="F130">
            <v>-89</v>
          </cell>
          <cell r="H130">
            <v>0</v>
          </cell>
          <cell r="I130">
            <v>-89</v>
          </cell>
          <cell r="J130">
            <v>0</v>
          </cell>
          <cell r="K130">
            <v>-89</v>
          </cell>
          <cell r="M130">
            <v>-205</v>
          </cell>
        </row>
        <row r="132">
          <cell r="F132">
            <v>-11</v>
          </cell>
          <cell r="H132">
            <v>0</v>
          </cell>
          <cell r="I132">
            <v>-11</v>
          </cell>
          <cell r="J132">
            <v>0</v>
          </cell>
          <cell r="K132">
            <v>-11</v>
          </cell>
          <cell r="M132">
            <v>-298</v>
          </cell>
        </row>
        <row r="133">
          <cell r="F133">
            <v>0</v>
          </cell>
          <cell r="H133">
            <v>0</v>
          </cell>
          <cell r="I133">
            <v>0</v>
          </cell>
          <cell r="J133">
            <v>0</v>
          </cell>
          <cell r="K133">
            <v>0</v>
          </cell>
          <cell r="M133">
            <v>-5469</v>
          </cell>
        </row>
        <row r="134">
          <cell r="F134">
            <v>-11</v>
          </cell>
          <cell r="H134">
            <v>0</v>
          </cell>
          <cell r="I134">
            <v>-11</v>
          </cell>
          <cell r="J134">
            <v>0</v>
          </cell>
          <cell r="K134">
            <v>-11</v>
          </cell>
          <cell r="M134">
            <v>-5767</v>
          </cell>
        </row>
        <row r="136">
          <cell r="F136">
            <v>-3</v>
          </cell>
          <cell r="H136">
            <v>0</v>
          </cell>
          <cell r="I136">
            <v>-3</v>
          </cell>
          <cell r="J136">
            <v>0</v>
          </cell>
          <cell r="K136">
            <v>-3</v>
          </cell>
          <cell r="M136">
            <v>-20</v>
          </cell>
        </row>
        <row r="137">
          <cell r="F137">
            <v>-3</v>
          </cell>
          <cell r="H137">
            <v>0</v>
          </cell>
          <cell r="I137">
            <v>-3</v>
          </cell>
          <cell r="J137">
            <v>0</v>
          </cell>
          <cell r="K137">
            <v>-3</v>
          </cell>
          <cell r="M137">
            <v>-20</v>
          </cell>
        </row>
        <row r="139">
          <cell r="F139">
            <v>-211727</v>
          </cell>
          <cell r="H139">
            <v>0</v>
          </cell>
          <cell r="I139">
            <v>-211727</v>
          </cell>
          <cell r="J139">
            <v>0</v>
          </cell>
          <cell r="K139">
            <v>-211727</v>
          </cell>
          <cell r="M139">
            <v>-268869</v>
          </cell>
        </row>
        <row r="140">
          <cell r="F140">
            <v>34573</v>
          </cell>
          <cell r="H140">
            <v>0</v>
          </cell>
          <cell r="I140">
            <v>34573</v>
          </cell>
          <cell r="J140">
            <v>0</v>
          </cell>
          <cell r="K140">
            <v>34573</v>
          </cell>
          <cell r="M140">
            <v>58052</v>
          </cell>
        </row>
        <row r="141">
          <cell r="F141">
            <v>-31949</v>
          </cell>
          <cell r="H141">
            <v>0</v>
          </cell>
          <cell r="I141">
            <v>-31949</v>
          </cell>
          <cell r="J141">
            <v>0</v>
          </cell>
          <cell r="K141">
            <v>-31949</v>
          </cell>
          <cell r="M141">
            <v>-272380</v>
          </cell>
        </row>
        <row r="142">
          <cell r="F142">
            <v>31570</v>
          </cell>
          <cell r="H142">
            <v>0</v>
          </cell>
          <cell r="I142">
            <v>31570</v>
          </cell>
          <cell r="J142">
            <v>0</v>
          </cell>
          <cell r="K142">
            <v>31570</v>
          </cell>
          <cell r="M142">
            <v>225647</v>
          </cell>
        </row>
        <row r="143">
          <cell r="F143">
            <v>0</v>
          </cell>
          <cell r="H143">
            <v>0</v>
          </cell>
          <cell r="I143">
            <v>0</v>
          </cell>
          <cell r="J143">
            <v>0</v>
          </cell>
          <cell r="K143">
            <v>0</v>
          </cell>
          <cell r="M143">
            <v>65741</v>
          </cell>
        </row>
        <row r="144">
          <cell r="F144">
            <v>-681887</v>
          </cell>
          <cell r="H144">
            <v>0</v>
          </cell>
          <cell r="I144">
            <v>-681887</v>
          </cell>
          <cell r="J144">
            <v>0</v>
          </cell>
          <cell r="K144">
            <v>-681887</v>
          </cell>
          <cell r="M144">
            <v>-364635</v>
          </cell>
        </row>
        <row r="145">
          <cell r="F145">
            <v>0</v>
          </cell>
          <cell r="H145">
            <v>0</v>
          </cell>
          <cell r="I145">
            <v>0</v>
          </cell>
          <cell r="J145">
            <v>0</v>
          </cell>
          <cell r="K145">
            <v>0</v>
          </cell>
          <cell r="M145">
            <v>-72358</v>
          </cell>
        </row>
        <row r="146">
          <cell r="F146">
            <v>-859420</v>
          </cell>
          <cell r="H146">
            <v>0</v>
          </cell>
          <cell r="I146">
            <v>-859420</v>
          </cell>
          <cell r="J146">
            <v>0</v>
          </cell>
          <cell r="K146">
            <v>-859420</v>
          </cell>
          <cell r="M146">
            <v>-628802</v>
          </cell>
        </row>
        <row r="148">
          <cell r="F148">
            <v>2418</v>
          </cell>
          <cell r="H148">
            <v>0</v>
          </cell>
          <cell r="I148">
            <v>2418</v>
          </cell>
          <cell r="J148">
            <v>0</v>
          </cell>
          <cell r="K148">
            <v>2418</v>
          </cell>
          <cell r="M148">
            <v>4912</v>
          </cell>
        </row>
        <row r="149">
          <cell r="F149">
            <v>2418</v>
          </cell>
          <cell r="H149">
            <v>0</v>
          </cell>
          <cell r="I149">
            <v>2418</v>
          </cell>
          <cell r="J149">
            <v>0</v>
          </cell>
          <cell r="K149">
            <v>2418</v>
          </cell>
          <cell r="M149">
            <v>4912</v>
          </cell>
        </row>
        <row r="151">
          <cell r="F151">
            <v>8376</v>
          </cell>
          <cell r="H151">
            <v>0</v>
          </cell>
          <cell r="I151">
            <v>8376</v>
          </cell>
          <cell r="J151">
            <v>0</v>
          </cell>
          <cell r="K151">
            <v>8376</v>
          </cell>
          <cell r="M151">
            <v>-4010</v>
          </cell>
        </row>
        <row r="152">
          <cell r="F152">
            <v>8376</v>
          </cell>
          <cell r="H152">
            <v>0</v>
          </cell>
          <cell r="I152">
            <v>8376</v>
          </cell>
          <cell r="J152">
            <v>0</v>
          </cell>
          <cell r="K152">
            <v>8376</v>
          </cell>
          <cell r="M152">
            <v>-4010</v>
          </cell>
        </row>
        <row r="154">
          <cell r="F154">
            <v>258</v>
          </cell>
          <cell r="H154">
            <v>0</v>
          </cell>
          <cell r="I154">
            <v>258</v>
          </cell>
          <cell r="J154">
            <v>0</v>
          </cell>
          <cell r="K154">
            <v>258</v>
          </cell>
          <cell r="M154">
            <v>0</v>
          </cell>
        </row>
        <row r="155">
          <cell r="F155">
            <v>45590</v>
          </cell>
          <cell r="H155">
            <v>0</v>
          </cell>
          <cell r="I155">
            <v>45590</v>
          </cell>
          <cell r="J155">
            <v>0</v>
          </cell>
          <cell r="K155">
            <v>45590</v>
          </cell>
          <cell r="M155">
            <v>-232</v>
          </cell>
        </row>
        <row r="156">
          <cell r="F156">
            <v>45848</v>
          </cell>
          <cell r="H156">
            <v>0</v>
          </cell>
          <cell r="I156">
            <v>45848</v>
          </cell>
          <cell r="J156">
            <v>0</v>
          </cell>
          <cell r="K156">
            <v>45848</v>
          </cell>
          <cell r="M156">
            <v>-232</v>
          </cell>
        </row>
        <row r="158">
          <cell r="F158">
            <v>-306</v>
          </cell>
          <cell r="H158">
            <v>0</v>
          </cell>
          <cell r="I158">
            <v>-306</v>
          </cell>
          <cell r="J158">
            <v>0</v>
          </cell>
          <cell r="K158">
            <v>-306</v>
          </cell>
          <cell r="M158">
            <v>0</v>
          </cell>
        </row>
        <row r="159">
          <cell r="F159">
            <v>-306</v>
          </cell>
          <cell r="H159">
            <v>0</v>
          </cell>
          <cell r="I159">
            <v>-306</v>
          </cell>
          <cell r="J159">
            <v>0</v>
          </cell>
          <cell r="K159">
            <v>-306</v>
          </cell>
          <cell r="M159">
            <v>0</v>
          </cell>
        </row>
        <row r="161">
          <cell r="F161">
            <v>-1063</v>
          </cell>
          <cell r="H161">
            <v>0</v>
          </cell>
          <cell r="I161">
            <v>-1063</v>
          </cell>
          <cell r="J161">
            <v>0</v>
          </cell>
          <cell r="K161">
            <v>-1063</v>
          </cell>
          <cell r="M161">
            <v>-21231</v>
          </cell>
        </row>
        <row r="162">
          <cell r="F162">
            <v>-1063</v>
          </cell>
          <cell r="H162">
            <v>0</v>
          </cell>
          <cell r="I162">
            <v>-1063</v>
          </cell>
          <cell r="J162">
            <v>0</v>
          </cell>
          <cell r="K162">
            <v>-1063</v>
          </cell>
          <cell r="M162">
            <v>-21231</v>
          </cell>
        </row>
        <row r="164">
          <cell r="F164">
            <v>0</v>
          </cell>
          <cell r="H164">
            <v>0</v>
          </cell>
          <cell r="I164">
            <v>0</v>
          </cell>
          <cell r="J164">
            <v>0</v>
          </cell>
          <cell r="K164">
            <v>0</v>
          </cell>
          <cell r="M164">
            <v>265</v>
          </cell>
        </row>
        <row r="165">
          <cell r="F165">
            <v>-152</v>
          </cell>
          <cell r="H165">
            <v>0</v>
          </cell>
          <cell r="I165">
            <v>-152</v>
          </cell>
          <cell r="J165">
            <v>0</v>
          </cell>
          <cell r="K165">
            <v>-152</v>
          </cell>
          <cell r="M165">
            <v>0</v>
          </cell>
        </row>
        <row r="166">
          <cell r="F166">
            <v>-152</v>
          </cell>
          <cell r="H166">
            <v>0</v>
          </cell>
          <cell r="I166">
            <v>-152</v>
          </cell>
          <cell r="J166">
            <v>0</v>
          </cell>
          <cell r="K166">
            <v>-152</v>
          </cell>
          <cell r="M166">
            <v>265</v>
          </cell>
        </row>
        <row r="168">
          <cell r="F168">
            <v>-13</v>
          </cell>
          <cell r="H168">
            <v>0</v>
          </cell>
          <cell r="I168">
            <v>-13</v>
          </cell>
          <cell r="J168">
            <v>0</v>
          </cell>
          <cell r="K168">
            <v>-13</v>
          </cell>
          <cell r="M168">
            <v>0</v>
          </cell>
        </row>
        <row r="169">
          <cell r="F169">
            <v>-13</v>
          </cell>
          <cell r="H169">
            <v>0</v>
          </cell>
          <cell r="I169">
            <v>-13</v>
          </cell>
          <cell r="J169">
            <v>0</v>
          </cell>
          <cell r="K169">
            <v>-13</v>
          </cell>
          <cell r="M169">
            <v>0</v>
          </cell>
        </row>
        <row r="171">
          <cell r="F171">
            <v>-14123</v>
          </cell>
          <cell r="H171">
            <v>0</v>
          </cell>
          <cell r="I171">
            <v>-14123</v>
          </cell>
          <cell r="J171">
            <v>0</v>
          </cell>
          <cell r="K171">
            <v>-14123</v>
          </cell>
          <cell r="M171">
            <v>-5461</v>
          </cell>
        </row>
        <row r="172">
          <cell r="F172">
            <v>-14123</v>
          </cell>
          <cell r="H172">
            <v>0</v>
          </cell>
          <cell r="I172">
            <v>-14123</v>
          </cell>
          <cell r="J172">
            <v>0</v>
          </cell>
          <cell r="K172">
            <v>-14123</v>
          </cell>
          <cell r="M172">
            <v>-5461</v>
          </cell>
        </row>
        <row r="174">
          <cell r="F174">
            <v>0</v>
          </cell>
          <cell r="H174">
            <v>0</v>
          </cell>
          <cell r="I174">
            <v>0</v>
          </cell>
          <cell r="J174">
            <v>0</v>
          </cell>
          <cell r="K174">
            <v>0</v>
          </cell>
          <cell r="M174">
            <v>0</v>
          </cell>
        </row>
        <row r="176">
          <cell r="F176">
            <v>-1970</v>
          </cell>
          <cell r="H176">
            <v>0</v>
          </cell>
          <cell r="I176">
            <v>-1970</v>
          </cell>
          <cell r="J176">
            <v>0</v>
          </cell>
          <cell r="K176">
            <v>-1970</v>
          </cell>
          <cell r="M176">
            <v>0</v>
          </cell>
        </row>
        <row r="177">
          <cell r="F177">
            <v>-4113</v>
          </cell>
          <cell r="H177">
            <v>0</v>
          </cell>
          <cell r="I177">
            <v>-4113</v>
          </cell>
          <cell r="J177">
            <v>0</v>
          </cell>
          <cell r="K177">
            <v>-4113</v>
          </cell>
          <cell r="M177">
            <v>-2901</v>
          </cell>
        </row>
        <row r="178">
          <cell r="F178">
            <v>-6083</v>
          </cell>
          <cell r="H178">
            <v>0</v>
          </cell>
          <cell r="I178">
            <v>-6083</v>
          </cell>
          <cell r="J178">
            <v>0</v>
          </cell>
          <cell r="K178">
            <v>-6083</v>
          </cell>
          <cell r="M178">
            <v>-2901</v>
          </cell>
        </row>
        <row r="180">
          <cell r="F180">
            <v>-157</v>
          </cell>
          <cell r="H180">
            <v>0</v>
          </cell>
          <cell r="I180">
            <v>-157</v>
          </cell>
          <cell r="J180">
            <v>0</v>
          </cell>
          <cell r="K180">
            <v>-157</v>
          </cell>
          <cell r="M180">
            <v>-969</v>
          </cell>
        </row>
        <row r="181">
          <cell r="F181">
            <v>0</v>
          </cell>
          <cell r="H181">
            <v>0</v>
          </cell>
          <cell r="I181">
            <v>0</v>
          </cell>
          <cell r="J181">
            <v>0</v>
          </cell>
          <cell r="K181">
            <v>0</v>
          </cell>
          <cell r="M181">
            <v>0</v>
          </cell>
        </row>
        <row r="182">
          <cell r="F182">
            <v>-121</v>
          </cell>
          <cell r="H182">
            <v>0</v>
          </cell>
          <cell r="I182">
            <v>-121</v>
          </cell>
          <cell r="J182">
            <v>0</v>
          </cell>
          <cell r="K182">
            <v>-121</v>
          </cell>
          <cell r="M182">
            <v>-402</v>
          </cell>
        </row>
        <row r="183">
          <cell r="F183">
            <v>-278</v>
          </cell>
          <cell r="H183">
            <v>0</v>
          </cell>
          <cell r="I183">
            <v>-278</v>
          </cell>
          <cell r="J183">
            <v>0</v>
          </cell>
          <cell r="K183">
            <v>-278</v>
          </cell>
          <cell r="M183">
            <v>-1371</v>
          </cell>
        </row>
        <row r="185">
          <cell r="F185">
            <v>-454</v>
          </cell>
          <cell r="H185">
            <v>0</v>
          </cell>
          <cell r="I185">
            <v>-454</v>
          </cell>
          <cell r="J185">
            <v>0</v>
          </cell>
          <cell r="K185">
            <v>-454</v>
          </cell>
          <cell r="M185">
            <v>0</v>
          </cell>
        </row>
        <row r="186">
          <cell r="F186">
            <v>-1154</v>
          </cell>
          <cell r="H186">
            <v>0</v>
          </cell>
          <cell r="I186">
            <v>-1154</v>
          </cell>
          <cell r="J186">
            <v>0</v>
          </cell>
          <cell r="K186">
            <v>-1154</v>
          </cell>
          <cell r="M186">
            <v>-464</v>
          </cell>
        </row>
        <row r="187">
          <cell r="F187">
            <v>-937</v>
          </cell>
          <cell r="H187">
            <v>0</v>
          </cell>
          <cell r="I187">
            <v>-937</v>
          </cell>
          <cell r="J187">
            <v>0</v>
          </cell>
          <cell r="K187">
            <v>-937</v>
          </cell>
          <cell r="M187">
            <v>-2059</v>
          </cell>
        </row>
        <row r="188">
          <cell r="F188">
            <v>0</v>
          </cell>
          <cell r="H188">
            <v>0</v>
          </cell>
          <cell r="I188">
            <v>0</v>
          </cell>
          <cell r="J188">
            <v>0</v>
          </cell>
          <cell r="K188">
            <v>0</v>
          </cell>
          <cell r="M188">
            <v>0</v>
          </cell>
        </row>
        <row r="189">
          <cell r="F189">
            <v>-59</v>
          </cell>
          <cell r="H189">
            <v>0</v>
          </cell>
          <cell r="I189">
            <v>-59</v>
          </cell>
          <cell r="J189">
            <v>0</v>
          </cell>
          <cell r="K189">
            <v>-59</v>
          </cell>
          <cell r="M189">
            <v>-19</v>
          </cell>
        </row>
        <row r="190">
          <cell r="F190">
            <v>-2604</v>
          </cell>
          <cell r="H190">
            <v>0</v>
          </cell>
          <cell r="I190">
            <v>-2604</v>
          </cell>
          <cell r="J190">
            <v>0</v>
          </cell>
          <cell r="K190">
            <v>-2604</v>
          </cell>
          <cell r="M190">
            <v>-2542</v>
          </cell>
        </row>
        <row r="192">
          <cell r="F192">
            <v>-10</v>
          </cell>
          <cell r="H192">
            <v>0</v>
          </cell>
          <cell r="I192">
            <v>-10</v>
          </cell>
          <cell r="J192">
            <v>0</v>
          </cell>
          <cell r="K192">
            <v>-10</v>
          </cell>
          <cell r="M192">
            <v>-12</v>
          </cell>
        </row>
        <row r="193">
          <cell r="F193">
            <v>-10</v>
          </cell>
          <cell r="H193">
            <v>0</v>
          </cell>
          <cell r="I193">
            <v>-10</v>
          </cell>
          <cell r="J193">
            <v>0</v>
          </cell>
          <cell r="K193">
            <v>-10</v>
          </cell>
          <cell r="M193">
            <v>-12</v>
          </cell>
        </row>
        <row r="195">
          <cell r="F195">
            <v>-7217</v>
          </cell>
          <cell r="H195">
            <v>0</v>
          </cell>
          <cell r="I195">
            <v>-7217</v>
          </cell>
          <cell r="J195">
            <v>0</v>
          </cell>
          <cell r="K195">
            <v>-7217</v>
          </cell>
          <cell r="M195">
            <v>-28525</v>
          </cell>
        </row>
        <row r="196">
          <cell r="F196">
            <v>-413</v>
          </cell>
          <cell r="H196">
            <v>0</v>
          </cell>
          <cell r="I196">
            <v>-413</v>
          </cell>
          <cell r="J196">
            <v>0</v>
          </cell>
          <cell r="K196">
            <v>-413</v>
          </cell>
          <cell r="M196">
            <v>-63</v>
          </cell>
        </row>
        <row r="197">
          <cell r="F197">
            <v>22</v>
          </cell>
          <cell r="H197">
            <v>0</v>
          </cell>
          <cell r="I197">
            <v>22</v>
          </cell>
          <cell r="J197">
            <v>0</v>
          </cell>
          <cell r="K197">
            <v>22</v>
          </cell>
          <cell r="M197">
            <v>25</v>
          </cell>
        </row>
        <row r="198">
          <cell r="F198">
            <v>-7608</v>
          </cell>
          <cell r="H198">
            <v>0</v>
          </cell>
          <cell r="I198">
            <v>-7608</v>
          </cell>
          <cell r="J198">
            <v>0</v>
          </cell>
          <cell r="K198">
            <v>-7608</v>
          </cell>
          <cell r="M198">
            <v>-28563</v>
          </cell>
        </row>
        <row r="200">
          <cell r="F200">
            <v>7338</v>
          </cell>
          <cell r="H200">
            <v>0</v>
          </cell>
          <cell r="I200">
            <v>7338</v>
          </cell>
          <cell r="J200">
            <v>0</v>
          </cell>
          <cell r="K200">
            <v>7338</v>
          </cell>
          <cell r="M200">
            <v>3935</v>
          </cell>
        </row>
        <row r="201">
          <cell r="F201">
            <v>7338</v>
          </cell>
          <cell r="H201">
            <v>0</v>
          </cell>
          <cell r="I201">
            <v>7338</v>
          </cell>
          <cell r="J201">
            <v>0</v>
          </cell>
          <cell r="K201">
            <v>7338</v>
          </cell>
          <cell r="M201">
            <v>3935</v>
          </cell>
        </row>
        <row r="203">
          <cell r="F203">
            <v>1159</v>
          </cell>
          <cell r="H203">
            <v>0</v>
          </cell>
          <cell r="I203">
            <v>1159</v>
          </cell>
          <cell r="J203">
            <v>0</v>
          </cell>
          <cell r="K203">
            <v>1159</v>
          </cell>
          <cell r="M203">
            <v>590</v>
          </cell>
        </row>
        <row r="204">
          <cell r="F204">
            <v>1207</v>
          </cell>
          <cell r="H204">
            <v>0</v>
          </cell>
          <cell r="I204">
            <v>1207</v>
          </cell>
          <cell r="J204">
            <v>0</v>
          </cell>
          <cell r="K204">
            <v>1207</v>
          </cell>
          <cell r="M204">
            <v>724</v>
          </cell>
        </row>
        <row r="205">
          <cell r="F205">
            <v>2366</v>
          </cell>
          <cell r="H205">
            <v>0</v>
          </cell>
          <cell r="I205">
            <v>2366</v>
          </cell>
          <cell r="J205">
            <v>0</v>
          </cell>
          <cell r="K205">
            <v>2366</v>
          </cell>
          <cell r="M205">
            <v>1314</v>
          </cell>
        </row>
        <row r="207">
          <cell r="F207">
            <v>753</v>
          </cell>
          <cell r="H207">
            <v>0</v>
          </cell>
          <cell r="I207">
            <v>753</v>
          </cell>
          <cell r="J207">
            <v>0</v>
          </cell>
          <cell r="K207">
            <v>753</v>
          </cell>
          <cell r="M207">
            <v>393</v>
          </cell>
        </row>
        <row r="208">
          <cell r="F208">
            <v>85</v>
          </cell>
          <cell r="H208">
            <v>0</v>
          </cell>
          <cell r="I208">
            <v>85</v>
          </cell>
          <cell r="J208">
            <v>0</v>
          </cell>
          <cell r="K208">
            <v>85</v>
          </cell>
          <cell r="M208">
            <v>0</v>
          </cell>
        </row>
        <row r="209">
          <cell r="F209">
            <v>838</v>
          </cell>
          <cell r="H209">
            <v>0</v>
          </cell>
          <cell r="I209">
            <v>838</v>
          </cell>
          <cell r="J209">
            <v>0</v>
          </cell>
          <cell r="K209">
            <v>838</v>
          </cell>
          <cell r="M209">
            <v>393</v>
          </cell>
        </row>
        <row r="211">
          <cell r="F211">
            <v>312</v>
          </cell>
          <cell r="H211">
            <v>0</v>
          </cell>
          <cell r="I211">
            <v>312</v>
          </cell>
          <cell r="J211">
            <v>0</v>
          </cell>
          <cell r="K211">
            <v>312</v>
          </cell>
          <cell r="M211">
            <v>167</v>
          </cell>
        </row>
        <row r="212">
          <cell r="F212">
            <v>312</v>
          </cell>
          <cell r="H212">
            <v>0</v>
          </cell>
          <cell r="I212">
            <v>312</v>
          </cell>
          <cell r="J212">
            <v>0</v>
          </cell>
          <cell r="K212">
            <v>312</v>
          </cell>
          <cell r="M212">
            <v>167</v>
          </cell>
        </row>
        <row r="214">
          <cell r="F214">
            <v>496</v>
          </cell>
          <cell r="H214">
            <v>0</v>
          </cell>
          <cell r="I214">
            <v>496</v>
          </cell>
          <cell r="J214">
            <v>0</v>
          </cell>
          <cell r="K214">
            <v>496</v>
          </cell>
          <cell r="M214">
            <v>1192</v>
          </cell>
        </row>
        <row r="215">
          <cell r="F215">
            <v>7</v>
          </cell>
          <cell r="H215">
            <v>0</v>
          </cell>
          <cell r="I215">
            <v>7</v>
          </cell>
          <cell r="J215">
            <v>0</v>
          </cell>
          <cell r="K215">
            <v>7</v>
          </cell>
          <cell r="M215">
            <v>2</v>
          </cell>
        </row>
        <row r="216">
          <cell r="F216">
            <v>39</v>
          </cell>
          <cell r="H216">
            <v>0</v>
          </cell>
          <cell r="I216">
            <v>39</v>
          </cell>
          <cell r="J216">
            <v>0</v>
          </cell>
          <cell r="K216">
            <v>39</v>
          </cell>
          <cell r="M216">
            <v>29</v>
          </cell>
        </row>
        <row r="217">
          <cell r="F217">
            <v>135</v>
          </cell>
          <cell r="H217">
            <v>0</v>
          </cell>
          <cell r="I217">
            <v>135</v>
          </cell>
          <cell r="J217">
            <v>0</v>
          </cell>
          <cell r="K217">
            <v>135</v>
          </cell>
          <cell r="M217">
            <v>140</v>
          </cell>
        </row>
        <row r="218">
          <cell r="F218">
            <v>0</v>
          </cell>
          <cell r="H218">
            <v>0</v>
          </cell>
          <cell r="I218">
            <v>0</v>
          </cell>
          <cell r="J218">
            <v>0</v>
          </cell>
          <cell r="K218">
            <v>0</v>
          </cell>
          <cell r="M218">
            <v>1</v>
          </cell>
        </row>
        <row r="219">
          <cell r="F219">
            <v>677</v>
          </cell>
          <cell r="H219">
            <v>0</v>
          </cell>
          <cell r="I219">
            <v>677</v>
          </cell>
          <cell r="J219">
            <v>0</v>
          </cell>
          <cell r="K219">
            <v>677</v>
          </cell>
          <cell r="M219">
            <v>1364</v>
          </cell>
        </row>
        <row r="221">
          <cell r="F221">
            <v>0</v>
          </cell>
          <cell r="H221">
            <v>0</v>
          </cell>
          <cell r="I221">
            <v>0</v>
          </cell>
          <cell r="J221">
            <v>0</v>
          </cell>
          <cell r="K221">
            <v>0</v>
          </cell>
          <cell r="M221">
            <v>1179</v>
          </cell>
        </row>
        <row r="222">
          <cell r="F222">
            <v>0</v>
          </cell>
          <cell r="H222">
            <v>0</v>
          </cell>
          <cell r="I222">
            <v>0</v>
          </cell>
          <cell r="J222">
            <v>0</v>
          </cell>
          <cell r="K222">
            <v>0</v>
          </cell>
          <cell r="M222">
            <v>1179</v>
          </cell>
        </row>
        <row r="224">
          <cell r="F224">
            <v>217</v>
          </cell>
          <cell r="H224">
            <v>0</v>
          </cell>
          <cell r="I224">
            <v>217</v>
          </cell>
          <cell r="J224">
            <v>0</v>
          </cell>
          <cell r="K224">
            <v>217</v>
          </cell>
          <cell r="M224">
            <v>252</v>
          </cell>
        </row>
        <row r="225">
          <cell r="F225">
            <v>87</v>
          </cell>
          <cell r="H225">
            <v>0</v>
          </cell>
          <cell r="I225">
            <v>87</v>
          </cell>
          <cell r="J225">
            <v>0</v>
          </cell>
          <cell r="K225">
            <v>87</v>
          </cell>
          <cell r="M225">
            <v>38</v>
          </cell>
        </row>
        <row r="226">
          <cell r="F226">
            <v>304</v>
          </cell>
          <cell r="H226">
            <v>0</v>
          </cell>
          <cell r="I226">
            <v>304</v>
          </cell>
          <cell r="J226">
            <v>0</v>
          </cell>
          <cell r="K226">
            <v>304</v>
          </cell>
          <cell r="M226">
            <v>290</v>
          </cell>
        </row>
        <row r="228">
          <cell r="F228">
            <v>50</v>
          </cell>
          <cell r="H228">
            <v>0</v>
          </cell>
          <cell r="I228">
            <v>50</v>
          </cell>
          <cell r="J228">
            <v>0</v>
          </cell>
          <cell r="K228">
            <v>50</v>
          </cell>
          <cell r="M228">
            <v>0</v>
          </cell>
        </row>
        <row r="229">
          <cell r="F229">
            <v>38</v>
          </cell>
          <cell r="H229">
            <v>0</v>
          </cell>
          <cell r="I229">
            <v>38</v>
          </cell>
          <cell r="J229">
            <v>0</v>
          </cell>
          <cell r="K229">
            <v>38</v>
          </cell>
          <cell r="M229">
            <v>0</v>
          </cell>
        </row>
        <row r="230">
          <cell r="F230">
            <v>14</v>
          </cell>
          <cell r="H230">
            <v>0</v>
          </cell>
          <cell r="I230">
            <v>14</v>
          </cell>
          <cell r="J230">
            <v>0</v>
          </cell>
          <cell r="K230">
            <v>14</v>
          </cell>
          <cell r="M230">
            <v>15</v>
          </cell>
        </row>
        <row r="231">
          <cell r="F231">
            <v>71</v>
          </cell>
          <cell r="H231">
            <v>0</v>
          </cell>
          <cell r="I231">
            <v>71</v>
          </cell>
          <cell r="J231">
            <v>0</v>
          </cell>
          <cell r="K231">
            <v>71</v>
          </cell>
          <cell r="M231">
            <v>78</v>
          </cell>
        </row>
        <row r="232">
          <cell r="F232">
            <v>18</v>
          </cell>
          <cell r="H232">
            <v>0</v>
          </cell>
          <cell r="I232">
            <v>18</v>
          </cell>
          <cell r="J232">
            <v>0</v>
          </cell>
          <cell r="K232">
            <v>18</v>
          </cell>
          <cell r="M232">
            <v>25</v>
          </cell>
        </row>
        <row r="233">
          <cell r="F233">
            <v>8</v>
          </cell>
          <cell r="H233">
            <v>0</v>
          </cell>
          <cell r="I233">
            <v>8</v>
          </cell>
          <cell r="J233">
            <v>0</v>
          </cell>
          <cell r="K233">
            <v>8</v>
          </cell>
          <cell r="M233">
            <v>9</v>
          </cell>
        </row>
        <row r="234">
          <cell r="F234">
            <v>0</v>
          </cell>
          <cell r="H234">
            <v>0</v>
          </cell>
          <cell r="I234">
            <v>0</v>
          </cell>
          <cell r="J234">
            <v>0</v>
          </cell>
          <cell r="K234">
            <v>0</v>
          </cell>
          <cell r="M234">
            <v>0</v>
          </cell>
        </row>
        <row r="235">
          <cell r="F235">
            <v>124</v>
          </cell>
          <cell r="H235">
            <v>0</v>
          </cell>
          <cell r="I235">
            <v>124</v>
          </cell>
          <cell r="J235">
            <v>0</v>
          </cell>
          <cell r="K235">
            <v>124</v>
          </cell>
          <cell r="M235">
            <v>138</v>
          </cell>
        </row>
        <row r="236">
          <cell r="F236">
            <v>43</v>
          </cell>
          <cell r="H236">
            <v>0</v>
          </cell>
          <cell r="I236">
            <v>43</v>
          </cell>
          <cell r="J236">
            <v>0</v>
          </cell>
          <cell r="K236">
            <v>43</v>
          </cell>
          <cell r="M236">
            <v>33</v>
          </cell>
        </row>
        <row r="237">
          <cell r="F237">
            <v>4</v>
          </cell>
          <cell r="H237">
            <v>0</v>
          </cell>
          <cell r="I237">
            <v>4</v>
          </cell>
          <cell r="J237">
            <v>0</v>
          </cell>
          <cell r="K237">
            <v>4</v>
          </cell>
          <cell r="M237">
            <v>0</v>
          </cell>
        </row>
        <row r="238">
          <cell r="F238">
            <v>18</v>
          </cell>
          <cell r="H238">
            <v>0</v>
          </cell>
          <cell r="I238">
            <v>18</v>
          </cell>
          <cell r="J238">
            <v>0</v>
          </cell>
          <cell r="K238">
            <v>18</v>
          </cell>
          <cell r="M238">
            <v>7</v>
          </cell>
        </row>
        <row r="239">
          <cell r="F239">
            <v>21</v>
          </cell>
          <cell r="H239">
            <v>0</v>
          </cell>
          <cell r="I239">
            <v>21</v>
          </cell>
          <cell r="J239">
            <v>0</v>
          </cell>
          <cell r="K239">
            <v>21</v>
          </cell>
          <cell r="M239">
            <v>14</v>
          </cell>
        </row>
        <row r="240">
          <cell r="F240">
            <v>1</v>
          </cell>
          <cell r="H240">
            <v>0</v>
          </cell>
          <cell r="I240">
            <v>1</v>
          </cell>
          <cell r="J240">
            <v>0</v>
          </cell>
          <cell r="K240">
            <v>1</v>
          </cell>
          <cell r="M240">
            <v>2</v>
          </cell>
        </row>
        <row r="241">
          <cell r="F241">
            <v>1</v>
          </cell>
          <cell r="H241">
            <v>0</v>
          </cell>
          <cell r="I241">
            <v>1</v>
          </cell>
          <cell r="J241">
            <v>0</v>
          </cell>
          <cell r="K241">
            <v>1</v>
          </cell>
          <cell r="M241">
            <v>0</v>
          </cell>
        </row>
        <row r="242">
          <cell r="F242">
            <v>411</v>
          </cell>
          <cell r="H242">
            <v>0</v>
          </cell>
          <cell r="I242">
            <v>411</v>
          </cell>
          <cell r="J242">
            <v>0</v>
          </cell>
          <cell r="K242">
            <v>411</v>
          </cell>
          <cell r="M242">
            <v>321</v>
          </cell>
        </row>
        <row r="244">
          <cell r="F244">
            <v>-2418</v>
          </cell>
          <cell r="H244">
            <v>0</v>
          </cell>
          <cell r="I244">
            <v>-2418</v>
          </cell>
          <cell r="J244">
            <v>0</v>
          </cell>
          <cell r="K244">
            <v>-2418</v>
          </cell>
          <cell r="M244">
            <v>-4912</v>
          </cell>
        </row>
        <row r="245">
          <cell r="F245">
            <v>-2418</v>
          </cell>
          <cell r="H245">
            <v>0</v>
          </cell>
          <cell r="I245">
            <v>-2418</v>
          </cell>
          <cell r="J245">
            <v>0</v>
          </cell>
          <cell r="K245">
            <v>-2418</v>
          </cell>
          <cell r="M245">
            <v>-4912</v>
          </cell>
        </row>
        <row r="247">
          <cell r="F247">
            <v>-8376</v>
          </cell>
          <cell r="H247">
            <v>0</v>
          </cell>
          <cell r="I247">
            <v>-8376</v>
          </cell>
          <cell r="J247">
            <v>0</v>
          </cell>
          <cell r="K247">
            <v>-8376</v>
          </cell>
          <cell r="M247">
            <v>4010</v>
          </cell>
        </row>
        <row r="248">
          <cell r="F248">
            <v>-8376</v>
          </cell>
          <cell r="H248">
            <v>0</v>
          </cell>
          <cell r="I248">
            <v>-8376</v>
          </cell>
          <cell r="J248">
            <v>0</v>
          </cell>
          <cell r="K248">
            <v>-8376</v>
          </cell>
          <cell r="M248">
            <v>4010</v>
          </cell>
        </row>
        <row r="249">
          <cell r="F249">
            <v>3</v>
          </cell>
          <cell r="H249">
            <v>0</v>
          </cell>
          <cell r="I249">
            <v>3</v>
          </cell>
          <cell r="J249">
            <v>0</v>
          </cell>
          <cell r="K249">
            <v>3</v>
          </cell>
          <cell r="M249">
            <v>0</v>
          </cell>
        </row>
      </sheetData>
      <sheetData sheetId="6">
        <row r="1">
          <cell r="F1" t="str">
            <v>Preliminary</v>
          </cell>
          <cell r="G1" t="str">
            <v>AJE</v>
          </cell>
          <cell r="H1" t="str">
            <v>Adjusted</v>
          </cell>
          <cell r="I1" t="str">
            <v>RJE</v>
          </cell>
          <cell r="J1" t="str">
            <v>Final</v>
          </cell>
          <cell r="K1" t="str">
            <v>PY1</v>
          </cell>
        </row>
        <row r="3">
          <cell r="F3">
            <v>8181</v>
          </cell>
          <cell r="G3">
            <v>0</v>
          </cell>
          <cell r="H3">
            <v>8181</v>
          </cell>
          <cell r="I3">
            <v>0</v>
          </cell>
          <cell r="J3">
            <v>8181</v>
          </cell>
          <cell r="K3">
            <v>0</v>
          </cell>
        </row>
        <row r="4">
          <cell r="F4">
            <v>36799</v>
          </cell>
          <cell r="G4">
            <v>0</v>
          </cell>
          <cell r="H4">
            <v>36799</v>
          </cell>
          <cell r="I4">
            <v>0</v>
          </cell>
          <cell r="J4">
            <v>36799</v>
          </cell>
          <cell r="K4">
            <v>7447</v>
          </cell>
        </row>
        <row r="5">
          <cell r="F5">
            <v>7637</v>
          </cell>
          <cell r="G5">
            <v>0</v>
          </cell>
          <cell r="H5">
            <v>7637</v>
          </cell>
          <cell r="I5">
            <v>0</v>
          </cell>
          <cell r="J5">
            <v>7637</v>
          </cell>
          <cell r="K5">
            <v>225456</v>
          </cell>
        </row>
        <row r="6">
          <cell r="F6">
            <v>6</v>
          </cell>
          <cell r="G6">
            <v>0</v>
          </cell>
          <cell r="H6">
            <v>6</v>
          </cell>
          <cell r="I6">
            <v>0</v>
          </cell>
          <cell r="J6">
            <v>6</v>
          </cell>
          <cell r="K6">
            <v>7</v>
          </cell>
        </row>
        <row r="7">
          <cell r="F7">
            <v>1075</v>
          </cell>
          <cell r="G7">
            <v>0</v>
          </cell>
          <cell r="H7">
            <v>1075</v>
          </cell>
          <cell r="I7">
            <v>0</v>
          </cell>
          <cell r="J7">
            <v>1075</v>
          </cell>
          <cell r="K7">
            <v>1075</v>
          </cell>
        </row>
        <row r="8">
          <cell r="F8">
            <v>880</v>
          </cell>
          <cell r="G8">
            <v>0</v>
          </cell>
          <cell r="H8">
            <v>880</v>
          </cell>
          <cell r="I8">
            <v>0</v>
          </cell>
          <cell r="J8">
            <v>880</v>
          </cell>
          <cell r="K8">
            <v>880</v>
          </cell>
        </row>
        <row r="9">
          <cell r="F9">
            <v>5706</v>
          </cell>
          <cell r="G9">
            <v>0</v>
          </cell>
          <cell r="H9">
            <v>5706</v>
          </cell>
          <cell r="I9">
            <v>0</v>
          </cell>
          <cell r="J9">
            <v>5706</v>
          </cell>
          <cell r="K9">
            <v>1750</v>
          </cell>
        </row>
        <row r="10">
          <cell r="F10">
            <v>825</v>
          </cell>
          <cell r="G10">
            <v>0</v>
          </cell>
          <cell r="H10">
            <v>825</v>
          </cell>
          <cell r="I10">
            <v>0</v>
          </cell>
          <cell r="J10">
            <v>825</v>
          </cell>
          <cell r="K10">
            <v>826</v>
          </cell>
        </row>
        <row r="11">
          <cell r="F11">
            <v>4793</v>
          </cell>
          <cell r="G11">
            <v>0</v>
          </cell>
          <cell r="H11">
            <v>4793</v>
          </cell>
          <cell r="I11">
            <v>0</v>
          </cell>
          <cell r="J11">
            <v>4793</v>
          </cell>
          <cell r="K11">
            <v>3507</v>
          </cell>
        </row>
        <row r="12">
          <cell r="F12">
            <v>65902</v>
          </cell>
          <cell r="G12">
            <v>0</v>
          </cell>
          <cell r="H12">
            <v>65902</v>
          </cell>
          <cell r="I12">
            <v>0</v>
          </cell>
          <cell r="J12">
            <v>65902</v>
          </cell>
          <cell r="K12">
            <v>240948</v>
          </cell>
        </row>
        <row r="14">
          <cell r="F14">
            <v>531014</v>
          </cell>
          <cell r="G14">
            <v>0</v>
          </cell>
          <cell r="H14">
            <v>531014</v>
          </cell>
          <cell r="I14">
            <v>0</v>
          </cell>
          <cell r="J14">
            <v>531014</v>
          </cell>
          <cell r="K14">
            <v>305492</v>
          </cell>
        </row>
        <row r="15">
          <cell r="F15">
            <v>-31948</v>
          </cell>
          <cell r="G15">
            <v>0</v>
          </cell>
          <cell r="H15">
            <v>-31948</v>
          </cell>
          <cell r="I15">
            <v>0</v>
          </cell>
          <cell r="J15">
            <v>-31948</v>
          </cell>
          <cell r="K15">
            <v>13643</v>
          </cell>
        </row>
        <row r="16">
          <cell r="F16">
            <v>499066</v>
          </cell>
          <cell r="G16">
            <v>0</v>
          </cell>
          <cell r="H16">
            <v>499066</v>
          </cell>
          <cell r="I16">
            <v>0</v>
          </cell>
          <cell r="J16">
            <v>499066</v>
          </cell>
          <cell r="K16">
            <v>319135</v>
          </cell>
        </row>
        <row r="18">
          <cell r="F18">
            <v>50000</v>
          </cell>
          <cell r="G18">
            <v>0</v>
          </cell>
          <cell r="H18">
            <v>50000</v>
          </cell>
          <cell r="I18">
            <v>0</v>
          </cell>
          <cell r="J18">
            <v>50000</v>
          </cell>
          <cell r="K18">
            <v>24952</v>
          </cell>
        </row>
        <row r="19">
          <cell r="F19">
            <v>6131</v>
          </cell>
          <cell r="G19">
            <v>0</v>
          </cell>
          <cell r="H19">
            <v>6131</v>
          </cell>
          <cell r="I19">
            <v>0</v>
          </cell>
          <cell r="J19">
            <v>6131</v>
          </cell>
          <cell r="K19">
            <v>-313</v>
          </cell>
        </row>
        <row r="20">
          <cell r="F20">
            <v>56131</v>
          </cell>
          <cell r="G20">
            <v>0</v>
          </cell>
          <cell r="H20">
            <v>56131</v>
          </cell>
          <cell r="I20">
            <v>0</v>
          </cell>
          <cell r="J20">
            <v>56131</v>
          </cell>
          <cell r="K20">
            <v>24639</v>
          </cell>
        </row>
        <row r="22">
          <cell r="F22">
            <v>3354</v>
          </cell>
          <cell r="G22">
            <v>0</v>
          </cell>
          <cell r="H22">
            <v>3354</v>
          </cell>
          <cell r="I22">
            <v>0</v>
          </cell>
          <cell r="J22">
            <v>3354</v>
          </cell>
          <cell r="K22">
            <v>4291</v>
          </cell>
        </row>
        <row r="23">
          <cell r="F23">
            <v>2110</v>
          </cell>
          <cell r="G23">
            <v>0</v>
          </cell>
          <cell r="H23">
            <v>2110</v>
          </cell>
          <cell r="I23">
            <v>0</v>
          </cell>
          <cell r="J23">
            <v>2110</v>
          </cell>
          <cell r="K23">
            <v>1696</v>
          </cell>
        </row>
        <row r="24">
          <cell r="F24">
            <v>-2130</v>
          </cell>
          <cell r="G24">
            <v>0</v>
          </cell>
          <cell r="H24">
            <v>-2130</v>
          </cell>
          <cell r="I24">
            <v>0</v>
          </cell>
          <cell r="J24">
            <v>-2130</v>
          </cell>
          <cell r="K24">
            <v>-2252</v>
          </cell>
        </row>
        <row r="25">
          <cell r="F25">
            <v>3334</v>
          </cell>
          <cell r="G25">
            <v>0</v>
          </cell>
          <cell r="H25">
            <v>3334</v>
          </cell>
          <cell r="I25">
            <v>0</v>
          </cell>
          <cell r="J25">
            <v>3334</v>
          </cell>
          <cell r="K25">
            <v>3735</v>
          </cell>
        </row>
        <row r="27">
          <cell r="F27">
            <v>15452</v>
          </cell>
          <cell r="G27">
            <v>0</v>
          </cell>
          <cell r="H27">
            <v>15452</v>
          </cell>
          <cell r="I27">
            <v>0</v>
          </cell>
          <cell r="J27">
            <v>15452</v>
          </cell>
          <cell r="K27">
            <v>63128</v>
          </cell>
        </row>
        <row r="28">
          <cell r="F28">
            <v>35342</v>
          </cell>
          <cell r="G28">
            <v>0</v>
          </cell>
          <cell r="H28">
            <v>35342</v>
          </cell>
          <cell r="I28">
            <v>0</v>
          </cell>
          <cell r="J28">
            <v>35342</v>
          </cell>
          <cell r="K28">
            <v>28124</v>
          </cell>
        </row>
        <row r="29">
          <cell r="F29">
            <v>50794</v>
          </cell>
          <cell r="G29">
            <v>0</v>
          </cell>
          <cell r="H29">
            <v>50794</v>
          </cell>
          <cell r="I29">
            <v>0</v>
          </cell>
          <cell r="J29">
            <v>50794</v>
          </cell>
          <cell r="K29">
            <v>91252</v>
          </cell>
        </row>
        <row r="31">
          <cell r="F31">
            <v>150000</v>
          </cell>
          <cell r="G31">
            <v>0</v>
          </cell>
          <cell r="H31">
            <v>150000</v>
          </cell>
          <cell r="I31">
            <v>0</v>
          </cell>
          <cell r="J31">
            <v>150000</v>
          </cell>
          <cell r="K31">
            <v>30000</v>
          </cell>
        </row>
        <row r="32">
          <cell r="F32">
            <v>-22</v>
          </cell>
          <cell r="G32">
            <v>0</v>
          </cell>
          <cell r="H32">
            <v>-22</v>
          </cell>
          <cell r="I32">
            <v>0</v>
          </cell>
          <cell r="J32">
            <v>-22</v>
          </cell>
          <cell r="K32">
            <v>-3</v>
          </cell>
        </row>
        <row r="33">
          <cell r="F33">
            <v>-800</v>
          </cell>
          <cell r="G33">
            <v>0</v>
          </cell>
          <cell r="H33">
            <v>-800</v>
          </cell>
          <cell r="I33">
            <v>0</v>
          </cell>
          <cell r="J33">
            <v>-800</v>
          </cell>
          <cell r="K33">
            <v>-42</v>
          </cell>
        </row>
        <row r="34">
          <cell r="F34">
            <v>149178</v>
          </cell>
          <cell r="G34">
            <v>0</v>
          </cell>
          <cell r="H34">
            <v>149178</v>
          </cell>
          <cell r="I34">
            <v>0</v>
          </cell>
          <cell r="J34">
            <v>149178</v>
          </cell>
          <cell r="K34">
            <v>29955</v>
          </cell>
        </row>
        <row r="36">
          <cell r="F36">
            <v>21492</v>
          </cell>
          <cell r="G36">
            <v>0</v>
          </cell>
          <cell r="H36">
            <v>21492</v>
          </cell>
          <cell r="I36">
            <v>0</v>
          </cell>
          <cell r="J36">
            <v>21492</v>
          </cell>
          <cell r="K36">
            <v>0</v>
          </cell>
        </row>
        <row r="37">
          <cell r="F37">
            <v>21492</v>
          </cell>
          <cell r="G37">
            <v>0</v>
          </cell>
          <cell r="H37">
            <v>21492</v>
          </cell>
          <cell r="I37">
            <v>0</v>
          </cell>
          <cell r="J37">
            <v>21492</v>
          </cell>
          <cell r="K37">
            <v>0</v>
          </cell>
        </row>
        <row r="39">
          <cell r="F39">
            <v>1702</v>
          </cell>
          <cell r="G39">
            <v>0</v>
          </cell>
          <cell r="H39">
            <v>1702</v>
          </cell>
          <cell r="I39">
            <v>0</v>
          </cell>
          <cell r="J39">
            <v>1702</v>
          </cell>
          <cell r="K39">
            <v>295</v>
          </cell>
        </row>
        <row r="40">
          <cell r="F40">
            <v>1702</v>
          </cell>
          <cell r="G40">
            <v>0</v>
          </cell>
          <cell r="H40">
            <v>1702</v>
          </cell>
          <cell r="I40">
            <v>0</v>
          </cell>
          <cell r="J40">
            <v>1702</v>
          </cell>
          <cell r="K40">
            <v>295</v>
          </cell>
        </row>
        <row r="42">
          <cell r="F42">
            <v>105</v>
          </cell>
          <cell r="G42">
            <v>0</v>
          </cell>
          <cell r="H42">
            <v>105</v>
          </cell>
          <cell r="I42">
            <v>0</v>
          </cell>
          <cell r="J42">
            <v>105</v>
          </cell>
          <cell r="K42">
            <v>0</v>
          </cell>
        </row>
        <row r="43">
          <cell r="F43">
            <v>96</v>
          </cell>
          <cell r="G43">
            <v>0</v>
          </cell>
          <cell r="H43">
            <v>96</v>
          </cell>
          <cell r="I43">
            <v>0</v>
          </cell>
          <cell r="J43">
            <v>96</v>
          </cell>
          <cell r="K43">
            <v>41</v>
          </cell>
        </row>
        <row r="44">
          <cell r="F44">
            <v>242</v>
          </cell>
          <cell r="G44">
            <v>0</v>
          </cell>
          <cell r="H44">
            <v>242</v>
          </cell>
          <cell r="I44">
            <v>0</v>
          </cell>
          <cell r="J44">
            <v>242</v>
          </cell>
          <cell r="K44">
            <v>301</v>
          </cell>
        </row>
        <row r="45">
          <cell r="F45">
            <v>443</v>
          </cell>
          <cell r="G45">
            <v>0</v>
          </cell>
          <cell r="H45">
            <v>443</v>
          </cell>
          <cell r="I45">
            <v>0</v>
          </cell>
          <cell r="J45">
            <v>443</v>
          </cell>
          <cell r="K45">
            <v>342</v>
          </cell>
        </row>
        <row r="47">
          <cell r="F47">
            <v>2388</v>
          </cell>
          <cell r="G47">
            <v>0</v>
          </cell>
          <cell r="H47">
            <v>2388</v>
          </cell>
          <cell r="I47">
            <v>0</v>
          </cell>
          <cell r="J47">
            <v>2388</v>
          </cell>
          <cell r="K47">
            <v>648</v>
          </cell>
        </row>
        <row r="48">
          <cell r="F48">
            <v>2388</v>
          </cell>
          <cell r="G48">
            <v>0</v>
          </cell>
          <cell r="H48">
            <v>2388</v>
          </cell>
          <cell r="I48">
            <v>0</v>
          </cell>
          <cell r="J48">
            <v>2388</v>
          </cell>
          <cell r="K48">
            <v>648</v>
          </cell>
        </row>
        <row r="50">
          <cell r="F50">
            <v>10</v>
          </cell>
          <cell r="G50">
            <v>0</v>
          </cell>
          <cell r="H50">
            <v>10</v>
          </cell>
          <cell r="I50">
            <v>0</v>
          </cell>
          <cell r="J50">
            <v>10</v>
          </cell>
          <cell r="K50">
            <v>28</v>
          </cell>
        </row>
        <row r="51">
          <cell r="F51">
            <v>10</v>
          </cell>
          <cell r="G51">
            <v>0</v>
          </cell>
          <cell r="H51">
            <v>10</v>
          </cell>
          <cell r="I51">
            <v>0</v>
          </cell>
          <cell r="J51">
            <v>10</v>
          </cell>
          <cell r="K51">
            <v>28</v>
          </cell>
        </row>
        <row r="53">
          <cell r="F53">
            <v>0</v>
          </cell>
          <cell r="G53">
            <v>0</v>
          </cell>
          <cell r="H53">
            <v>0</v>
          </cell>
          <cell r="I53">
            <v>0</v>
          </cell>
          <cell r="J53">
            <v>0</v>
          </cell>
          <cell r="K53">
            <v>0</v>
          </cell>
        </row>
        <row r="55">
          <cell r="F55">
            <v>476</v>
          </cell>
          <cell r="G55">
            <v>0</v>
          </cell>
          <cell r="H55">
            <v>476</v>
          </cell>
          <cell r="I55">
            <v>0</v>
          </cell>
          <cell r="J55">
            <v>476</v>
          </cell>
          <cell r="K55">
            <v>476</v>
          </cell>
        </row>
        <row r="56">
          <cell r="F56">
            <v>2500</v>
          </cell>
          <cell r="G56">
            <v>0</v>
          </cell>
          <cell r="H56">
            <v>2500</v>
          </cell>
          <cell r="I56">
            <v>0</v>
          </cell>
          <cell r="J56">
            <v>2500</v>
          </cell>
          <cell r="K56">
            <v>2500</v>
          </cell>
        </row>
        <row r="57">
          <cell r="F57">
            <v>1317</v>
          </cell>
          <cell r="G57">
            <v>0</v>
          </cell>
          <cell r="H57">
            <v>1317</v>
          </cell>
          <cell r="I57">
            <v>0</v>
          </cell>
          <cell r="J57">
            <v>1317</v>
          </cell>
          <cell r="K57">
            <v>1317</v>
          </cell>
        </row>
        <row r="58">
          <cell r="F58">
            <v>4293</v>
          </cell>
          <cell r="G58">
            <v>0</v>
          </cell>
          <cell r="H58">
            <v>4293</v>
          </cell>
          <cell r="I58">
            <v>0</v>
          </cell>
          <cell r="J58">
            <v>4293</v>
          </cell>
          <cell r="K58">
            <v>4293</v>
          </cell>
        </row>
        <row r="60">
          <cell r="F60">
            <v>300</v>
          </cell>
          <cell r="G60">
            <v>0</v>
          </cell>
          <cell r="H60">
            <v>300</v>
          </cell>
          <cell r="I60">
            <v>0</v>
          </cell>
          <cell r="J60">
            <v>300</v>
          </cell>
          <cell r="K60">
            <v>300</v>
          </cell>
        </row>
        <row r="61">
          <cell r="F61">
            <v>300</v>
          </cell>
          <cell r="G61">
            <v>0</v>
          </cell>
          <cell r="H61">
            <v>300</v>
          </cell>
          <cell r="I61">
            <v>0</v>
          </cell>
          <cell r="J61">
            <v>300</v>
          </cell>
          <cell r="K61">
            <v>300</v>
          </cell>
        </row>
        <row r="63">
          <cell r="F63">
            <v>0</v>
          </cell>
          <cell r="G63">
            <v>0</v>
          </cell>
          <cell r="H63">
            <v>0</v>
          </cell>
          <cell r="I63">
            <v>0</v>
          </cell>
          <cell r="J63">
            <v>0</v>
          </cell>
          <cell r="K63">
            <v>0</v>
          </cell>
        </row>
        <row r="65">
          <cell r="F65">
            <v>0</v>
          </cell>
          <cell r="G65">
            <v>0</v>
          </cell>
          <cell r="H65">
            <v>0</v>
          </cell>
          <cell r="I65">
            <v>0</v>
          </cell>
          <cell r="J65">
            <v>0</v>
          </cell>
          <cell r="K65">
            <v>0</v>
          </cell>
        </row>
        <row r="67">
          <cell r="F67">
            <v>28</v>
          </cell>
          <cell r="G67">
            <v>0</v>
          </cell>
          <cell r="H67">
            <v>28</v>
          </cell>
          <cell r="I67">
            <v>0</v>
          </cell>
          <cell r="J67">
            <v>28</v>
          </cell>
          <cell r="K67">
            <v>28</v>
          </cell>
        </row>
        <row r="68">
          <cell r="F68">
            <v>9</v>
          </cell>
          <cell r="G68">
            <v>0</v>
          </cell>
          <cell r="H68">
            <v>9</v>
          </cell>
          <cell r="I68">
            <v>0</v>
          </cell>
          <cell r="J68">
            <v>9</v>
          </cell>
          <cell r="K68">
            <v>39</v>
          </cell>
        </row>
        <row r="69">
          <cell r="F69">
            <v>307</v>
          </cell>
          <cell r="G69">
            <v>0</v>
          </cell>
          <cell r="H69">
            <v>307</v>
          </cell>
          <cell r="I69">
            <v>0</v>
          </cell>
          <cell r="J69">
            <v>307</v>
          </cell>
          <cell r="K69">
            <v>307</v>
          </cell>
        </row>
        <row r="70">
          <cell r="F70">
            <v>35</v>
          </cell>
          <cell r="G70">
            <v>0</v>
          </cell>
          <cell r="H70">
            <v>35</v>
          </cell>
          <cell r="I70">
            <v>0</v>
          </cell>
          <cell r="J70">
            <v>35</v>
          </cell>
          <cell r="K70">
            <v>35</v>
          </cell>
        </row>
        <row r="71">
          <cell r="F71">
            <v>379</v>
          </cell>
          <cell r="G71">
            <v>0</v>
          </cell>
          <cell r="H71">
            <v>379</v>
          </cell>
          <cell r="I71">
            <v>0</v>
          </cell>
          <cell r="J71">
            <v>379</v>
          </cell>
          <cell r="K71">
            <v>409</v>
          </cell>
        </row>
        <row r="73">
          <cell r="F73">
            <v>-687</v>
          </cell>
          <cell r="G73">
            <v>0</v>
          </cell>
          <cell r="H73">
            <v>-687</v>
          </cell>
          <cell r="I73">
            <v>0</v>
          </cell>
          <cell r="J73">
            <v>-687</v>
          </cell>
          <cell r="K73">
            <v>-977</v>
          </cell>
        </row>
        <row r="74">
          <cell r="F74">
            <v>-687</v>
          </cell>
          <cell r="G74">
            <v>0</v>
          </cell>
          <cell r="H74">
            <v>-687</v>
          </cell>
          <cell r="I74">
            <v>0</v>
          </cell>
          <cell r="J74">
            <v>-687</v>
          </cell>
          <cell r="K74">
            <v>-977</v>
          </cell>
        </row>
        <row r="76">
          <cell r="F76">
            <v>-1351</v>
          </cell>
          <cell r="G76">
            <v>0</v>
          </cell>
          <cell r="H76">
            <v>-1351</v>
          </cell>
          <cell r="I76">
            <v>0</v>
          </cell>
          <cell r="J76">
            <v>-1351</v>
          </cell>
          <cell r="K76">
            <v>-166</v>
          </cell>
        </row>
        <row r="77">
          <cell r="F77">
            <v>-1351</v>
          </cell>
          <cell r="G77">
            <v>0</v>
          </cell>
          <cell r="H77">
            <v>-1351</v>
          </cell>
          <cell r="I77">
            <v>0</v>
          </cell>
          <cell r="J77">
            <v>-1351</v>
          </cell>
          <cell r="K77">
            <v>-166</v>
          </cell>
        </row>
        <row r="79">
          <cell r="F79">
            <v>0</v>
          </cell>
          <cell r="G79">
            <v>0</v>
          </cell>
          <cell r="H79">
            <v>0</v>
          </cell>
          <cell r="I79">
            <v>0</v>
          </cell>
          <cell r="J79">
            <v>0</v>
          </cell>
          <cell r="K79">
            <v>-100</v>
          </cell>
        </row>
        <row r="80">
          <cell r="F80">
            <v>0</v>
          </cell>
          <cell r="G80">
            <v>0</v>
          </cell>
          <cell r="H80">
            <v>0</v>
          </cell>
          <cell r="I80">
            <v>0</v>
          </cell>
          <cell r="J80">
            <v>0</v>
          </cell>
          <cell r="K80">
            <v>-100</v>
          </cell>
        </row>
        <row r="82">
          <cell r="F82">
            <v>-173</v>
          </cell>
          <cell r="G82">
            <v>0</v>
          </cell>
          <cell r="H82">
            <v>-173</v>
          </cell>
          <cell r="I82">
            <v>0</v>
          </cell>
          <cell r="J82">
            <v>-173</v>
          </cell>
          <cell r="K82">
            <v>-147</v>
          </cell>
        </row>
        <row r="83">
          <cell r="F83">
            <v>-173</v>
          </cell>
          <cell r="G83">
            <v>0</v>
          </cell>
          <cell r="H83">
            <v>-173</v>
          </cell>
          <cell r="I83">
            <v>0</v>
          </cell>
          <cell r="J83">
            <v>-173</v>
          </cell>
          <cell r="K83">
            <v>-147</v>
          </cell>
        </row>
        <row r="85">
          <cell r="F85">
            <v>-69</v>
          </cell>
          <cell r="G85">
            <v>0</v>
          </cell>
          <cell r="H85">
            <v>-69</v>
          </cell>
          <cell r="I85">
            <v>0</v>
          </cell>
          <cell r="J85">
            <v>-69</v>
          </cell>
          <cell r="K85">
            <v>-96</v>
          </cell>
        </row>
        <row r="86">
          <cell r="F86">
            <v>-69</v>
          </cell>
          <cell r="G86">
            <v>0</v>
          </cell>
          <cell r="H86">
            <v>-69</v>
          </cell>
          <cell r="I86">
            <v>0</v>
          </cell>
          <cell r="J86">
            <v>-69</v>
          </cell>
          <cell r="K86">
            <v>-96</v>
          </cell>
        </row>
        <row r="88">
          <cell r="F88">
            <v>-312</v>
          </cell>
          <cell r="G88">
            <v>0</v>
          </cell>
          <cell r="H88">
            <v>-312</v>
          </cell>
          <cell r="I88">
            <v>0</v>
          </cell>
          <cell r="J88">
            <v>-312</v>
          </cell>
          <cell r="K88">
            <v>-394</v>
          </cell>
        </row>
        <row r="89">
          <cell r="F89">
            <v>-312</v>
          </cell>
          <cell r="G89">
            <v>0</v>
          </cell>
          <cell r="H89">
            <v>-312</v>
          </cell>
          <cell r="I89">
            <v>0</v>
          </cell>
          <cell r="J89">
            <v>-312</v>
          </cell>
          <cell r="K89">
            <v>-394</v>
          </cell>
        </row>
        <row r="91">
          <cell r="F91">
            <v>-829</v>
          </cell>
          <cell r="G91">
            <v>0</v>
          </cell>
          <cell r="H91">
            <v>-829</v>
          </cell>
          <cell r="I91">
            <v>0</v>
          </cell>
          <cell r="J91">
            <v>-829</v>
          </cell>
          <cell r="K91">
            <v>-829</v>
          </cell>
        </row>
        <row r="92">
          <cell r="F92">
            <v>-1955</v>
          </cell>
          <cell r="G92">
            <v>0</v>
          </cell>
          <cell r="H92">
            <v>-1955</v>
          </cell>
          <cell r="I92">
            <v>0</v>
          </cell>
          <cell r="J92">
            <v>-1955</v>
          </cell>
          <cell r="K92">
            <v>-1955</v>
          </cell>
        </row>
        <row r="93">
          <cell r="F93">
            <v>-2784</v>
          </cell>
          <cell r="G93">
            <v>0</v>
          </cell>
          <cell r="H93">
            <v>-2784</v>
          </cell>
          <cell r="I93">
            <v>0</v>
          </cell>
          <cell r="J93">
            <v>-2784</v>
          </cell>
          <cell r="K93">
            <v>-2784</v>
          </cell>
        </row>
        <row r="95">
          <cell r="F95">
            <v>0</v>
          </cell>
          <cell r="G95">
            <v>0</v>
          </cell>
          <cell r="H95">
            <v>0</v>
          </cell>
          <cell r="I95">
            <v>0</v>
          </cell>
          <cell r="J95">
            <v>0</v>
          </cell>
          <cell r="K95">
            <v>-8512</v>
          </cell>
        </row>
        <row r="96">
          <cell r="F96">
            <v>0</v>
          </cell>
          <cell r="G96">
            <v>0</v>
          </cell>
          <cell r="H96">
            <v>0</v>
          </cell>
          <cell r="I96">
            <v>0</v>
          </cell>
          <cell r="J96">
            <v>0</v>
          </cell>
          <cell r="K96">
            <v>-8512</v>
          </cell>
        </row>
        <row r="98">
          <cell r="F98">
            <v>-216</v>
          </cell>
          <cell r="G98">
            <v>0</v>
          </cell>
          <cell r="H98">
            <v>-216</v>
          </cell>
          <cell r="I98">
            <v>0</v>
          </cell>
          <cell r="J98">
            <v>-216</v>
          </cell>
          <cell r="K98">
            <v>-216</v>
          </cell>
        </row>
        <row r="99">
          <cell r="F99">
            <v>-216</v>
          </cell>
          <cell r="G99">
            <v>0</v>
          </cell>
          <cell r="H99">
            <v>-216</v>
          </cell>
          <cell r="I99">
            <v>0</v>
          </cell>
          <cell r="J99">
            <v>-216</v>
          </cell>
          <cell r="K99">
            <v>-216</v>
          </cell>
        </row>
        <row r="101">
          <cell r="F101">
            <v>-4371</v>
          </cell>
          <cell r="G101">
            <v>0</v>
          </cell>
          <cell r="H101">
            <v>-4371</v>
          </cell>
          <cell r="I101">
            <v>0</v>
          </cell>
          <cell r="J101">
            <v>-4371</v>
          </cell>
          <cell r="K101">
            <v>-3109</v>
          </cell>
        </row>
        <row r="102">
          <cell r="F102">
            <v>-4371</v>
          </cell>
          <cell r="G102">
            <v>0</v>
          </cell>
          <cell r="H102">
            <v>-4371</v>
          </cell>
          <cell r="I102">
            <v>0</v>
          </cell>
          <cell r="J102">
            <v>-4371</v>
          </cell>
          <cell r="K102">
            <v>-3109</v>
          </cell>
        </row>
        <row r="104">
          <cell r="F104">
            <v>26</v>
          </cell>
          <cell r="G104">
            <v>0</v>
          </cell>
          <cell r="H104">
            <v>26</v>
          </cell>
          <cell r="I104">
            <v>0</v>
          </cell>
          <cell r="J104">
            <v>26</v>
          </cell>
          <cell r="K104">
            <v>0</v>
          </cell>
        </row>
        <row r="105">
          <cell r="F105">
            <v>-148</v>
          </cell>
          <cell r="G105">
            <v>0</v>
          </cell>
          <cell r="H105">
            <v>-148</v>
          </cell>
          <cell r="I105">
            <v>0</v>
          </cell>
          <cell r="J105">
            <v>-148</v>
          </cell>
          <cell r="K105">
            <v>-77</v>
          </cell>
        </row>
        <row r="106">
          <cell r="F106">
            <v>27</v>
          </cell>
          <cell r="G106">
            <v>0</v>
          </cell>
          <cell r="H106">
            <v>27</v>
          </cell>
          <cell r="I106">
            <v>0</v>
          </cell>
          <cell r="J106">
            <v>27</v>
          </cell>
          <cell r="K106">
            <v>-5</v>
          </cell>
        </row>
        <row r="107">
          <cell r="F107">
            <v>17</v>
          </cell>
          <cell r="G107">
            <v>0</v>
          </cell>
          <cell r="H107">
            <v>17</v>
          </cell>
          <cell r="I107">
            <v>0</v>
          </cell>
          <cell r="J107">
            <v>17</v>
          </cell>
          <cell r="K107">
            <v>0</v>
          </cell>
        </row>
        <row r="108">
          <cell r="F108">
            <v>-125</v>
          </cell>
          <cell r="G108">
            <v>0</v>
          </cell>
          <cell r="H108">
            <v>-125</v>
          </cell>
          <cell r="I108">
            <v>0</v>
          </cell>
          <cell r="J108">
            <v>-125</v>
          </cell>
          <cell r="K108">
            <v>-125</v>
          </cell>
        </row>
        <row r="109">
          <cell r="F109">
            <v>-50</v>
          </cell>
          <cell r="G109">
            <v>0</v>
          </cell>
          <cell r="H109">
            <v>-50</v>
          </cell>
          <cell r="I109">
            <v>0</v>
          </cell>
          <cell r="J109">
            <v>-50</v>
          </cell>
          <cell r="K109">
            <v>0</v>
          </cell>
        </row>
        <row r="110">
          <cell r="F110">
            <v>-253</v>
          </cell>
          <cell r="G110">
            <v>0</v>
          </cell>
          <cell r="H110">
            <v>-253</v>
          </cell>
          <cell r="I110">
            <v>0</v>
          </cell>
          <cell r="J110">
            <v>-253</v>
          </cell>
          <cell r="K110">
            <v>-207</v>
          </cell>
        </row>
        <row r="112">
          <cell r="F112">
            <v>-10</v>
          </cell>
          <cell r="G112">
            <v>0</v>
          </cell>
          <cell r="H112">
            <v>-10</v>
          </cell>
          <cell r="I112">
            <v>0</v>
          </cell>
          <cell r="J112">
            <v>-10</v>
          </cell>
          <cell r="K112">
            <v>0</v>
          </cell>
        </row>
        <row r="113">
          <cell r="F113">
            <v>-10</v>
          </cell>
          <cell r="G113">
            <v>0</v>
          </cell>
          <cell r="H113">
            <v>-10</v>
          </cell>
          <cell r="I113">
            <v>0</v>
          </cell>
          <cell r="J113">
            <v>-10</v>
          </cell>
          <cell r="K113">
            <v>0</v>
          </cell>
        </row>
        <row r="115">
          <cell r="F115">
            <v>-520</v>
          </cell>
          <cell r="G115">
            <v>0</v>
          </cell>
          <cell r="H115">
            <v>-520</v>
          </cell>
          <cell r="I115">
            <v>0</v>
          </cell>
          <cell r="J115">
            <v>-520</v>
          </cell>
          <cell r="K115">
            <v>-287</v>
          </cell>
        </row>
        <row r="116">
          <cell r="F116">
            <v>-520</v>
          </cell>
          <cell r="G116">
            <v>0</v>
          </cell>
          <cell r="H116">
            <v>-520</v>
          </cell>
          <cell r="I116">
            <v>0</v>
          </cell>
          <cell r="J116">
            <v>-520</v>
          </cell>
          <cell r="K116">
            <v>-287</v>
          </cell>
        </row>
        <row r="118">
          <cell r="F118">
            <v>-9</v>
          </cell>
          <cell r="G118">
            <v>0</v>
          </cell>
          <cell r="H118">
            <v>-9</v>
          </cell>
          <cell r="I118">
            <v>0</v>
          </cell>
          <cell r="J118">
            <v>-9</v>
          </cell>
          <cell r="K118">
            <v>-5</v>
          </cell>
        </row>
        <row r="119">
          <cell r="F119">
            <v>8</v>
          </cell>
          <cell r="G119">
            <v>0</v>
          </cell>
          <cell r="H119">
            <v>8</v>
          </cell>
          <cell r="I119">
            <v>0</v>
          </cell>
          <cell r="J119">
            <v>8</v>
          </cell>
          <cell r="K119">
            <v>0</v>
          </cell>
        </row>
        <row r="120">
          <cell r="F120">
            <v>-1</v>
          </cell>
          <cell r="G120">
            <v>0</v>
          </cell>
          <cell r="H120">
            <v>-1</v>
          </cell>
          <cell r="I120">
            <v>0</v>
          </cell>
          <cell r="J120">
            <v>-1</v>
          </cell>
          <cell r="K120">
            <v>-5</v>
          </cell>
        </row>
        <row r="122">
          <cell r="F122">
            <v>-10732</v>
          </cell>
          <cell r="G122">
            <v>0</v>
          </cell>
          <cell r="H122">
            <v>-10732</v>
          </cell>
          <cell r="I122">
            <v>0</v>
          </cell>
          <cell r="J122">
            <v>-10732</v>
          </cell>
          <cell r="K122">
            <v>-10732</v>
          </cell>
        </row>
        <row r="123">
          <cell r="F123">
            <v>-10732</v>
          </cell>
          <cell r="G123">
            <v>0</v>
          </cell>
          <cell r="H123">
            <v>-10732</v>
          </cell>
          <cell r="I123">
            <v>0</v>
          </cell>
          <cell r="J123">
            <v>-10732</v>
          </cell>
          <cell r="K123">
            <v>-10732</v>
          </cell>
        </row>
        <row r="125">
          <cell r="F125">
            <v>-261</v>
          </cell>
          <cell r="G125">
            <v>0</v>
          </cell>
          <cell r="H125">
            <v>-261</v>
          </cell>
          <cell r="I125">
            <v>0</v>
          </cell>
          <cell r="J125">
            <v>-261</v>
          </cell>
          <cell r="K125">
            <v>-368</v>
          </cell>
        </row>
        <row r="126">
          <cell r="F126">
            <v>-261</v>
          </cell>
          <cell r="G126">
            <v>0</v>
          </cell>
          <cell r="H126">
            <v>-261</v>
          </cell>
          <cell r="I126">
            <v>0</v>
          </cell>
          <cell r="J126">
            <v>-261</v>
          </cell>
          <cell r="K126">
            <v>-368</v>
          </cell>
        </row>
        <row r="128">
          <cell r="F128">
            <v>-89</v>
          </cell>
          <cell r="G128">
            <v>0</v>
          </cell>
          <cell r="H128">
            <v>-89</v>
          </cell>
          <cell r="I128">
            <v>0</v>
          </cell>
          <cell r="J128">
            <v>-89</v>
          </cell>
          <cell r="K128">
            <v>-205</v>
          </cell>
        </row>
        <row r="129">
          <cell r="F129">
            <v>-89</v>
          </cell>
          <cell r="G129">
            <v>0</v>
          </cell>
          <cell r="H129">
            <v>-89</v>
          </cell>
          <cell r="I129">
            <v>0</v>
          </cell>
          <cell r="J129">
            <v>-89</v>
          </cell>
          <cell r="K129">
            <v>-205</v>
          </cell>
        </row>
        <row r="131">
          <cell r="F131">
            <v>-11</v>
          </cell>
          <cell r="G131">
            <v>0</v>
          </cell>
          <cell r="H131">
            <v>-11</v>
          </cell>
          <cell r="I131">
            <v>0</v>
          </cell>
          <cell r="J131">
            <v>-11</v>
          </cell>
          <cell r="K131">
            <v>-298</v>
          </cell>
        </row>
        <row r="132">
          <cell r="F132">
            <v>0</v>
          </cell>
          <cell r="G132">
            <v>0</v>
          </cell>
          <cell r="H132">
            <v>0</v>
          </cell>
          <cell r="I132">
            <v>0</v>
          </cell>
          <cell r="J132">
            <v>0</v>
          </cell>
          <cell r="K132">
            <v>-5469</v>
          </cell>
        </row>
        <row r="133">
          <cell r="F133">
            <v>-11</v>
          </cell>
          <cell r="G133">
            <v>0</v>
          </cell>
          <cell r="H133">
            <v>-11</v>
          </cell>
          <cell r="I133">
            <v>0</v>
          </cell>
          <cell r="J133">
            <v>-11</v>
          </cell>
          <cell r="K133">
            <v>-5767</v>
          </cell>
        </row>
        <row r="135">
          <cell r="F135">
            <v>-3</v>
          </cell>
          <cell r="G135">
            <v>0</v>
          </cell>
          <cell r="H135">
            <v>-3</v>
          </cell>
          <cell r="I135">
            <v>0</v>
          </cell>
          <cell r="J135">
            <v>-3</v>
          </cell>
          <cell r="K135">
            <v>-20</v>
          </cell>
        </row>
        <row r="136">
          <cell r="F136">
            <v>-3</v>
          </cell>
          <cell r="G136">
            <v>0</v>
          </cell>
          <cell r="H136">
            <v>-3</v>
          </cell>
          <cell r="I136">
            <v>0</v>
          </cell>
          <cell r="J136">
            <v>-3</v>
          </cell>
          <cell r="K136">
            <v>-20</v>
          </cell>
        </row>
        <row r="138">
          <cell r="F138">
            <v>-211727</v>
          </cell>
          <cell r="G138">
            <v>0</v>
          </cell>
          <cell r="H138">
            <v>-211727</v>
          </cell>
          <cell r="I138">
            <v>0</v>
          </cell>
          <cell r="J138">
            <v>-211727</v>
          </cell>
          <cell r="K138">
            <v>-268869</v>
          </cell>
        </row>
        <row r="139">
          <cell r="F139">
            <v>34573</v>
          </cell>
          <cell r="G139">
            <v>0</v>
          </cell>
          <cell r="H139">
            <v>34573</v>
          </cell>
          <cell r="I139">
            <v>0</v>
          </cell>
          <cell r="J139">
            <v>34573</v>
          </cell>
          <cell r="K139">
            <v>58052</v>
          </cell>
        </row>
        <row r="140">
          <cell r="F140">
            <v>-31949</v>
          </cell>
          <cell r="G140">
            <v>0</v>
          </cell>
          <cell r="H140">
            <v>-31949</v>
          </cell>
          <cell r="I140">
            <v>0</v>
          </cell>
          <cell r="J140">
            <v>-31949</v>
          </cell>
          <cell r="K140">
            <v>-272380</v>
          </cell>
        </row>
        <row r="141">
          <cell r="F141">
            <v>31570</v>
          </cell>
          <cell r="G141">
            <v>0</v>
          </cell>
          <cell r="H141">
            <v>31570</v>
          </cell>
          <cell r="I141">
            <v>0</v>
          </cell>
          <cell r="J141">
            <v>31570</v>
          </cell>
          <cell r="K141">
            <v>225647</v>
          </cell>
        </row>
        <row r="142">
          <cell r="F142">
            <v>0</v>
          </cell>
          <cell r="G142">
            <v>0</v>
          </cell>
          <cell r="H142">
            <v>0</v>
          </cell>
          <cell r="I142">
            <v>0</v>
          </cell>
          <cell r="J142">
            <v>0</v>
          </cell>
          <cell r="K142">
            <v>65741</v>
          </cell>
        </row>
        <row r="143">
          <cell r="F143">
            <v>-681887</v>
          </cell>
          <cell r="G143">
            <v>0</v>
          </cell>
          <cell r="H143">
            <v>-681887</v>
          </cell>
          <cell r="I143">
            <v>0</v>
          </cell>
          <cell r="J143">
            <v>-681887</v>
          </cell>
          <cell r="K143">
            <v>-364635</v>
          </cell>
        </row>
        <row r="144">
          <cell r="F144">
            <v>0</v>
          </cell>
          <cell r="G144">
            <v>0</v>
          </cell>
          <cell r="H144">
            <v>0</v>
          </cell>
          <cell r="I144">
            <v>0</v>
          </cell>
          <cell r="J144">
            <v>0</v>
          </cell>
          <cell r="K144">
            <v>-72358</v>
          </cell>
        </row>
        <row r="145">
          <cell r="F145">
            <v>-859420</v>
          </cell>
          <cell r="G145">
            <v>0</v>
          </cell>
          <cell r="H145">
            <v>-859420</v>
          </cell>
          <cell r="I145">
            <v>0</v>
          </cell>
          <cell r="J145">
            <v>-859420</v>
          </cell>
          <cell r="K145">
            <v>-628802</v>
          </cell>
        </row>
        <row r="147">
          <cell r="F147">
            <v>2418</v>
          </cell>
          <cell r="G147">
            <v>0</v>
          </cell>
          <cell r="H147">
            <v>2418</v>
          </cell>
          <cell r="I147">
            <v>0</v>
          </cell>
          <cell r="J147">
            <v>2418</v>
          </cell>
          <cell r="K147">
            <v>4912</v>
          </cell>
        </row>
        <row r="148">
          <cell r="F148">
            <v>2418</v>
          </cell>
          <cell r="G148">
            <v>0</v>
          </cell>
          <cell r="H148">
            <v>2418</v>
          </cell>
          <cell r="I148">
            <v>0</v>
          </cell>
          <cell r="J148">
            <v>2418</v>
          </cell>
          <cell r="K148">
            <v>4912</v>
          </cell>
        </row>
        <row r="150">
          <cell r="F150">
            <v>8376</v>
          </cell>
          <cell r="G150">
            <v>0</v>
          </cell>
          <cell r="H150">
            <v>8376</v>
          </cell>
          <cell r="I150">
            <v>0</v>
          </cell>
          <cell r="J150">
            <v>8376</v>
          </cell>
          <cell r="K150">
            <v>-4010</v>
          </cell>
        </row>
        <row r="151">
          <cell r="F151">
            <v>8376</v>
          </cell>
          <cell r="G151">
            <v>0</v>
          </cell>
          <cell r="H151">
            <v>8376</v>
          </cell>
          <cell r="I151">
            <v>0</v>
          </cell>
          <cell r="J151">
            <v>8376</v>
          </cell>
          <cell r="K151">
            <v>-4010</v>
          </cell>
        </row>
        <row r="153">
          <cell r="F153">
            <v>258</v>
          </cell>
          <cell r="G153">
            <v>0</v>
          </cell>
          <cell r="H153">
            <v>258</v>
          </cell>
          <cell r="I153">
            <v>0</v>
          </cell>
          <cell r="J153">
            <v>258</v>
          </cell>
          <cell r="K153">
            <v>0</v>
          </cell>
        </row>
        <row r="154">
          <cell r="F154">
            <v>45590</v>
          </cell>
          <cell r="G154">
            <v>0</v>
          </cell>
          <cell r="H154">
            <v>45590</v>
          </cell>
          <cell r="I154">
            <v>0</v>
          </cell>
          <cell r="J154">
            <v>45590</v>
          </cell>
          <cell r="K154">
            <v>-232</v>
          </cell>
        </row>
        <row r="155">
          <cell r="F155">
            <v>45848</v>
          </cell>
          <cell r="G155">
            <v>0</v>
          </cell>
          <cell r="H155">
            <v>45848</v>
          </cell>
          <cell r="I155">
            <v>0</v>
          </cell>
          <cell r="J155">
            <v>45848</v>
          </cell>
          <cell r="K155">
            <v>-232</v>
          </cell>
        </row>
        <row r="157">
          <cell r="F157">
            <v>-306</v>
          </cell>
          <cell r="G157">
            <v>0</v>
          </cell>
          <cell r="H157">
            <v>-306</v>
          </cell>
          <cell r="I157">
            <v>0</v>
          </cell>
          <cell r="J157">
            <v>-306</v>
          </cell>
          <cell r="K157">
            <v>0</v>
          </cell>
        </row>
        <row r="158">
          <cell r="F158">
            <v>-306</v>
          </cell>
          <cell r="G158">
            <v>0</v>
          </cell>
          <cell r="H158">
            <v>-306</v>
          </cell>
          <cell r="I158">
            <v>0</v>
          </cell>
          <cell r="J158">
            <v>-306</v>
          </cell>
          <cell r="K158">
            <v>0</v>
          </cell>
        </row>
        <row r="160">
          <cell r="F160">
            <v>-1063</v>
          </cell>
          <cell r="G160">
            <v>0</v>
          </cell>
          <cell r="H160">
            <v>-1063</v>
          </cell>
          <cell r="I160">
            <v>0</v>
          </cell>
          <cell r="J160">
            <v>-1063</v>
          </cell>
          <cell r="K160">
            <v>-21231</v>
          </cell>
        </row>
        <row r="161">
          <cell r="F161">
            <v>-1063</v>
          </cell>
          <cell r="G161">
            <v>0</v>
          </cell>
          <cell r="H161">
            <v>-1063</v>
          </cell>
          <cell r="I161">
            <v>0</v>
          </cell>
          <cell r="J161">
            <v>-1063</v>
          </cell>
          <cell r="K161">
            <v>-21231</v>
          </cell>
        </row>
        <row r="163">
          <cell r="F163">
            <v>0</v>
          </cell>
          <cell r="G163">
            <v>0</v>
          </cell>
          <cell r="H163">
            <v>0</v>
          </cell>
          <cell r="I163">
            <v>0</v>
          </cell>
          <cell r="J163">
            <v>0</v>
          </cell>
          <cell r="K163">
            <v>265</v>
          </cell>
        </row>
        <row r="164">
          <cell r="F164">
            <v>-152</v>
          </cell>
          <cell r="G164">
            <v>0</v>
          </cell>
          <cell r="H164">
            <v>-152</v>
          </cell>
          <cell r="I164">
            <v>0</v>
          </cell>
          <cell r="J164">
            <v>-152</v>
          </cell>
          <cell r="K164">
            <v>0</v>
          </cell>
        </row>
        <row r="165">
          <cell r="F165">
            <v>-152</v>
          </cell>
          <cell r="G165">
            <v>0</v>
          </cell>
          <cell r="H165">
            <v>-152</v>
          </cell>
          <cell r="I165">
            <v>0</v>
          </cell>
          <cell r="J165">
            <v>-152</v>
          </cell>
          <cell r="K165">
            <v>265</v>
          </cell>
        </row>
        <row r="167">
          <cell r="F167">
            <v>-13</v>
          </cell>
          <cell r="G167">
            <v>0</v>
          </cell>
          <cell r="H167">
            <v>-13</v>
          </cell>
          <cell r="I167">
            <v>0</v>
          </cell>
          <cell r="J167">
            <v>-13</v>
          </cell>
          <cell r="K167">
            <v>0</v>
          </cell>
        </row>
        <row r="168">
          <cell r="F168">
            <v>-13</v>
          </cell>
          <cell r="G168">
            <v>0</v>
          </cell>
          <cell r="H168">
            <v>-13</v>
          </cell>
          <cell r="I168">
            <v>0</v>
          </cell>
          <cell r="J168">
            <v>-13</v>
          </cell>
          <cell r="K168">
            <v>0</v>
          </cell>
        </row>
        <row r="170">
          <cell r="F170">
            <v>-14123</v>
          </cell>
          <cell r="G170">
            <v>0</v>
          </cell>
          <cell r="H170">
            <v>-14123</v>
          </cell>
          <cell r="I170">
            <v>0</v>
          </cell>
          <cell r="J170">
            <v>-14123</v>
          </cell>
          <cell r="K170">
            <v>-5461</v>
          </cell>
        </row>
        <row r="171">
          <cell r="F171">
            <v>-14123</v>
          </cell>
          <cell r="G171">
            <v>0</v>
          </cell>
          <cell r="H171">
            <v>-14123</v>
          </cell>
          <cell r="I171">
            <v>0</v>
          </cell>
          <cell r="J171">
            <v>-14123</v>
          </cell>
          <cell r="K171">
            <v>-5461</v>
          </cell>
        </row>
        <row r="173">
          <cell r="F173">
            <v>0</v>
          </cell>
          <cell r="G173">
            <v>0</v>
          </cell>
          <cell r="H173">
            <v>0</v>
          </cell>
          <cell r="I173">
            <v>0</v>
          </cell>
          <cell r="J173">
            <v>0</v>
          </cell>
          <cell r="K173">
            <v>0</v>
          </cell>
        </row>
        <row r="175">
          <cell r="F175">
            <v>-1970</v>
          </cell>
          <cell r="G175">
            <v>0</v>
          </cell>
          <cell r="H175">
            <v>-1970</v>
          </cell>
          <cell r="I175">
            <v>0</v>
          </cell>
          <cell r="J175">
            <v>-1970</v>
          </cell>
          <cell r="K175">
            <v>0</v>
          </cell>
        </row>
        <row r="176">
          <cell r="F176">
            <v>-4113</v>
          </cell>
          <cell r="G176">
            <v>0</v>
          </cell>
          <cell r="H176">
            <v>-4113</v>
          </cell>
          <cell r="I176">
            <v>0</v>
          </cell>
          <cell r="J176">
            <v>-4113</v>
          </cell>
          <cell r="K176">
            <v>-2901</v>
          </cell>
        </row>
        <row r="177">
          <cell r="F177">
            <v>-6083</v>
          </cell>
          <cell r="G177">
            <v>0</v>
          </cell>
          <cell r="H177">
            <v>-6083</v>
          </cell>
          <cell r="I177">
            <v>0</v>
          </cell>
          <cell r="J177">
            <v>-6083</v>
          </cell>
          <cell r="K177">
            <v>-2901</v>
          </cell>
        </row>
        <row r="179">
          <cell r="F179">
            <v>-157</v>
          </cell>
          <cell r="G179">
            <v>0</v>
          </cell>
          <cell r="H179">
            <v>-157</v>
          </cell>
          <cell r="I179">
            <v>0</v>
          </cell>
          <cell r="J179">
            <v>-157</v>
          </cell>
          <cell r="K179">
            <v>-969</v>
          </cell>
        </row>
        <row r="180">
          <cell r="F180">
            <v>0</v>
          </cell>
          <cell r="G180">
            <v>0</v>
          </cell>
          <cell r="H180">
            <v>0</v>
          </cell>
          <cell r="I180">
            <v>0</v>
          </cell>
          <cell r="J180">
            <v>0</v>
          </cell>
          <cell r="K180">
            <v>0</v>
          </cell>
        </row>
        <row r="181">
          <cell r="F181">
            <v>-121</v>
          </cell>
          <cell r="G181">
            <v>0</v>
          </cell>
          <cell r="H181">
            <v>-121</v>
          </cell>
          <cell r="I181">
            <v>0</v>
          </cell>
          <cell r="J181">
            <v>-121</v>
          </cell>
          <cell r="K181">
            <v>-402</v>
          </cell>
        </row>
        <row r="182">
          <cell r="F182">
            <v>-278</v>
          </cell>
          <cell r="G182">
            <v>0</v>
          </cell>
          <cell r="H182">
            <v>-278</v>
          </cell>
          <cell r="I182">
            <v>0</v>
          </cell>
          <cell r="J182">
            <v>-278</v>
          </cell>
          <cell r="K182">
            <v>-1371</v>
          </cell>
        </row>
        <row r="184">
          <cell r="F184">
            <v>-454</v>
          </cell>
          <cell r="G184">
            <v>0</v>
          </cell>
          <cell r="H184">
            <v>-454</v>
          </cell>
          <cell r="I184">
            <v>0</v>
          </cell>
          <cell r="J184">
            <v>-454</v>
          </cell>
          <cell r="K184">
            <v>0</v>
          </cell>
        </row>
        <row r="185">
          <cell r="F185">
            <v>-1154</v>
          </cell>
          <cell r="G185">
            <v>0</v>
          </cell>
          <cell r="H185">
            <v>-1154</v>
          </cell>
          <cell r="I185">
            <v>0</v>
          </cell>
          <cell r="J185">
            <v>-1154</v>
          </cell>
          <cell r="K185">
            <v>-464</v>
          </cell>
        </row>
        <row r="186">
          <cell r="F186">
            <v>-937</v>
          </cell>
          <cell r="G186">
            <v>0</v>
          </cell>
          <cell r="H186">
            <v>-937</v>
          </cell>
          <cell r="I186">
            <v>0</v>
          </cell>
          <cell r="J186">
            <v>-937</v>
          </cell>
          <cell r="K186">
            <v>-2059</v>
          </cell>
        </row>
        <row r="187">
          <cell r="F187">
            <v>0</v>
          </cell>
          <cell r="G187">
            <v>0</v>
          </cell>
          <cell r="H187">
            <v>0</v>
          </cell>
          <cell r="I187">
            <v>0</v>
          </cell>
          <cell r="J187">
            <v>0</v>
          </cell>
          <cell r="K187">
            <v>0</v>
          </cell>
        </row>
        <row r="188">
          <cell r="F188">
            <v>-59</v>
          </cell>
          <cell r="G188">
            <v>0</v>
          </cell>
          <cell r="H188">
            <v>-59</v>
          </cell>
          <cell r="I188">
            <v>0</v>
          </cell>
          <cell r="J188">
            <v>-59</v>
          </cell>
          <cell r="K188">
            <v>-19</v>
          </cell>
        </row>
        <row r="189">
          <cell r="F189">
            <v>-2604</v>
          </cell>
          <cell r="G189">
            <v>0</v>
          </cell>
          <cell r="H189">
            <v>-2604</v>
          </cell>
          <cell r="I189">
            <v>0</v>
          </cell>
          <cell r="J189">
            <v>-2604</v>
          </cell>
          <cell r="K189">
            <v>-2542</v>
          </cell>
        </row>
        <row r="191">
          <cell r="F191">
            <v>-10</v>
          </cell>
          <cell r="G191">
            <v>0</v>
          </cell>
          <cell r="H191">
            <v>-10</v>
          </cell>
          <cell r="I191">
            <v>0</v>
          </cell>
          <cell r="J191">
            <v>-10</v>
          </cell>
          <cell r="K191">
            <v>-12</v>
          </cell>
        </row>
        <row r="192">
          <cell r="F192">
            <v>-10</v>
          </cell>
          <cell r="G192">
            <v>0</v>
          </cell>
          <cell r="H192">
            <v>-10</v>
          </cell>
          <cell r="I192">
            <v>0</v>
          </cell>
          <cell r="J192">
            <v>-10</v>
          </cell>
          <cell r="K192">
            <v>-12</v>
          </cell>
        </row>
        <row r="194">
          <cell r="F194">
            <v>-7217</v>
          </cell>
          <cell r="G194">
            <v>0</v>
          </cell>
          <cell r="H194">
            <v>-7217</v>
          </cell>
          <cell r="I194">
            <v>0</v>
          </cell>
          <cell r="J194">
            <v>-7217</v>
          </cell>
          <cell r="K194">
            <v>-28525</v>
          </cell>
        </row>
        <row r="195">
          <cell r="F195">
            <v>-413</v>
          </cell>
          <cell r="G195">
            <v>0</v>
          </cell>
          <cell r="H195">
            <v>-413</v>
          </cell>
          <cell r="I195">
            <v>0</v>
          </cell>
          <cell r="J195">
            <v>-413</v>
          </cell>
          <cell r="K195">
            <v>-63</v>
          </cell>
        </row>
        <row r="196">
          <cell r="F196">
            <v>22</v>
          </cell>
          <cell r="G196">
            <v>0</v>
          </cell>
          <cell r="H196">
            <v>22</v>
          </cell>
          <cell r="I196">
            <v>0</v>
          </cell>
          <cell r="J196">
            <v>22</v>
          </cell>
          <cell r="K196">
            <v>25</v>
          </cell>
        </row>
        <row r="197">
          <cell r="F197">
            <v>-7608</v>
          </cell>
          <cell r="G197">
            <v>0</v>
          </cell>
          <cell r="H197">
            <v>-7608</v>
          </cell>
          <cell r="I197">
            <v>0</v>
          </cell>
          <cell r="J197">
            <v>-7608</v>
          </cell>
          <cell r="K197">
            <v>-28563</v>
          </cell>
        </row>
        <row r="199">
          <cell r="F199">
            <v>7338</v>
          </cell>
          <cell r="G199">
            <v>0</v>
          </cell>
          <cell r="H199">
            <v>7338</v>
          </cell>
          <cell r="I199">
            <v>0</v>
          </cell>
          <cell r="J199">
            <v>7338</v>
          </cell>
          <cell r="K199">
            <v>3935</v>
          </cell>
        </row>
        <row r="200">
          <cell r="F200">
            <v>7338</v>
          </cell>
          <cell r="G200">
            <v>0</v>
          </cell>
          <cell r="H200">
            <v>7338</v>
          </cell>
          <cell r="I200">
            <v>0</v>
          </cell>
          <cell r="J200">
            <v>7338</v>
          </cell>
          <cell r="K200">
            <v>3935</v>
          </cell>
        </row>
        <row r="202">
          <cell r="F202">
            <v>1159</v>
          </cell>
          <cell r="G202">
            <v>0</v>
          </cell>
          <cell r="H202">
            <v>1159</v>
          </cell>
          <cell r="I202">
            <v>0</v>
          </cell>
          <cell r="J202">
            <v>1159</v>
          </cell>
          <cell r="K202">
            <v>590</v>
          </cell>
        </row>
        <row r="203">
          <cell r="F203">
            <v>1207</v>
          </cell>
          <cell r="G203">
            <v>0</v>
          </cell>
          <cell r="H203">
            <v>1207</v>
          </cell>
          <cell r="I203">
            <v>0</v>
          </cell>
          <cell r="J203">
            <v>1207</v>
          </cell>
          <cell r="K203">
            <v>724</v>
          </cell>
        </row>
        <row r="204">
          <cell r="F204">
            <v>2366</v>
          </cell>
          <cell r="G204">
            <v>0</v>
          </cell>
          <cell r="H204">
            <v>2366</v>
          </cell>
          <cell r="I204">
            <v>0</v>
          </cell>
          <cell r="J204">
            <v>2366</v>
          </cell>
          <cell r="K204">
            <v>1314</v>
          </cell>
        </row>
        <row r="206">
          <cell r="F206">
            <v>753</v>
          </cell>
          <cell r="G206">
            <v>0</v>
          </cell>
          <cell r="H206">
            <v>753</v>
          </cell>
          <cell r="I206">
            <v>0</v>
          </cell>
          <cell r="J206">
            <v>753</v>
          </cell>
          <cell r="K206">
            <v>393</v>
          </cell>
        </row>
        <row r="207">
          <cell r="F207">
            <v>85</v>
          </cell>
          <cell r="G207">
            <v>0</v>
          </cell>
          <cell r="H207">
            <v>85</v>
          </cell>
          <cell r="I207">
            <v>0</v>
          </cell>
          <cell r="J207">
            <v>85</v>
          </cell>
          <cell r="K207">
            <v>0</v>
          </cell>
        </row>
        <row r="208">
          <cell r="F208">
            <v>838</v>
          </cell>
          <cell r="G208">
            <v>0</v>
          </cell>
          <cell r="H208">
            <v>838</v>
          </cell>
          <cell r="I208">
            <v>0</v>
          </cell>
          <cell r="J208">
            <v>838</v>
          </cell>
          <cell r="K208">
            <v>393</v>
          </cell>
        </row>
        <row r="210">
          <cell r="F210">
            <v>312</v>
          </cell>
          <cell r="G210">
            <v>0</v>
          </cell>
          <cell r="H210">
            <v>312</v>
          </cell>
          <cell r="I210">
            <v>0</v>
          </cell>
          <cell r="J210">
            <v>312</v>
          </cell>
          <cell r="K210">
            <v>167</v>
          </cell>
        </row>
        <row r="211">
          <cell r="F211">
            <v>312</v>
          </cell>
          <cell r="G211">
            <v>0</v>
          </cell>
          <cell r="H211">
            <v>312</v>
          </cell>
          <cell r="I211">
            <v>0</v>
          </cell>
          <cell r="J211">
            <v>312</v>
          </cell>
          <cell r="K211">
            <v>167</v>
          </cell>
        </row>
        <row r="213">
          <cell r="F213">
            <v>496</v>
          </cell>
          <cell r="G213">
            <v>0</v>
          </cell>
          <cell r="H213">
            <v>496</v>
          </cell>
          <cell r="I213">
            <v>0</v>
          </cell>
          <cell r="J213">
            <v>496</v>
          </cell>
          <cell r="K213">
            <v>1192</v>
          </cell>
        </row>
        <row r="214">
          <cell r="F214">
            <v>7</v>
          </cell>
          <cell r="G214">
            <v>0</v>
          </cell>
          <cell r="H214">
            <v>7</v>
          </cell>
          <cell r="I214">
            <v>0</v>
          </cell>
          <cell r="J214">
            <v>7</v>
          </cell>
          <cell r="K214">
            <v>2</v>
          </cell>
        </row>
        <row r="215">
          <cell r="F215">
            <v>39</v>
          </cell>
          <cell r="G215">
            <v>0</v>
          </cell>
          <cell r="H215">
            <v>39</v>
          </cell>
          <cell r="I215">
            <v>0</v>
          </cell>
          <cell r="J215">
            <v>39</v>
          </cell>
          <cell r="K215">
            <v>29</v>
          </cell>
        </row>
        <row r="216">
          <cell r="F216">
            <v>135</v>
          </cell>
          <cell r="G216">
            <v>0</v>
          </cell>
          <cell r="H216">
            <v>135</v>
          </cell>
          <cell r="I216">
            <v>0</v>
          </cell>
          <cell r="J216">
            <v>135</v>
          </cell>
          <cell r="K216">
            <v>140</v>
          </cell>
        </row>
        <row r="217">
          <cell r="F217">
            <v>0</v>
          </cell>
          <cell r="G217">
            <v>0</v>
          </cell>
          <cell r="H217">
            <v>0</v>
          </cell>
          <cell r="I217">
            <v>0</v>
          </cell>
          <cell r="J217">
            <v>0</v>
          </cell>
          <cell r="K217">
            <v>1</v>
          </cell>
        </row>
        <row r="218">
          <cell r="F218">
            <v>677</v>
          </cell>
          <cell r="G218">
            <v>0</v>
          </cell>
          <cell r="H218">
            <v>677</v>
          </cell>
          <cell r="I218">
            <v>0</v>
          </cell>
          <cell r="J218">
            <v>677</v>
          </cell>
          <cell r="K218">
            <v>1364</v>
          </cell>
        </row>
        <row r="220">
          <cell r="F220">
            <v>0</v>
          </cell>
          <cell r="G220">
            <v>0</v>
          </cell>
          <cell r="H220">
            <v>0</v>
          </cell>
          <cell r="I220">
            <v>0</v>
          </cell>
          <cell r="J220">
            <v>0</v>
          </cell>
          <cell r="K220">
            <v>1179</v>
          </cell>
        </row>
        <row r="221">
          <cell r="F221">
            <v>0</v>
          </cell>
          <cell r="G221">
            <v>0</v>
          </cell>
          <cell r="H221">
            <v>0</v>
          </cell>
          <cell r="I221">
            <v>0</v>
          </cell>
          <cell r="J221">
            <v>0</v>
          </cell>
          <cell r="K221">
            <v>1179</v>
          </cell>
        </row>
        <row r="223">
          <cell r="F223">
            <v>217</v>
          </cell>
          <cell r="G223">
            <v>0</v>
          </cell>
          <cell r="H223">
            <v>217</v>
          </cell>
          <cell r="I223">
            <v>0</v>
          </cell>
          <cell r="J223">
            <v>217</v>
          </cell>
          <cell r="K223">
            <v>252</v>
          </cell>
        </row>
        <row r="224">
          <cell r="F224">
            <v>87</v>
          </cell>
          <cell r="G224">
            <v>0</v>
          </cell>
          <cell r="H224">
            <v>87</v>
          </cell>
          <cell r="I224">
            <v>0</v>
          </cell>
          <cell r="J224">
            <v>87</v>
          </cell>
          <cell r="K224">
            <v>38</v>
          </cell>
        </row>
        <row r="225">
          <cell r="F225">
            <v>304</v>
          </cell>
          <cell r="G225">
            <v>0</v>
          </cell>
          <cell r="H225">
            <v>304</v>
          </cell>
          <cell r="I225">
            <v>0</v>
          </cell>
          <cell r="J225">
            <v>304</v>
          </cell>
          <cell r="K225">
            <v>290</v>
          </cell>
        </row>
        <row r="227">
          <cell r="F227">
            <v>50</v>
          </cell>
          <cell r="G227">
            <v>0</v>
          </cell>
          <cell r="H227">
            <v>50</v>
          </cell>
          <cell r="I227">
            <v>0</v>
          </cell>
          <cell r="J227">
            <v>50</v>
          </cell>
          <cell r="K227">
            <v>0</v>
          </cell>
        </row>
        <row r="228">
          <cell r="F228">
            <v>38</v>
          </cell>
          <cell r="G228">
            <v>0</v>
          </cell>
          <cell r="H228">
            <v>38</v>
          </cell>
          <cell r="I228">
            <v>0</v>
          </cell>
          <cell r="J228">
            <v>38</v>
          </cell>
          <cell r="K228">
            <v>0</v>
          </cell>
        </row>
        <row r="229">
          <cell r="F229">
            <v>14</v>
          </cell>
          <cell r="G229">
            <v>0</v>
          </cell>
          <cell r="H229">
            <v>14</v>
          </cell>
          <cell r="I229">
            <v>0</v>
          </cell>
          <cell r="J229">
            <v>14</v>
          </cell>
          <cell r="K229">
            <v>15</v>
          </cell>
        </row>
        <row r="230">
          <cell r="F230">
            <v>71</v>
          </cell>
          <cell r="G230">
            <v>0</v>
          </cell>
          <cell r="H230">
            <v>71</v>
          </cell>
          <cell r="I230">
            <v>0</v>
          </cell>
          <cell r="J230">
            <v>71</v>
          </cell>
          <cell r="K230">
            <v>78</v>
          </cell>
        </row>
        <row r="231">
          <cell r="F231">
            <v>18</v>
          </cell>
          <cell r="G231">
            <v>0</v>
          </cell>
          <cell r="H231">
            <v>18</v>
          </cell>
          <cell r="I231">
            <v>0</v>
          </cell>
          <cell r="J231">
            <v>18</v>
          </cell>
          <cell r="K231">
            <v>25</v>
          </cell>
        </row>
        <row r="232">
          <cell r="F232">
            <v>8</v>
          </cell>
          <cell r="G232">
            <v>0</v>
          </cell>
          <cell r="H232">
            <v>8</v>
          </cell>
          <cell r="I232">
            <v>0</v>
          </cell>
          <cell r="J232">
            <v>8</v>
          </cell>
          <cell r="K232">
            <v>9</v>
          </cell>
        </row>
        <row r="233">
          <cell r="F233">
            <v>0</v>
          </cell>
          <cell r="G233">
            <v>0</v>
          </cell>
          <cell r="H233">
            <v>0</v>
          </cell>
          <cell r="I233">
            <v>0</v>
          </cell>
          <cell r="J233">
            <v>0</v>
          </cell>
          <cell r="K233">
            <v>0</v>
          </cell>
        </row>
        <row r="234">
          <cell r="F234">
            <v>124</v>
          </cell>
          <cell r="G234">
            <v>0</v>
          </cell>
          <cell r="H234">
            <v>124</v>
          </cell>
          <cell r="I234">
            <v>0</v>
          </cell>
          <cell r="J234">
            <v>124</v>
          </cell>
          <cell r="K234">
            <v>138</v>
          </cell>
        </row>
        <row r="235">
          <cell r="F235">
            <v>43</v>
          </cell>
          <cell r="G235">
            <v>0</v>
          </cell>
          <cell r="H235">
            <v>43</v>
          </cell>
          <cell r="I235">
            <v>0</v>
          </cell>
          <cell r="J235">
            <v>43</v>
          </cell>
          <cell r="K235">
            <v>33</v>
          </cell>
        </row>
        <row r="236">
          <cell r="F236">
            <v>4</v>
          </cell>
          <cell r="G236">
            <v>0</v>
          </cell>
          <cell r="H236">
            <v>4</v>
          </cell>
          <cell r="I236">
            <v>0</v>
          </cell>
          <cell r="J236">
            <v>4</v>
          </cell>
          <cell r="K236">
            <v>0</v>
          </cell>
        </row>
        <row r="237">
          <cell r="F237">
            <v>18</v>
          </cell>
          <cell r="G237">
            <v>0</v>
          </cell>
          <cell r="H237">
            <v>18</v>
          </cell>
          <cell r="I237">
            <v>0</v>
          </cell>
          <cell r="J237">
            <v>18</v>
          </cell>
          <cell r="K237">
            <v>7</v>
          </cell>
        </row>
        <row r="238">
          <cell r="F238">
            <v>21</v>
          </cell>
          <cell r="G238">
            <v>0</v>
          </cell>
          <cell r="H238">
            <v>21</v>
          </cell>
          <cell r="I238">
            <v>0</v>
          </cell>
          <cell r="J238">
            <v>21</v>
          </cell>
          <cell r="K238">
            <v>14</v>
          </cell>
        </row>
        <row r="239">
          <cell r="F239">
            <v>1</v>
          </cell>
          <cell r="G239">
            <v>0</v>
          </cell>
          <cell r="H239">
            <v>1</v>
          </cell>
          <cell r="I239">
            <v>0</v>
          </cell>
          <cell r="J239">
            <v>1</v>
          </cell>
          <cell r="K239">
            <v>2</v>
          </cell>
        </row>
        <row r="240">
          <cell r="F240">
            <v>1</v>
          </cell>
          <cell r="G240">
            <v>0</v>
          </cell>
          <cell r="H240">
            <v>1</v>
          </cell>
          <cell r="I240">
            <v>0</v>
          </cell>
          <cell r="J240">
            <v>1</v>
          </cell>
          <cell r="K240">
            <v>0</v>
          </cell>
        </row>
        <row r="241">
          <cell r="F241">
            <v>411</v>
          </cell>
          <cell r="G241">
            <v>0</v>
          </cell>
          <cell r="H241">
            <v>411</v>
          </cell>
          <cell r="I241">
            <v>0</v>
          </cell>
          <cell r="J241">
            <v>411</v>
          </cell>
          <cell r="K241">
            <v>321</v>
          </cell>
        </row>
        <row r="243">
          <cell r="F243">
            <v>-2418</v>
          </cell>
          <cell r="G243">
            <v>0</v>
          </cell>
          <cell r="H243">
            <v>-2418</v>
          </cell>
          <cell r="I243">
            <v>0</v>
          </cell>
          <cell r="J243">
            <v>-2418</v>
          </cell>
          <cell r="K243">
            <v>-4912</v>
          </cell>
        </row>
        <row r="244">
          <cell r="F244">
            <v>-2418</v>
          </cell>
          <cell r="G244">
            <v>0</v>
          </cell>
          <cell r="H244">
            <v>-2418</v>
          </cell>
          <cell r="I244">
            <v>0</v>
          </cell>
          <cell r="J244">
            <v>-2418</v>
          </cell>
          <cell r="K244">
            <v>-4912</v>
          </cell>
        </row>
        <row r="246">
          <cell r="F246">
            <v>-8376</v>
          </cell>
          <cell r="G246">
            <v>0</v>
          </cell>
          <cell r="H246">
            <v>-8376</v>
          </cell>
          <cell r="I246">
            <v>0</v>
          </cell>
          <cell r="J246">
            <v>-8376</v>
          </cell>
          <cell r="K246">
            <v>4010</v>
          </cell>
        </row>
        <row r="247">
          <cell r="F247">
            <v>-8376</v>
          </cell>
          <cell r="G247">
            <v>0</v>
          </cell>
          <cell r="H247">
            <v>-8376</v>
          </cell>
          <cell r="I247">
            <v>0</v>
          </cell>
          <cell r="J247">
            <v>-8376</v>
          </cell>
          <cell r="K247">
            <v>4010</v>
          </cell>
        </row>
        <row r="248">
          <cell r="F248">
            <v>3</v>
          </cell>
          <cell r="G248">
            <v>0</v>
          </cell>
          <cell r="H248">
            <v>3</v>
          </cell>
          <cell r="I248">
            <v>0</v>
          </cell>
          <cell r="J248">
            <v>3</v>
          </cell>
          <cell r="K248">
            <v>0</v>
          </cell>
        </row>
      </sheetData>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gains"/>
      <sheetName val="07-08"/>
      <sheetName val="08-09"/>
      <sheetName val="09-10"/>
      <sheetName val="10-11"/>
      <sheetName val="CGT"/>
      <sheetName val="Revised CGT"/>
      <sheetName val="Bonus"/>
      <sheetName val="Ex bonus rates"/>
      <sheetName val="Summary"/>
      <sheetName val="Sheet2"/>
      <sheetName val="WHT ON sale of shares"/>
      <sheetName val="Magnus-capital gain-TY 2011"/>
    </sheetNames>
    <definedNames>
      <definedName name="wacc"/>
    </definedNames>
    <sheetDataSet>
      <sheetData sheetId="0">
        <row r="12">
          <cell r="L12">
            <v>4867393</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STkTrdNW"/>
      <sheetName val="Stock Quantity"/>
      <sheetName val="Stock in Trade"/>
      <sheetName val="Tax"/>
      <sheetName val="Income Tax"/>
      <sheetName val="DTLBSNW"/>
      <sheetName val="Adv to vendor"/>
      <sheetName val="BSNW"/>
      <sheetName val="Balance Sheet"/>
      <sheetName val="Assets Liab"/>
      <sheetName val="Other Income"/>
      <sheetName val="Cash Flow  HOH"/>
      <sheetName val="Prov Liab"/>
      <sheetName val="Dealers Sumry"/>
      <sheetName val="Dealer Agencies"/>
      <sheetName val="PNL Taksh"/>
      <sheetName val="HOH Balance She"/>
      <sheetName val="HOH     P  L"/>
      <sheetName val="FixedAssets"/>
      <sheetName val="Budget 2001-02"/>
      <sheetName val="Half yearly "/>
      <sheetName val="Ratio Analysis"/>
      <sheetName val="Statiscal Data"/>
      <sheetName val="CKD Tax Comput"/>
      <sheetName val="Deferred Tax"/>
      <sheetName val="ProfitProv"/>
      <sheetName val="DTLP&amp;LNW"/>
      <sheetName val="P&amp;LNW"/>
      <sheetName val="ProdlineNW"/>
      <sheetName val="Profit Loss"/>
      <sheetName val="Final Accounts"/>
      <sheetName val="GP Analysis"/>
      <sheetName val="Summary Gp Anal"/>
      <sheetName val="FundsNW"/>
      <sheetName val="CFNW"/>
      <sheetName val="MISJUL2"/>
      <sheetName val="P&amp;L Commentary"/>
      <sheetName val="P&amp;L"/>
      <sheetName val="Excel_BuiltIn_Print_Area_44"/>
      <sheetName val="Break-up"/>
      <sheetName val="Note 4-5"/>
      <sheetName val="adm "/>
      <sheetName val="F&amp;F"/>
      <sheetName val="98aug-M2"/>
      <sheetName val="Revenue-Fire-Marine-Motor"/>
      <sheetName val="Toyota PL ckd"/>
      <sheetName val="TOTAL P&amp;L"/>
      <sheetName val="Input"/>
      <sheetName val="Invetory level"/>
      <sheetName val="Acquirer"/>
      <sheetName val="Combined"/>
      <sheetName val="Target"/>
      <sheetName val="Parts list"/>
      <sheetName val="NORMAL"/>
      <sheetName val="Main 01-02"/>
      <sheetName val="GP_Analysis"/>
      <sheetName val="TAX COM"/>
      <sheetName val="Grouping of adv products"/>
      <sheetName val="Region"/>
      <sheetName val="Notes 1"/>
      <sheetName val="Adv_to_vendor"/>
      <sheetName val="Stock_in_Trade"/>
      <sheetName val="LOCAL STUDENTS"/>
      <sheetName val="Stock_Quantity"/>
      <sheetName val="Income_Tax"/>
      <sheetName val="Balance_Sheet"/>
      <sheetName val="Assets_Liab"/>
      <sheetName val="Other_Income"/>
      <sheetName val="Cash_Flow__HOH"/>
      <sheetName val="Prov_Liab"/>
      <sheetName val="Dealers_Sumry"/>
      <sheetName val="Dealer_Agencies"/>
      <sheetName val="PNL_Taksh"/>
      <sheetName val="HOH_Balance_She"/>
      <sheetName val="HOH_____P__L"/>
      <sheetName val="Budget_2001-02"/>
      <sheetName val="Half_yearly_"/>
      <sheetName val="Ratio_Analysis"/>
      <sheetName val="Statiscal_Data"/>
      <sheetName val="CKD_Tax_Comput"/>
      <sheetName val="Deferred_Tax"/>
      <sheetName val="Profit_Loss"/>
      <sheetName val="Final_Accounts"/>
      <sheetName val="Summary_Gp_Anal"/>
      <sheetName val="P&amp;L_Commentary"/>
      <sheetName val="34-3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HN111"/>
  <sheetViews>
    <sheetView showGridLines="0" view="pageBreakPreview" topLeftCell="A26" zoomScale="80" zoomScaleNormal="80" zoomScaleSheetLayoutView="80" workbookViewId="0">
      <selection activeCell="C40" sqref="C40"/>
    </sheetView>
  </sheetViews>
  <sheetFormatPr defaultColWidth="12.6640625" defaultRowHeight="13.2"/>
  <cols>
    <col min="1" max="1" width="13.88671875" style="1185" customWidth="1"/>
    <col min="2" max="2" width="18.6640625" style="1185" customWidth="1"/>
    <col min="3" max="3" width="56.33203125" style="1167" customWidth="1"/>
    <col min="4" max="4" width="11.33203125" style="1179" customWidth="1"/>
    <col min="5" max="5" width="15.5546875" style="1178" customWidth="1"/>
    <col min="6" max="6" width="1" style="1167" customWidth="1"/>
    <col min="7" max="7" width="11.33203125" style="1178" customWidth="1"/>
    <col min="8" max="8" width="12.88671875" style="1178" customWidth="1"/>
    <col min="9" max="9" width="15.88671875" style="1178" bestFit="1" customWidth="1"/>
    <col min="10" max="10" width="12.33203125" style="1178" bestFit="1" customWidth="1"/>
    <col min="11" max="11" width="12" style="1178" customWidth="1"/>
    <col min="12" max="12" width="12.33203125" style="1178" bestFit="1" customWidth="1"/>
    <col min="13" max="16" width="10" style="1178" customWidth="1"/>
    <col min="17" max="16384" width="12.6640625" style="1167"/>
  </cols>
  <sheetData>
    <row r="1" spans="1:16">
      <c r="A1" s="1163"/>
      <c r="B1" s="1163"/>
      <c r="C1" s="1163"/>
      <c r="D1" s="1163"/>
      <c r="E1" s="1164"/>
      <c r="F1" s="1165"/>
      <c r="G1" s="1164"/>
      <c r="H1" s="1165"/>
      <c r="I1" s="1165"/>
      <c r="J1" s="1165"/>
      <c r="K1" s="1166"/>
      <c r="L1" s="1166"/>
      <c r="M1" s="1166"/>
      <c r="N1" s="1166"/>
      <c r="O1" s="1166"/>
      <c r="P1" s="1166"/>
    </row>
    <row r="2" spans="1:16">
      <c r="A2" s="1163"/>
      <c r="B2" s="1163"/>
      <c r="C2" s="1163"/>
      <c r="D2" s="1163"/>
      <c r="E2" s="1164"/>
      <c r="F2" s="1165"/>
      <c r="G2" s="1164"/>
      <c r="H2" s="1165"/>
      <c r="I2" s="1165"/>
      <c r="J2" s="1165"/>
      <c r="K2" s="1166"/>
      <c r="L2" s="1166"/>
      <c r="M2" s="1166"/>
      <c r="N2" s="1166"/>
      <c r="O2" s="1166"/>
      <c r="P2" s="1166"/>
    </row>
    <row r="3" spans="1:16">
      <c r="A3" s="1163"/>
      <c r="B3" s="1163"/>
      <c r="C3" s="1163"/>
      <c r="D3" s="1163"/>
      <c r="E3" s="1164"/>
      <c r="F3" s="1165"/>
      <c r="G3" s="1164"/>
      <c r="H3" s="1165"/>
      <c r="I3" s="1165"/>
      <c r="J3" s="1165"/>
      <c r="K3" s="1166"/>
      <c r="L3" s="1166"/>
      <c r="M3" s="1166"/>
      <c r="N3" s="1166"/>
      <c r="O3" s="1166"/>
      <c r="P3" s="1166"/>
    </row>
    <row r="4" spans="1:16">
      <c r="A4" s="1296" t="s">
        <v>746</v>
      </c>
      <c r="B4" s="1296"/>
      <c r="C4" s="1296"/>
      <c r="D4" s="1296"/>
      <c r="E4" s="1296"/>
      <c r="F4" s="1296"/>
      <c r="G4" s="1296"/>
      <c r="H4" s="1296"/>
      <c r="I4" s="1165"/>
      <c r="J4" s="1165"/>
      <c r="K4" s="1166"/>
      <c r="L4" s="1166"/>
      <c r="M4" s="1166"/>
      <c r="N4" s="1166"/>
      <c r="O4" s="1166"/>
      <c r="P4" s="1166"/>
    </row>
    <row r="5" spans="1:16">
      <c r="A5" s="1163"/>
      <c r="B5" s="1163"/>
      <c r="C5" s="1163"/>
      <c r="D5" s="1163"/>
      <c r="E5" s="1168"/>
      <c r="F5" s="1168"/>
      <c r="G5" s="1153" t="s">
        <v>484</v>
      </c>
      <c r="H5" s="1165"/>
      <c r="I5" s="1165"/>
      <c r="J5" s="1165"/>
      <c r="K5" s="1166"/>
      <c r="L5" s="1166"/>
      <c r="M5" s="1166"/>
      <c r="N5" s="1166"/>
      <c r="O5" s="1166"/>
      <c r="P5" s="1166"/>
    </row>
    <row r="6" spans="1:16">
      <c r="A6" s="1163"/>
      <c r="B6" s="1163"/>
      <c r="C6" s="1163"/>
      <c r="D6" s="1163"/>
      <c r="E6" s="1168"/>
      <c r="F6" s="1168"/>
      <c r="G6" s="1168"/>
      <c r="H6" s="1165"/>
      <c r="I6" s="1165"/>
      <c r="J6" s="1165"/>
      <c r="K6" s="1166"/>
      <c r="L6" s="1166"/>
      <c r="M6" s="1166"/>
      <c r="N6" s="1166"/>
      <c r="O6" s="1166"/>
      <c r="P6" s="1166"/>
    </row>
    <row r="7" spans="1:16">
      <c r="A7" s="1297">
        <v>44494</v>
      </c>
      <c r="B7" s="1297"/>
      <c r="C7" s="1297"/>
      <c r="D7" s="1154"/>
      <c r="E7" s="1155"/>
      <c r="F7" s="1155"/>
      <c r="G7" s="1155"/>
      <c r="H7" s="1155"/>
      <c r="I7" s="1156"/>
      <c r="J7" s="1156"/>
      <c r="K7" s="1166"/>
      <c r="L7" s="1166"/>
      <c r="M7" s="1166"/>
      <c r="N7" s="1166"/>
      <c r="O7" s="1166"/>
      <c r="P7" s="1166"/>
    </row>
    <row r="8" spans="1:16">
      <c r="A8" s="1157"/>
      <c r="B8" s="1155"/>
      <c r="C8" s="1155"/>
      <c r="D8" s="1155"/>
      <c r="E8" s="1155"/>
      <c r="F8" s="1155"/>
      <c r="G8" s="1155"/>
      <c r="H8" s="1155"/>
      <c r="I8" s="1156"/>
      <c r="J8" s="1156"/>
      <c r="K8" s="1166"/>
      <c r="L8" s="1166"/>
      <c r="M8" s="1166"/>
      <c r="N8" s="1166"/>
      <c r="O8" s="1166"/>
      <c r="P8" s="1166"/>
    </row>
    <row r="9" spans="1:16">
      <c r="A9" s="1155" t="s">
        <v>485</v>
      </c>
      <c r="B9" s="1155"/>
      <c r="C9" s="1155"/>
      <c r="D9" s="1155"/>
      <c r="E9" s="1155"/>
      <c r="F9" s="1155"/>
      <c r="G9" s="1155"/>
      <c r="H9" s="1155"/>
      <c r="I9" s="1156"/>
      <c r="J9" s="1156"/>
      <c r="K9" s="1166"/>
      <c r="L9" s="1166"/>
      <c r="M9" s="1166"/>
      <c r="N9" s="1166"/>
      <c r="O9" s="1166"/>
      <c r="P9" s="1166"/>
    </row>
    <row r="10" spans="1:16">
      <c r="A10" s="1155" t="s">
        <v>486</v>
      </c>
      <c r="B10" s="1155"/>
      <c r="C10" s="1155"/>
      <c r="D10" s="1155"/>
      <c r="E10" s="1155"/>
      <c r="F10" s="1155"/>
      <c r="G10" s="1155"/>
      <c r="H10" s="1155"/>
      <c r="I10" s="1156"/>
      <c r="J10" s="1156"/>
      <c r="K10" s="1166"/>
      <c r="L10" s="1166"/>
      <c r="M10" s="1166"/>
      <c r="N10" s="1166"/>
      <c r="O10" s="1166"/>
      <c r="P10" s="1166"/>
    </row>
    <row r="11" spans="1:16">
      <c r="A11" s="1155" t="s">
        <v>747</v>
      </c>
      <c r="B11" s="1155"/>
      <c r="C11" s="1155"/>
      <c r="D11" s="1155"/>
      <c r="E11" s="1155"/>
      <c r="F11" s="1155"/>
      <c r="G11" s="1155"/>
      <c r="H11" s="1155"/>
      <c r="I11" s="1156"/>
      <c r="J11" s="1156"/>
      <c r="K11" s="1166"/>
      <c r="L11" s="1166"/>
      <c r="M11" s="1166"/>
      <c r="N11" s="1166"/>
      <c r="O11" s="1166"/>
      <c r="P11" s="1166"/>
    </row>
    <row r="12" spans="1:16">
      <c r="A12" s="1155" t="s">
        <v>487</v>
      </c>
      <c r="B12" s="1155"/>
      <c r="C12" s="1155"/>
      <c r="D12" s="1155"/>
      <c r="E12" s="1155"/>
      <c r="F12" s="1155"/>
      <c r="G12" s="1155"/>
      <c r="H12" s="1155"/>
      <c r="I12" s="1156"/>
      <c r="J12" s="1156"/>
      <c r="K12" s="1166"/>
      <c r="L12" s="1166"/>
      <c r="M12" s="1166"/>
      <c r="N12" s="1166"/>
      <c r="O12" s="1166"/>
      <c r="P12" s="1166"/>
    </row>
    <row r="13" spans="1:16">
      <c r="A13" s="1155" t="s">
        <v>488</v>
      </c>
      <c r="B13" s="1155"/>
      <c r="C13" s="1155"/>
      <c r="D13" s="1155"/>
      <c r="E13" s="1155"/>
      <c r="F13" s="1155"/>
      <c r="G13" s="1155"/>
      <c r="H13" s="1155"/>
      <c r="I13" s="1156"/>
      <c r="J13" s="1156"/>
      <c r="K13" s="1166"/>
      <c r="L13" s="1166"/>
      <c r="M13" s="1166"/>
      <c r="N13" s="1166"/>
      <c r="O13" s="1166"/>
      <c r="P13" s="1166"/>
    </row>
    <row r="14" spans="1:16">
      <c r="A14" s="1169"/>
      <c r="B14" s="1170"/>
      <c r="C14" s="1170"/>
      <c r="D14" s="1170"/>
      <c r="E14" s="1170"/>
      <c r="F14" s="1171"/>
      <c r="G14" s="1172"/>
      <c r="H14" s="1172"/>
      <c r="I14" s="1172"/>
      <c r="J14" s="1172"/>
      <c r="K14" s="1166"/>
      <c r="L14" s="1166"/>
      <c r="M14" s="1166"/>
      <c r="N14" s="1166"/>
      <c r="O14" s="1166"/>
      <c r="P14" s="1166"/>
    </row>
    <row r="15" spans="1:16" ht="15" customHeight="1">
      <c r="A15" s="1158" t="s">
        <v>489</v>
      </c>
      <c r="B15" s="1298" t="s">
        <v>748</v>
      </c>
      <c r="C15" s="1298"/>
      <c r="D15" s="1298"/>
      <c r="E15" s="1298"/>
      <c r="F15" s="1298"/>
      <c r="G15" s="1298"/>
      <c r="H15" s="1161"/>
      <c r="I15" s="1160"/>
      <c r="J15" s="1160"/>
      <c r="K15" s="1166"/>
      <c r="L15" s="1166"/>
      <c r="M15" s="1166"/>
      <c r="N15" s="1166"/>
      <c r="O15" s="1166"/>
      <c r="P15" s="1166"/>
    </row>
    <row r="16" spans="1:16">
      <c r="A16" s="1169"/>
      <c r="B16" s="1170"/>
      <c r="C16" s="1170"/>
      <c r="D16" s="1170"/>
      <c r="E16" s="1170"/>
      <c r="F16" s="1171"/>
      <c r="G16" s="1172"/>
      <c r="H16" s="1172"/>
      <c r="I16" s="1172"/>
      <c r="J16" s="1172"/>
      <c r="K16" s="1166"/>
      <c r="L16" s="1166"/>
      <c r="M16" s="1166"/>
      <c r="N16" s="1166"/>
      <c r="O16" s="1166"/>
      <c r="P16" s="1166"/>
    </row>
    <row r="17" spans="1:16">
      <c r="A17" s="1169"/>
      <c r="B17" s="1170"/>
      <c r="C17" s="1170"/>
      <c r="D17" s="1170"/>
      <c r="E17" s="1170"/>
      <c r="F17" s="1171"/>
      <c r="G17" s="1172"/>
      <c r="H17" s="1172"/>
      <c r="I17" s="1172"/>
      <c r="J17" s="1172"/>
      <c r="K17" s="1166"/>
      <c r="L17" s="1166"/>
      <c r="M17" s="1166"/>
      <c r="N17" s="1166"/>
      <c r="O17" s="1166"/>
      <c r="P17" s="1166"/>
    </row>
    <row r="18" spans="1:16">
      <c r="A18" s="1158" t="s">
        <v>749</v>
      </c>
      <c r="B18" s="1159"/>
      <c r="C18" s="1159"/>
      <c r="D18" s="1159"/>
      <c r="E18" s="1159"/>
      <c r="F18" s="1159"/>
      <c r="G18" s="1159"/>
      <c r="H18" s="1159"/>
      <c r="I18" s="1160"/>
      <c r="J18" s="1160"/>
      <c r="K18" s="1166"/>
      <c r="L18" s="1166"/>
      <c r="M18" s="1166"/>
      <c r="N18" s="1166"/>
      <c r="O18" s="1166"/>
      <c r="P18" s="1166"/>
    </row>
    <row r="19" spans="1:16">
      <c r="A19" s="1158"/>
      <c r="B19" s="1159"/>
      <c r="C19" s="1159"/>
      <c r="D19" s="1159"/>
      <c r="E19" s="1159"/>
      <c r="F19" s="1159"/>
      <c r="G19" s="1159"/>
      <c r="H19" s="1159"/>
      <c r="I19" s="1160"/>
      <c r="J19" s="1160"/>
      <c r="K19" s="1166"/>
      <c r="L19" s="1166"/>
      <c r="M19" s="1166"/>
      <c r="N19" s="1166"/>
      <c r="O19" s="1166"/>
      <c r="P19" s="1166"/>
    </row>
    <row r="20" spans="1:16" ht="12.75" customHeight="1">
      <c r="A20" s="1290" t="s">
        <v>752</v>
      </c>
      <c r="B20" s="1290"/>
      <c r="C20" s="1290"/>
      <c r="D20" s="1290"/>
      <c r="E20" s="1290"/>
      <c r="F20" s="1290"/>
      <c r="G20" s="1290"/>
      <c r="H20" s="1162"/>
      <c r="I20" s="1162"/>
      <c r="J20" s="1162"/>
      <c r="K20" s="1166"/>
      <c r="L20" s="1166"/>
      <c r="M20" s="1166"/>
      <c r="N20" s="1166"/>
      <c r="O20" s="1166"/>
      <c r="P20" s="1166"/>
    </row>
    <row r="21" spans="1:16">
      <c r="A21" s="1290"/>
      <c r="B21" s="1290"/>
      <c r="C21" s="1290"/>
      <c r="D21" s="1290"/>
      <c r="E21" s="1290"/>
      <c r="F21" s="1290"/>
      <c r="G21" s="1290"/>
      <c r="H21" s="1162"/>
      <c r="I21" s="1162"/>
      <c r="J21" s="1162"/>
      <c r="K21" s="1166"/>
      <c r="L21" s="1166"/>
      <c r="M21" s="1166"/>
      <c r="N21" s="1166"/>
      <c r="O21" s="1166"/>
      <c r="P21" s="1166"/>
    </row>
    <row r="22" spans="1:16">
      <c r="A22" s="1290"/>
      <c r="B22" s="1290"/>
      <c r="C22" s="1290"/>
      <c r="D22" s="1290"/>
      <c r="E22" s="1290"/>
      <c r="F22" s="1290"/>
      <c r="G22" s="1290"/>
      <c r="H22" s="1162"/>
      <c r="I22" s="1162"/>
      <c r="J22" s="1162"/>
      <c r="K22" s="1166"/>
      <c r="L22" s="1166"/>
      <c r="M22" s="1166"/>
      <c r="N22" s="1166"/>
      <c r="O22" s="1166"/>
      <c r="P22" s="1166"/>
    </row>
    <row r="23" spans="1:16" ht="20.25" customHeight="1">
      <c r="A23" s="1173"/>
      <c r="B23" s="1173"/>
      <c r="C23" s="1173"/>
      <c r="D23" s="1174"/>
      <c r="E23" s="1175"/>
      <c r="F23" s="1176"/>
      <c r="G23" s="1166"/>
      <c r="H23" s="1166"/>
      <c r="I23" s="1166"/>
      <c r="J23" s="1166"/>
      <c r="K23" s="1166"/>
      <c r="L23" s="1166"/>
      <c r="M23" s="1166"/>
      <c r="N23" s="1166"/>
      <c r="O23" s="1166"/>
      <c r="P23" s="1166"/>
    </row>
    <row r="24" spans="1:16">
      <c r="A24" s="1176"/>
      <c r="B24" s="1176"/>
      <c r="C24" s="1176"/>
      <c r="D24" s="1174"/>
      <c r="E24" s="1291" t="s">
        <v>750</v>
      </c>
      <c r="F24" s="1291"/>
      <c r="G24" s="1291"/>
      <c r="H24" s="1177"/>
      <c r="I24" s="1177"/>
      <c r="J24" s="1177"/>
    </row>
    <row r="25" spans="1:16" ht="15.9" customHeight="1">
      <c r="A25" s="1176"/>
      <c r="B25" s="1176"/>
      <c r="C25" s="1173"/>
      <c r="E25" s="1292" t="s">
        <v>571</v>
      </c>
      <c r="F25" s="1293"/>
      <c r="G25" s="1293"/>
      <c r="H25" s="1177"/>
      <c r="I25" s="1177"/>
      <c r="J25" s="1177"/>
      <c r="K25" s="1180"/>
      <c r="L25" s="1180"/>
      <c r="M25" s="1180"/>
      <c r="N25" s="1180"/>
      <c r="O25" s="1180"/>
      <c r="P25" s="1180"/>
    </row>
    <row r="26" spans="1:16">
      <c r="A26" s="1176"/>
      <c r="B26" s="1176"/>
      <c r="C26" s="1173"/>
      <c r="D26" s="1174"/>
      <c r="E26" s="1181" t="s">
        <v>653</v>
      </c>
      <c r="F26" s="1182"/>
      <c r="G26" s="1183" t="s">
        <v>607</v>
      </c>
      <c r="H26" s="1167"/>
      <c r="I26" s="1177"/>
      <c r="J26" s="1177"/>
      <c r="K26" s="1184"/>
      <c r="L26" s="1184"/>
      <c r="M26" s="1184"/>
      <c r="N26" s="1184"/>
      <c r="O26" s="1184"/>
      <c r="P26" s="1184"/>
    </row>
    <row r="27" spans="1:16">
      <c r="B27" s="1176"/>
      <c r="C27" s="1186"/>
      <c r="D27" s="1187"/>
      <c r="E27" s="1294" t="s">
        <v>156</v>
      </c>
      <c r="F27" s="1295"/>
      <c r="G27" s="1295"/>
      <c r="H27" s="1188"/>
      <c r="I27" s="1188"/>
      <c r="J27" s="1188"/>
      <c r="K27" s="1188"/>
      <c r="L27" s="1188"/>
      <c r="M27" s="1188"/>
      <c r="N27" s="1188"/>
      <c r="O27" s="1188"/>
      <c r="P27" s="1188"/>
    </row>
    <row r="28" spans="1:16">
      <c r="A28" s="1173" t="s">
        <v>157</v>
      </c>
      <c r="B28" s="1176"/>
      <c r="C28" s="1189"/>
      <c r="D28" s="1190"/>
      <c r="E28" s="1191"/>
      <c r="F28" s="1189"/>
      <c r="H28" s="1167"/>
      <c r="K28" s="1178">
        <v>22495413</v>
      </c>
    </row>
    <row r="29" spans="1:16">
      <c r="A29" s="1173"/>
      <c r="B29" s="1176"/>
      <c r="C29" s="1189"/>
      <c r="D29" s="1190"/>
      <c r="E29" s="1191"/>
      <c r="F29" s="1189"/>
      <c r="H29" s="1167"/>
      <c r="K29" s="1178">
        <v>-2217120</v>
      </c>
    </row>
    <row r="30" spans="1:16" ht="15" customHeight="1">
      <c r="A30" s="1192" t="s">
        <v>158</v>
      </c>
      <c r="B30" s="1176"/>
      <c r="C30" s="1193"/>
      <c r="D30" s="1194"/>
      <c r="E30" s="1264">
        <f>-TB!F115</f>
        <v>4624.99</v>
      </c>
      <c r="F30" s="1193"/>
      <c r="G30" s="1265">
        <v>515.06574999999998</v>
      </c>
      <c r="H30" s="1166"/>
      <c r="I30" s="1166"/>
      <c r="J30" s="1166"/>
      <c r="K30" s="1166">
        <v>-58846</v>
      </c>
      <c r="L30" s="1166"/>
      <c r="M30" s="1166"/>
      <c r="N30" s="1166"/>
      <c r="O30" s="1166"/>
      <c r="P30" s="1166"/>
    </row>
    <row r="31" spans="1:16" ht="15" customHeight="1">
      <c r="A31" s="1176" t="s">
        <v>159</v>
      </c>
      <c r="B31" s="1176"/>
      <c r="C31" s="1193"/>
      <c r="D31" s="1194"/>
      <c r="E31" s="1266">
        <f>-(TB!F112+TB!F113+TB!F134+TB!F136+TB!F138+TB!F108)</f>
        <v>1416.00216</v>
      </c>
      <c r="F31" s="1193"/>
      <c r="G31" s="1267">
        <v>1215.05422</v>
      </c>
      <c r="H31" s="1166"/>
      <c r="I31" s="1198">
        <f>-521+399-231</f>
        <v>-353</v>
      </c>
      <c r="J31" s="1198"/>
      <c r="K31" s="1198">
        <v>-112500</v>
      </c>
      <c r="L31" s="1198"/>
      <c r="M31" s="1198"/>
      <c r="N31" s="1198"/>
      <c r="O31" s="1198"/>
      <c r="P31" s="1198"/>
    </row>
    <row r="32" spans="1:16" ht="15" customHeight="1">
      <c r="A32" s="1176" t="s">
        <v>573</v>
      </c>
      <c r="B32" s="1176"/>
      <c r="C32" s="1193"/>
      <c r="D32" s="1194"/>
      <c r="E32" s="1266">
        <f>-TB!G116</f>
        <v>1754.4115099999999</v>
      </c>
      <c r="F32" s="1193"/>
      <c r="G32" s="1267">
        <v>1524.97433</v>
      </c>
      <c r="H32" s="1166"/>
      <c r="I32" s="1198"/>
      <c r="J32" s="1198"/>
      <c r="K32" s="1198">
        <f>SUM(K28:K31)</f>
        <v>20106947</v>
      </c>
      <c r="L32" s="1198"/>
      <c r="M32" s="1198"/>
      <c r="N32" s="1198"/>
      <c r="O32" s="1198"/>
      <c r="P32" s="1198"/>
    </row>
    <row r="33" spans="1:16" ht="15" customHeight="1">
      <c r="A33" s="1176" t="s">
        <v>160</v>
      </c>
      <c r="B33" s="1176"/>
      <c r="C33" s="1193"/>
      <c r="D33" s="1194"/>
      <c r="E33" s="1266">
        <f>-TB!F133</f>
        <v>10.938940000000001</v>
      </c>
      <c r="F33" s="1193"/>
      <c r="G33" s="1267">
        <v>10.856059999999999</v>
      </c>
      <c r="H33" s="1166"/>
      <c r="I33" s="1198"/>
      <c r="J33" s="1198"/>
      <c r="K33" s="1198">
        <f>20106-20503</f>
        <v>-397</v>
      </c>
      <c r="L33" s="1198"/>
      <c r="M33" s="1198"/>
      <c r="N33" s="1198"/>
      <c r="O33" s="1198"/>
      <c r="P33" s="1198"/>
    </row>
    <row r="34" spans="1:16" ht="15" customHeight="1">
      <c r="A34" s="1192" t="s">
        <v>647</v>
      </c>
      <c r="B34" s="1176"/>
      <c r="E34" s="1266">
        <f>-SUM(TB!F110:F111)-TB!F114-TB!F100-TB!F94</f>
        <v>-9670.5321199999998</v>
      </c>
      <c r="F34" s="1166"/>
      <c r="G34" s="1267">
        <v>24447.317970000004</v>
      </c>
      <c r="H34" s="1199"/>
      <c r="I34" s="1199"/>
      <c r="J34" s="1199"/>
      <c r="K34" s="1199"/>
      <c r="L34" s="1199"/>
      <c r="M34" s="1199">
        <v>775741</v>
      </c>
      <c r="N34" s="1199"/>
      <c r="O34" s="1199"/>
      <c r="P34" s="1199"/>
    </row>
    <row r="35" spans="1:16" ht="15" customHeight="1">
      <c r="A35" s="1176" t="s">
        <v>161</v>
      </c>
      <c r="B35" s="1176"/>
      <c r="C35" s="1193"/>
      <c r="D35" s="1194"/>
      <c r="E35" s="1266">
        <f>-TB!F139</f>
        <v>20.239999999999998</v>
      </c>
      <c r="F35" s="1193"/>
      <c r="G35" s="1267">
        <v>25.654100000000003</v>
      </c>
      <c r="H35" s="1166"/>
      <c r="I35" s="1166"/>
      <c r="J35" s="1166"/>
      <c r="K35" s="1166"/>
      <c r="L35" s="1166"/>
      <c r="M35" s="1166">
        <v>-632005</v>
      </c>
      <c r="N35" s="1166"/>
      <c r="O35" s="1166"/>
      <c r="P35" s="1166"/>
    </row>
    <row r="36" spans="1:16" ht="15" customHeight="1">
      <c r="A36" s="1192" t="s">
        <v>648</v>
      </c>
      <c r="B36" s="1176"/>
      <c r="C36" s="1197"/>
      <c r="D36" s="1200"/>
      <c r="E36" s="1266"/>
      <c r="F36" s="1197"/>
      <c r="G36" s="1267"/>
      <c r="H36" s="1198"/>
      <c r="I36" s="1198"/>
      <c r="J36" s="1198"/>
      <c r="K36" s="1198"/>
      <c r="L36" s="1198"/>
      <c r="M36" s="1198">
        <v>-1126438</v>
      </c>
      <c r="N36" s="1198"/>
      <c r="O36" s="1198"/>
      <c r="P36" s="1198"/>
    </row>
    <row r="37" spans="1:16" ht="15" customHeight="1">
      <c r="A37" s="1202" t="s">
        <v>162</v>
      </c>
      <c r="B37" s="1176"/>
      <c r="C37" s="1197"/>
      <c r="D37" s="1189"/>
      <c r="E37" s="1266">
        <f>'Note 5.1'!L119</f>
        <v>-15162.377000000006</v>
      </c>
      <c r="F37" s="1199" t="s">
        <v>163</v>
      </c>
      <c r="G37" s="1267">
        <v>27973.302999999898</v>
      </c>
      <c r="H37" s="1197"/>
      <c r="I37" s="1197"/>
      <c r="J37" s="1197"/>
      <c r="L37" s="1197"/>
      <c r="M37" s="1197">
        <v>-10879765</v>
      </c>
      <c r="N37" s="1197"/>
      <c r="O37" s="1197"/>
      <c r="P37" s="1197"/>
    </row>
    <row r="38" spans="1:16" ht="15" customHeight="1">
      <c r="A38" s="1203" t="s">
        <v>525</v>
      </c>
      <c r="B38" s="1176"/>
      <c r="C38" s="1193"/>
      <c r="D38" s="1194"/>
      <c r="E38" s="1204">
        <f>SUM(E30:E37)</f>
        <v>-17006.326510000006</v>
      </c>
      <c r="F38" s="1193"/>
      <c r="G38" s="1205">
        <f>SUM(G30:G37)</f>
        <v>55712.225429999904</v>
      </c>
      <c r="H38" s="1166">
        <f>55712-E38</f>
        <v>72718.326510000014</v>
      </c>
      <c r="I38" s="1198"/>
      <c r="J38" s="1198"/>
      <c r="K38" s="1198"/>
      <c r="L38" s="1198"/>
      <c r="M38" s="1198">
        <v>-367</v>
      </c>
      <c r="N38" s="1198"/>
      <c r="O38" s="1198"/>
      <c r="P38" s="1198"/>
    </row>
    <row r="39" spans="1:16">
      <c r="C39" s="1178"/>
      <c r="D39" s="1206"/>
      <c r="E39" s="1175"/>
      <c r="F39" s="1166"/>
      <c r="G39" s="1166"/>
      <c r="H39" s="1166">
        <f>H38-E38</f>
        <v>89724.653020000027</v>
      </c>
      <c r="I39" s="1166"/>
      <c r="J39" s="1166"/>
      <c r="K39" s="1166"/>
      <c r="L39" s="1166"/>
      <c r="M39" s="1166">
        <v>-114900</v>
      </c>
      <c r="N39" s="1166"/>
      <c r="O39" s="1166"/>
      <c r="P39" s="1166"/>
    </row>
    <row r="40" spans="1:16" ht="15" customHeight="1">
      <c r="A40" s="1203" t="s">
        <v>164</v>
      </c>
      <c r="B40" s="1176"/>
      <c r="C40" s="1193"/>
      <c r="D40" s="1194"/>
      <c r="E40" s="1195"/>
      <c r="F40" s="1193"/>
      <c r="G40" s="1193"/>
      <c r="H40" s="1166"/>
      <c r="I40" s="1166"/>
      <c r="J40" s="1166"/>
      <c r="K40" s="1166"/>
      <c r="L40" s="1166"/>
      <c r="M40" s="1166">
        <v>-77</v>
      </c>
      <c r="N40" s="1166"/>
      <c r="O40" s="1166"/>
      <c r="P40" s="1166"/>
    </row>
    <row r="41" spans="1:16" ht="9" customHeight="1">
      <c r="B41" s="1176"/>
      <c r="C41" s="1193"/>
      <c r="D41" s="1194"/>
      <c r="E41" s="1195"/>
      <c r="F41" s="1193"/>
      <c r="G41" s="1193"/>
      <c r="H41" s="1166"/>
      <c r="I41" s="1166"/>
      <c r="J41" s="1166"/>
      <c r="K41" s="1166"/>
      <c r="L41" s="1166"/>
      <c r="M41" s="1166"/>
      <c r="N41" s="1166"/>
      <c r="O41" s="1166"/>
      <c r="P41" s="1166"/>
    </row>
    <row r="42" spans="1:16" ht="15" customHeight="1">
      <c r="A42" s="1176" t="s">
        <v>165</v>
      </c>
      <c r="B42" s="1176"/>
      <c r="C42" s="1197"/>
      <c r="D42" s="1200"/>
      <c r="E42" s="1264">
        <f>TB!F143</f>
        <v>3907.4029999999998</v>
      </c>
      <c r="F42" s="1197" t="s">
        <v>163</v>
      </c>
      <c r="G42" s="1265">
        <v>2343.3200000000002</v>
      </c>
      <c r="H42" s="1198"/>
      <c r="I42" s="1198"/>
      <c r="J42" s="1198"/>
      <c r="K42" s="1198"/>
      <c r="L42" s="1198"/>
      <c r="M42" s="1198"/>
      <c r="N42" s="1198"/>
      <c r="O42" s="1198"/>
      <c r="P42" s="1198"/>
    </row>
    <row r="43" spans="1:16" ht="15" customHeight="1">
      <c r="A43" s="1176" t="s">
        <v>562</v>
      </c>
      <c r="B43" s="1176"/>
      <c r="C43" s="1197"/>
      <c r="D43" s="1207"/>
      <c r="E43" s="1266"/>
      <c r="F43" s="1197"/>
      <c r="G43" s="1267"/>
      <c r="H43" s="1198"/>
      <c r="I43" s="1198"/>
      <c r="J43" s="1198"/>
      <c r="K43" s="1198"/>
      <c r="L43" s="1198"/>
      <c r="M43" s="1198"/>
      <c r="N43" s="1198"/>
      <c r="O43" s="1198"/>
      <c r="P43" s="1198"/>
    </row>
    <row r="44" spans="1:16" ht="15" customHeight="1">
      <c r="A44" s="1208" t="s">
        <v>166</v>
      </c>
      <c r="B44" s="1176"/>
      <c r="C44" s="1197"/>
      <c r="D44" s="1207"/>
      <c r="E44" s="1266">
        <f>TB!F144</f>
        <v>507.96239000000003</v>
      </c>
      <c r="F44" s="1197"/>
      <c r="G44" s="1267">
        <v>304.63160000000005</v>
      </c>
      <c r="H44" s="1198"/>
      <c r="I44" s="1198"/>
      <c r="J44" s="1198"/>
      <c r="K44" s="1198"/>
      <c r="L44" s="1198"/>
      <c r="M44" s="1198"/>
      <c r="N44" s="1198"/>
      <c r="O44" s="1198"/>
      <c r="P44" s="1198"/>
    </row>
    <row r="45" spans="1:16" ht="15" customHeight="1">
      <c r="A45" s="1176" t="s">
        <v>167</v>
      </c>
      <c r="B45" s="1176"/>
      <c r="C45" s="1197"/>
      <c r="D45" s="1200"/>
      <c r="E45" s="1266"/>
      <c r="F45" s="1197"/>
      <c r="G45" s="1267"/>
      <c r="H45" s="1198"/>
      <c r="I45" s="1198"/>
      <c r="J45" s="1198"/>
      <c r="K45" s="1198"/>
      <c r="L45" s="1198"/>
      <c r="M45" s="1198"/>
      <c r="N45" s="1198"/>
      <c r="O45" s="1198"/>
      <c r="P45" s="1198"/>
    </row>
    <row r="46" spans="1:16" ht="15" customHeight="1">
      <c r="A46" s="1208" t="s">
        <v>168</v>
      </c>
      <c r="B46" s="1176"/>
      <c r="C46" s="1197"/>
      <c r="D46" s="1200"/>
      <c r="E46" s="1266">
        <f>TB!F145</f>
        <v>233.30199999999999</v>
      </c>
      <c r="F46" s="1197"/>
      <c r="G46" s="1267">
        <v>234.35300000000001</v>
      </c>
      <c r="H46" s="1198"/>
      <c r="I46" s="1198"/>
      <c r="J46" s="1198"/>
      <c r="K46" s="1198"/>
      <c r="L46" s="1198"/>
      <c r="M46" s="1198"/>
      <c r="N46" s="1198"/>
      <c r="O46" s="1198"/>
      <c r="P46" s="1198"/>
    </row>
    <row r="47" spans="1:16" ht="15" customHeight="1">
      <c r="A47" s="1176" t="s">
        <v>365</v>
      </c>
      <c r="B47" s="1176"/>
      <c r="C47" s="1197"/>
      <c r="D47" s="1209"/>
      <c r="E47" s="1266">
        <f>TB!F146</f>
        <v>30.327999999999999</v>
      </c>
      <c r="F47" s="1197"/>
      <c r="G47" s="1267">
        <v>30.466999999999999</v>
      </c>
      <c r="H47" s="1198"/>
      <c r="I47" s="1198"/>
      <c r="J47" s="1198"/>
      <c r="K47" s="1198"/>
      <c r="L47" s="1198"/>
      <c r="M47" s="1198"/>
      <c r="N47" s="1198"/>
      <c r="O47" s="1198"/>
      <c r="P47" s="1198"/>
    </row>
    <row r="48" spans="1:16" ht="15" customHeight="1">
      <c r="A48" s="1210" t="s">
        <v>169</v>
      </c>
      <c r="B48" s="1176"/>
      <c r="C48" s="1197"/>
      <c r="D48" s="1184"/>
      <c r="E48" s="1266">
        <f>TB!F148</f>
        <v>23.324999999999999</v>
      </c>
      <c r="F48" s="1197" t="s">
        <v>163</v>
      </c>
      <c r="G48" s="1267">
        <v>23.427</v>
      </c>
      <c r="H48" s="1198"/>
      <c r="I48" s="1198"/>
      <c r="J48" s="1198"/>
      <c r="K48" s="1198"/>
      <c r="L48" s="1198"/>
      <c r="M48" s="1198"/>
      <c r="N48" s="1198"/>
      <c r="O48" s="1198"/>
      <c r="P48" s="1198"/>
    </row>
    <row r="49" spans="1:16" ht="15" customHeight="1">
      <c r="A49" s="1176" t="s">
        <v>170</v>
      </c>
      <c r="B49" s="1176"/>
      <c r="C49" s="1197"/>
      <c r="D49" s="1209"/>
      <c r="E49" s="1266">
        <f>TB!F149</f>
        <v>116.62619000000001</v>
      </c>
      <c r="F49" s="1197"/>
      <c r="G49" s="1267">
        <v>117.15779000000001</v>
      </c>
      <c r="H49" s="1198"/>
      <c r="I49" s="1198"/>
      <c r="J49" s="1198"/>
      <c r="K49" s="1198"/>
      <c r="L49" s="1198"/>
      <c r="M49" s="1198"/>
      <c r="N49" s="1198"/>
      <c r="O49" s="1198"/>
      <c r="P49" s="1198"/>
    </row>
    <row r="50" spans="1:16" ht="15" customHeight="1">
      <c r="A50" s="1176" t="s">
        <v>500</v>
      </c>
      <c r="B50" s="1176"/>
      <c r="C50" s="1197"/>
      <c r="D50" s="1209"/>
      <c r="E50" s="1266">
        <f>TB!F147</f>
        <v>0</v>
      </c>
      <c r="F50" s="1197"/>
      <c r="G50" s="1267">
        <v>1581.63012</v>
      </c>
      <c r="H50" s="1198"/>
      <c r="I50" s="1198"/>
      <c r="J50" s="1198"/>
      <c r="K50" s="1198"/>
      <c r="L50" s="1198"/>
      <c r="M50" s="1198"/>
      <c r="N50" s="1198"/>
      <c r="O50" s="1198"/>
      <c r="P50" s="1198"/>
    </row>
    <row r="51" spans="1:16" ht="15" customHeight="1">
      <c r="A51" s="1176" t="s">
        <v>171</v>
      </c>
      <c r="B51" s="1176"/>
      <c r="C51" s="1197"/>
      <c r="D51" s="1200"/>
      <c r="E51" s="1266">
        <f>TB!F151+TB!F152</f>
        <v>386.18743999999998</v>
      </c>
      <c r="F51" s="1197"/>
      <c r="G51" s="1267">
        <v>868.33758999999998</v>
      </c>
      <c r="H51" s="1198"/>
      <c r="I51" s="1198"/>
      <c r="J51" s="1198"/>
      <c r="K51" s="1198"/>
      <c r="L51" s="1198"/>
      <c r="M51" s="1198"/>
      <c r="N51" s="1198"/>
      <c r="O51" s="1198"/>
      <c r="P51" s="1198"/>
    </row>
    <row r="52" spans="1:16" ht="15" customHeight="1">
      <c r="A52" s="1176" t="s">
        <v>563</v>
      </c>
      <c r="B52" s="1176"/>
      <c r="C52" s="1197"/>
      <c r="D52" s="1200"/>
      <c r="E52" s="1266">
        <f>TB!F154+TB!F153+SUM(TB!F162:F171)</f>
        <v>139.696</v>
      </c>
      <c r="F52" s="1197"/>
      <c r="G52" s="1267">
        <v>153.52611000000002</v>
      </c>
      <c r="H52" s="1198"/>
      <c r="I52" s="1198"/>
      <c r="J52" s="1198"/>
      <c r="K52" s="1198"/>
      <c r="L52" s="1198"/>
      <c r="M52" s="1198"/>
      <c r="N52" s="1198"/>
      <c r="O52" s="1198"/>
      <c r="P52" s="1198"/>
    </row>
    <row r="53" spans="1:16" ht="15" customHeight="1">
      <c r="A53" s="1176" t="s">
        <v>172</v>
      </c>
      <c r="B53" s="1176"/>
      <c r="C53" s="1197"/>
      <c r="D53" s="1200"/>
      <c r="E53" s="1266">
        <f>TB!F160</f>
        <v>6.9312800000000001</v>
      </c>
      <c r="F53" s="1197"/>
      <c r="G53" s="1267">
        <v>6.9312800000000001</v>
      </c>
      <c r="H53" s="1198"/>
      <c r="I53" s="1198"/>
      <c r="J53" s="1198"/>
      <c r="K53" s="1198"/>
      <c r="L53" s="1198"/>
      <c r="M53" s="1198"/>
      <c r="N53" s="1198"/>
      <c r="O53" s="1198"/>
      <c r="P53" s="1198"/>
    </row>
    <row r="54" spans="1:16" ht="15" customHeight="1">
      <c r="A54" s="1176" t="s">
        <v>173</v>
      </c>
      <c r="B54" s="1176"/>
      <c r="C54" s="1197"/>
      <c r="D54" s="1200"/>
      <c r="E54" s="1266">
        <f>TB!F156+TB!F157</f>
        <v>145.13092</v>
      </c>
      <c r="F54" s="1197"/>
      <c r="G54" s="1267">
        <v>145.13092</v>
      </c>
      <c r="H54" s="1198"/>
      <c r="I54" s="1198"/>
      <c r="J54" s="1198"/>
      <c r="K54" s="1198"/>
      <c r="L54" s="1198"/>
      <c r="M54" s="1198"/>
      <c r="N54" s="1198"/>
      <c r="O54" s="1198"/>
      <c r="P54" s="1198"/>
    </row>
    <row r="55" spans="1:16" ht="15" customHeight="1">
      <c r="A55" s="1176" t="s">
        <v>174</v>
      </c>
      <c r="B55" s="1176"/>
      <c r="C55" s="1197"/>
      <c r="D55" s="1200"/>
      <c r="E55" s="1266">
        <f>TB!F161</f>
        <v>25.207999999999998</v>
      </c>
      <c r="F55" s="1197"/>
      <c r="G55" s="1267">
        <v>1.9092499999999999</v>
      </c>
      <c r="H55" s="1198"/>
      <c r="I55" s="1198"/>
      <c r="J55" s="1198"/>
      <c r="K55" s="1198"/>
      <c r="L55" s="1198"/>
      <c r="M55" s="1198"/>
      <c r="N55" s="1198"/>
      <c r="O55" s="1198"/>
      <c r="P55" s="1198"/>
    </row>
    <row r="56" spans="1:16" ht="15" customHeight="1">
      <c r="A56" s="1176" t="s">
        <v>175</v>
      </c>
      <c r="B56" s="1176"/>
      <c r="C56" s="1197"/>
      <c r="D56" s="1200"/>
      <c r="E56" s="1268">
        <f>TB!F158</f>
        <v>434.36752000000001</v>
      </c>
      <c r="F56" s="1197"/>
      <c r="G56" s="1269">
        <v>34.367520000000006</v>
      </c>
      <c r="H56" s="1198"/>
      <c r="I56" s="1198"/>
      <c r="J56" s="1198"/>
      <c r="K56" s="1198"/>
      <c r="L56" s="1198"/>
      <c r="M56" s="1198"/>
      <c r="N56" s="1198"/>
      <c r="O56" s="1198"/>
      <c r="P56" s="1198"/>
    </row>
    <row r="57" spans="1:16" ht="15" customHeight="1">
      <c r="A57" s="1203" t="s">
        <v>176</v>
      </c>
      <c r="B57" s="1176"/>
      <c r="C57" s="1197"/>
      <c r="D57" s="1200"/>
      <c r="E57" s="1196">
        <f>SUM(E42:E56)</f>
        <v>5956.4677399999982</v>
      </c>
      <c r="F57" s="1197"/>
      <c r="G57" s="1197">
        <f>SUM(G42:G56)</f>
        <v>5845.1891799999994</v>
      </c>
      <c r="H57" s="1178">
        <f>E57-3850</f>
        <v>2106.4677399999982</v>
      </c>
      <c r="I57" s="1197"/>
      <c r="J57" s="1197"/>
      <c r="K57" s="1197"/>
      <c r="L57" s="1197"/>
      <c r="M57" s="1197"/>
      <c r="N57" s="1197"/>
      <c r="O57" s="1197"/>
      <c r="P57" s="1197"/>
    </row>
    <row r="58" spans="1:16">
      <c r="A58" s="1203"/>
      <c r="B58" s="1176"/>
      <c r="C58" s="1197"/>
      <c r="D58" s="1200"/>
      <c r="E58" s="1196"/>
      <c r="F58" s="1197"/>
      <c r="G58" s="1197"/>
      <c r="I58" s="1197"/>
      <c r="J58" s="1197"/>
      <c r="K58" s="1197"/>
      <c r="L58" s="1197"/>
      <c r="M58" s="1197"/>
      <c r="N58" s="1197"/>
      <c r="O58" s="1197"/>
      <c r="P58" s="1197"/>
    </row>
    <row r="59" spans="1:16">
      <c r="A59" s="1211" t="s">
        <v>651</v>
      </c>
      <c r="B59" s="1176"/>
      <c r="C59" s="1197"/>
      <c r="D59" s="1200"/>
      <c r="E59" s="1212">
        <f>E38-E57</f>
        <v>-22962.794250000006</v>
      </c>
      <c r="F59" s="1213"/>
      <c r="G59" s="1205">
        <f>G38-G57-0.49</f>
        <v>49866.546249999905</v>
      </c>
      <c r="I59" s="1197"/>
      <c r="J59" s="1197"/>
      <c r="K59" s="1197"/>
      <c r="L59" s="1197"/>
      <c r="M59" s="1197"/>
      <c r="N59" s="1197"/>
      <c r="O59" s="1197"/>
      <c r="P59" s="1197"/>
    </row>
    <row r="60" spans="1:16" ht="7.5" customHeight="1">
      <c r="A60" s="1203"/>
      <c r="B60" s="1176"/>
      <c r="C60" s="1197"/>
      <c r="D60" s="1200"/>
      <c r="E60" s="1196"/>
      <c r="F60" s="1213"/>
      <c r="G60" s="1197"/>
      <c r="I60" s="1197"/>
      <c r="J60" s="1197"/>
      <c r="K60" s="1197"/>
      <c r="L60" s="1197"/>
      <c r="M60" s="1197"/>
      <c r="N60" s="1197"/>
      <c r="O60" s="1197"/>
      <c r="P60" s="1197"/>
    </row>
    <row r="61" spans="1:16" ht="8.25" customHeight="1">
      <c r="A61" s="1211"/>
      <c r="B61" s="1176"/>
      <c r="C61" s="1197"/>
      <c r="D61" s="1200"/>
      <c r="E61" s="1196"/>
      <c r="F61" s="1197"/>
      <c r="G61" s="1214"/>
      <c r="H61" s="1167"/>
      <c r="I61" s="1197"/>
      <c r="J61" s="1197"/>
      <c r="K61" s="1197"/>
      <c r="L61" s="1197"/>
      <c r="M61" s="1197"/>
      <c r="N61" s="1197"/>
      <c r="O61" s="1197"/>
      <c r="P61" s="1197"/>
    </row>
    <row r="62" spans="1:16">
      <c r="A62" s="1215" t="s">
        <v>673</v>
      </c>
      <c r="B62" s="1176"/>
      <c r="C62" s="1197"/>
      <c r="D62" s="1216"/>
      <c r="E62" s="1196">
        <f>-TB!F172</f>
        <v>6269.3986100000002</v>
      </c>
      <c r="F62" s="1197"/>
      <c r="G62" s="1214">
        <v>-997</v>
      </c>
      <c r="H62" s="1167"/>
      <c r="I62" s="1197">
        <f>E57-E62</f>
        <v>-312.93087000000196</v>
      </c>
      <c r="J62" s="1197"/>
      <c r="K62" s="1197"/>
      <c r="L62" s="1197"/>
      <c r="M62" s="1197"/>
      <c r="N62" s="1197"/>
      <c r="O62" s="1197"/>
      <c r="P62" s="1197"/>
    </row>
    <row r="63" spans="1:16">
      <c r="A63" s="1215"/>
      <c r="B63" s="1176"/>
      <c r="C63" s="1197"/>
      <c r="D63" s="1200"/>
      <c r="E63" s="1196"/>
      <c r="F63" s="1197"/>
      <c r="G63" s="1214"/>
      <c r="H63" s="1167"/>
      <c r="I63" s="1197"/>
      <c r="J63" s="1197"/>
      <c r="K63" s="1197"/>
      <c r="L63" s="1197"/>
      <c r="M63" s="1197"/>
      <c r="N63" s="1197"/>
      <c r="O63" s="1197"/>
      <c r="P63" s="1197"/>
    </row>
    <row r="64" spans="1:16" ht="13.8">
      <c r="A64" s="1211" t="s">
        <v>650</v>
      </c>
      <c r="B64" s="1176"/>
      <c r="C64" s="1197"/>
      <c r="D64" s="1200"/>
      <c r="E64" s="1217">
        <f>E59+E62</f>
        <v>-16693.395640000006</v>
      </c>
      <c r="F64" s="1217"/>
      <c r="G64" s="1218">
        <f>G59+G62</f>
        <v>48869.546249999905</v>
      </c>
      <c r="I64" s="1197"/>
      <c r="J64" s="1197"/>
      <c r="K64" s="1197"/>
      <c r="L64" s="1197"/>
      <c r="M64" s="1197"/>
      <c r="N64" s="1197"/>
      <c r="O64" s="1197"/>
      <c r="P64" s="1197"/>
    </row>
    <row r="65" spans="1:222" s="1223" customFormat="1">
      <c r="A65" s="1203"/>
      <c r="B65" s="1219"/>
      <c r="C65" s="1220"/>
      <c r="D65" s="1221"/>
      <c r="E65" s="1201"/>
      <c r="F65" s="1198"/>
      <c r="G65" s="1198"/>
      <c r="H65" s="1198"/>
      <c r="I65" s="1198"/>
      <c r="J65" s="1198"/>
      <c r="K65" s="1198"/>
      <c r="L65" s="1198"/>
      <c r="M65" s="1198"/>
      <c r="N65" s="1198"/>
      <c r="O65" s="1198"/>
      <c r="P65" s="1198"/>
      <c r="Q65" s="1222"/>
      <c r="R65" s="1222"/>
      <c r="S65" s="1222"/>
      <c r="T65" s="1222"/>
      <c r="U65" s="1222"/>
      <c r="V65" s="1222"/>
      <c r="W65" s="1222"/>
      <c r="X65" s="1222"/>
      <c r="Y65" s="1222"/>
      <c r="Z65" s="1222"/>
      <c r="AA65" s="1222"/>
      <c r="AB65" s="1222"/>
      <c r="AC65" s="1222"/>
      <c r="AD65" s="1222"/>
      <c r="AE65" s="1222"/>
      <c r="AF65" s="1222"/>
      <c r="AG65" s="1222"/>
      <c r="AH65" s="1222"/>
      <c r="AI65" s="1222"/>
      <c r="AJ65" s="1222"/>
      <c r="AK65" s="1222"/>
      <c r="AL65" s="1222"/>
      <c r="AM65" s="1222"/>
      <c r="AN65" s="1222"/>
      <c r="AO65" s="1222"/>
      <c r="AP65" s="1222"/>
      <c r="AQ65" s="1222"/>
      <c r="AR65" s="1222"/>
      <c r="AS65" s="1222"/>
      <c r="AT65" s="1222"/>
      <c r="AU65" s="1222"/>
      <c r="AV65" s="1222"/>
      <c r="AW65" s="1222"/>
      <c r="AX65" s="1222"/>
      <c r="AY65" s="1222"/>
      <c r="AZ65" s="1222"/>
      <c r="BA65" s="1222"/>
      <c r="BB65" s="1222"/>
      <c r="BC65" s="1222"/>
      <c r="BD65" s="1222"/>
      <c r="BE65" s="1222"/>
      <c r="BF65" s="1222"/>
      <c r="BG65" s="1222"/>
      <c r="BH65" s="1222"/>
      <c r="BI65" s="1222"/>
      <c r="BJ65" s="1222"/>
      <c r="BK65" s="1222"/>
      <c r="BL65" s="1222"/>
      <c r="BM65" s="1222"/>
      <c r="BN65" s="1222"/>
      <c r="BO65" s="1222"/>
      <c r="BP65" s="1222"/>
      <c r="BQ65" s="1222"/>
      <c r="BR65" s="1222"/>
      <c r="BS65" s="1222"/>
      <c r="BT65" s="1222"/>
      <c r="BU65" s="1222"/>
      <c r="BV65" s="1222"/>
      <c r="BW65" s="1222"/>
      <c r="BX65" s="1222"/>
      <c r="BY65" s="1222"/>
      <c r="BZ65" s="1222"/>
      <c r="CA65" s="1222"/>
      <c r="CB65" s="1222"/>
      <c r="CC65" s="1222"/>
      <c r="CD65" s="1222"/>
      <c r="CE65" s="1222"/>
      <c r="CF65" s="1222"/>
      <c r="CG65" s="1222"/>
      <c r="CH65" s="1222"/>
      <c r="CI65" s="1222"/>
      <c r="CJ65" s="1222"/>
      <c r="CK65" s="1222"/>
      <c r="CL65" s="1222"/>
      <c r="CM65" s="1222"/>
      <c r="CN65" s="1222"/>
      <c r="CO65" s="1222"/>
      <c r="CP65" s="1222"/>
      <c r="CQ65" s="1222"/>
      <c r="CR65" s="1222"/>
      <c r="CS65" s="1222"/>
      <c r="CT65" s="1222"/>
      <c r="CU65" s="1222"/>
      <c r="CV65" s="1222"/>
      <c r="CW65" s="1222"/>
      <c r="CX65" s="1222"/>
      <c r="CY65" s="1222"/>
      <c r="CZ65" s="1222"/>
      <c r="DA65" s="1222"/>
      <c r="DB65" s="1222"/>
      <c r="DC65" s="1222"/>
      <c r="DD65" s="1222"/>
      <c r="DE65" s="1222"/>
      <c r="DF65" s="1222"/>
      <c r="DG65" s="1222"/>
      <c r="DH65" s="1222"/>
      <c r="DI65" s="1222"/>
      <c r="DJ65" s="1222"/>
      <c r="DK65" s="1222"/>
      <c r="DL65" s="1222"/>
      <c r="DM65" s="1222"/>
      <c r="DN65" s="1222"/>
      <c r="DO65" s="1222"/>
      <c r="DP65" s="1222"/>
      <c r="DQ65" s="1222"/>
      <c r="DR65" s="1222"/>
      <c r="DS65" s="1222"/>
      <c r="DT65" s="1222"/>
      <c r="DU65" s="1222"/>
      <c r="DV65" s="1222"/>
      <c r="DW65" s="1222"/>
      <c r="DX65" s="1222"/>
      <c r="DY65" s="1222"/>
      <c r="DZ65" s="1222"/>
      <c r="EA65" s="1222"/>
      <c r="EB65" s="1222"/>
      <c r="EC65" s="1222"/>
      <c r="ED65" s="1222"/>
      <c r="EE65" s="1222"/>
      <c r="EF65" s="1222"/>
      <c r="EG65" s="1222"/>
      <c r="EH65" s="1222"/>
      <c r="EI65" s="1222"/>
      <c r="EJ65" s="1222"/>
      <c r="EK65" s="1222"/>
      <c r="EL65" s="1222"/>
      <c r="EM65" s="1222"/>
      <c r="EN65" s="1222"/>
      <c r="EO65" s="1222"/>
      <c r="EP65" s="1222"/>
      <c r="EQ65" s="1222"/>
      <c r="ER65" s="1222"/>
      <c r="ES65" s="1222"/>
      <c r="ET65" s="1222"/>
      <c r="EU65" s="1222"/>
      <c r="EV65" s="1222"/>
      <c r="EW65" s="1222"/>
      <c r="EX65" s="1222"/>
      <c r="EY65" s="1222"/>
      <c r="EZ65" s="1222"/>
      <c r="FA65" s="1222"/>
      <c r="FB65" s="1222"/>
      <c r="FC65" s="1222"/>
      <c r="FD65" s="1222"/>
      <c r="FE65" s="1222"/>
      <c r="FF65" s="1222"/>
      <c r="FG65" s="1222"/>
      <c r="FH65" s="1222"/>
      <c r="FI65" s="1222"/>
      <c r="FJ65" s="1222"/>
      <c r="FK65" s="1222"/>
      <c r="FL65" s="1222"/>
      <c r="FM65" s="1222"/>
      <c r="FN65" s="1222"/>
      <c r="FO65" s="1222"/>
      <c r="FP65" s="1222"/>
      <c r="FQ65" s="1222"/>
      <c r="FR65" s="1222"/>
      <c r="FS65" s="1222"/>
      <c r="FT65" s="1222"/>
      <c r="FU65" s="1222"/>
      <c r="FV65" s="1222"/>
      <c r="FW65" s="1222"/>
      <c r="FX65" s="1222"/>
      <c r="FY65" s="1222"/>
      <c r="FZ65" s="1222"/>
      <c r="GA65" s="1222"/>
      <c r="GB65" s="1222"/>
      <c r="GC65" s="1222"/>
      <c r="GD65" s="1222"/>
      <c r="GE65" s="1222"/>
      <c r="GF65" s="1222"/>
      <c r="GG65" s="1222"/>
      <c r="GH65" s="1222"/>
      <c r="GI65" s="1222"/>
      <c r="GJ65" s="1222"/>
      <c r="GK65" s="1222"/>
      <c r="GL65" s="1222"/>
      <c r="GM65" s="1222"/>
      <c r="GN65" s="1222"/>
      <c r="GO65" s="1222"/>
      <c r="GP65" s="1222"/>
      <c r="GQ65" s="1222"/>
      <c r="GR65" s="1222"/>
      <c r="GS65" s="1222"/>
      <c r="GT65" s="1222"/>
      <c r="GU65" s="1222"/>
      <c r="GV65" s="1222"/>
      <c r="GW65" s="1222"/>
      <c r="GX65" s="1222"/>
      <c r="GY65" s="1222"/>
      <c r="GZ65" s="1222"/>
      <c r="HA65" s="1222"/>
      <c r="HB65" s="1222"/>
      <c r="HC65" s="1222"/>
      <c r="HD65" s="1222"/>
      <c r="HE65" s="1222"/>
      <c r="HF65" s="1222"/>
      <c r="HG65" s="1222"/>
      <c r="HH65" s="1222"/>
      <c r="HI65" s="1222"/>
      <c r="HJ65" s="1222"/>
      <c r="HK65" s="1222"/>
      <c r="HL65" s="1222"/>
      <c r="HM65" s="1222"/>
      <c r="HN65" s="1222"/>
    </row>
    <row r="66" spans="1:222" s="1223" customFormat="1">
      <c r="A66" s="1224" t="s">
        <v>177</v>
      </c>
      <c r="B66" s="1219"/>
      <c r="C66" s="1220"/>
      <c r="D66" s="1225"/>
      <c r="E66" s="1226">
        <v>0</v>
      </c>
      <c r="F66" s="1227"/>
      <c r="G66" s="1228">
        <v>0</v>
      </c>
      <c r="H66" s="1228"/>
      <c r="I66" s="1228"/>
      <c r="J66" s="1228"/>
      <c r="K66" s="1228"/>
      <c r="L66" s="1228"/>
      <c r="M66" s="1228"/>
      <c r="N66" s="1228"/>
      <c r="O66" s="1228"/>
      <c r="P66" s="1228"/>
      <c r="Q66" s="1222"/>
      <c r="R66" s="1222"/>
      <c r="S66" s="1222"/>
      <c r="T66" s="1222"/>
      <c r="U66" s="1222"/>
      <c r="V66" s="1222"/>
      <c r="W66" s="1222"/>
      <c r="X66" s="1222"/>
      <c r="Y66" s="1222"/>
      <c r="Z66" s="1222"/>
      <c r="AA66" s="1222"/>
      <c r="AB66" s="1222"/>
      <c r="AC66" s="1222"/>
      <c r="AD66" s="1222"/>
      <c r="AE66" s="1222"/>
      <c r="AF66" s="1222"/>
      <c r="AG66" s="1222"/>
      <c r="AH66" s="1222"/>
      <c r="AI66" s="1222"/>
      <c r="AJ66" s="1222"/>
      <c r="AK66" s="1222"/>
      <c r="AL66" s="1222"/>
      <c r="AM66" s="1222"/>
      <c r="AN66" s="1222"/>
      <c r="AO66" s="1222"/>
      <c r="AP66" s="1222"/>
      <c r="AQ66" s="1222"/>
      <c r="AR66" s="1222"/>
      <c r="AS66" s="1222"/>
      <c r="AT66" s="1222"/>
      <c r="AU66" s="1222"/>
      <c r="AV66" s="1222"/>
      <c r="AW66" s="1222"/>
      <c r="AX66" s="1222"/>
      <c r="AY66" s="1222"/>
      <c r="AZ66" s="1222"/>
      <c r="BA66" s="1222"/>
      <c r="BB66" s="1222"/>
      <c r="BC66" s="1222"/>
      <c r="BD66" s="1222"/>
      <c r="BE66" s="1222"/>
      <c r="BF66" s="1222"/>
      <c r="BG66" s="1222"/>
      <c r="BH66" s="1222"/>
      <c r="BI66" s="1222"/>
      <c r="BJ66" s="1222"/>
      <c r="BK66" s="1222"/>
      <c r="BL66" s="1222"/>
      <c r="BM66" s="1222"/>
      <c r="BN66" s="1222"/>
      <c r="BO66" s="1222"/>
      <c r="BP66" s="1222"/>
      <c r="BQ66" s="1222"/>
      <c r="BR66" s="1222"/>
      <c r="BS66" s="1222"/>
      <c r="BT66" s="1222"/>
      <c r="BU66" s="1222"/>
      <c r="BV66" s="1222"/>
      <c r="BW66" s="1222"/>
      <c r="BX66" s="1222"/>
      <c r="BY66" s="1222"/>
      <c r="BZ66" s="1222"/>
      <c r="CA66" s="1222"/>
      <c r="CB66" s="1222"/>
      <c r="CC66" s="1222"/>
      <c r="CD66" s="1222"/>
      <c r="CE66" s="1222"/>
      <c r="CF66" s="1222"/>
      <c r="CG66" s="1222"/>
      <c r="CH66" s="1222"/>
      <c r="CI66" s="1222"/>
      <c r="CJ66" s="1222"/>
      <c r="CK66" s="1222"/>
      <c r="CL66" s="1222"/>
      <c r="CM66" s="1222"/>
      <c r="CN66" s="1222"/>
      <c r="CO66" s="1222"/>
      <c r="CP66" s="1222"/>
      <c r="CQ66" s="1222"/>
      <c r="CR66" s="1222"/>
      <c r="CS66" s="1222"/>
      <c r="CT66" s="1222"/>
      <c r="CU66" s="1222"/>
      <c r="CV66" s="1222"/>
      <c r="CW66" s="1222"/>
      <c r="CX66" s="1222"/>
      <c r="CY66" s="1222"/>
      <c r="CZ66" s="1222"/>
      <c r="DA66" s="1222"/>
      <c r="DB66" s="1222"/>
      <c r="DC66" s="1222"/>
      <c r="DD66" s="1222"/>
      <c r="DE66" s="1222"/>
      <c r="DF66" s="1222"/>
      <c r="DG66" s="1222"/>
      <c r="DH66" s="1222"/>
      <c r="DI66" s="1222"/>
      <c r="DJ66" s="1222"/>
      <c r="DK66" s="1222"/>
      <c r="DL66" s="1222"/>
      <c r="DM66" s="1222"/>
      <c r="DN66" s="1222"/>
      <c r="DO66" s="1222"/>
      <c r="DP66" s="1222"/>
      <c r="DQ66" s="1222"/>
      <c r="DR66" s="1222"/>
      <c r="DS66" s="1222"/>
      <c r="DT66" s="1222"/>
      <c r="DU66" s="1222"/>
      <c r="DV66" s="1222"/>
      <c r="DW66" s="1222"/>
      <c r="DX66" s="1222"/>
      <c r="DY66" s="1222"/>
      <c r="DZ66" s="1222"/>
      <c r="EA66" s="1222"/>
      <c r="EB66" s="1222"/>
      <c r="EC66" s="1222"/>
      <c r="ED66" s="1222"/>
      <c r="EE66" s="1222"/>
      <c r="EF66" s="1222"/>
      <c r="EG66" s="1222"/>
      <c r="EH66" s="1222"/>
      <c r="EI66" s="1222"/>
      <c r="EJ66" s="1222"/>
      <c r="EK66" s="1222"/>
      <c r="EL66" s="1222"/>
      <c r="EM66" s="1222"/>
      <c r="EN66" s="1222"/>
      <c r="EO66" s="1222"/>
      <c r="EP66" s="1222"/>
      <c r="EQ66" s="1222"/>
      <c r="ER66" s="1222"/>
      <c r="ES66" s="1222"/>
      <c r="ET66" s="1222"/>
      <c r="EU66" s="1222"/>
      <c r="EV66" s="1222"/>
      <c r="EW66" s="1222"/>
      <c r="EX66" s="1222"/>
      <c r="EY66" s="1222"/>
      <c r="EZ66" s="1222"/>
      <c r="FA66" s="1222"/>
      <c r="FB66" s="1222"/>
      <c r="FC66" s="1222"/>
      <c r="FD66" s="1222"/>
      <c r="FE66" s="1222"/>
      <c r="FF66" s="1222"/>
      <c r="FG66" s="1222"/>
      <c r="FH66" s="1222"/>
      <c r="FI66" s="1222"/>
      <c r="FJ66" s="1222"/>
      <c r="FK66" s="1222"/>
      <c r="FL66" s="1222"/>
      <c r="FM66" s="1222"/>
      <c r="FN66" s="1222"/>
      <c r="FO66" s="1222"/>
      <c r="FP66" s="1222"/>
      <c r="FQ66" s="1222"/>
      <c r="FR66" s="1222"/>
      <c r="FS66" s="1222"/>
      <c r="FT66" s="1222"/>
      <c r="FU66" s="1222"/>
      <c r="FV66" s="1222"/>
      <c r="FW66" s="1222"/>
      <c r="FX66" s="1222"/>
      <c r="FY66" s="1222"/>
      <c r="FZ66" s="1222"/>
      <c r="GA66" s="1222"/>
      <c r="GB66" s="1222"/>
      <c r="GC66" s="1222"/>
      <c r="GD66" s="1222"/>
      <c r="GE66" s="1222"/>
      <c r="GF66" s="1222"/>
      <c r="GG66" s="1222"/>
      <c r="GH66" s="1222"/>
      <c r="GI66" s="1222"/>
      <c r="GJ66" s="1222"/>
      <c r="GK66" s="1222"/>
      <c r="GL66" s="1222"/>
      <c r="GM66" s="1222"/>
      <c r="GN66" s="1222"/>
      <c r="GO66" s="1222"/>
      <c r="GP66" s="1222"/>
      <c r="GQ66" s="1222"/>
      <c r="GR66" s="1222"/>
      <c r="GS66" s="1222"/>
      <c r="GT66" s="1222"/>
      <c r="GU66" s="1222"/>
      <c r="GV66" s="1222"/>
      <c r="GW66" s="1222"/>
      <c r="GX66" s="1222"/>
      <c r="GY66" s="1222"/>
      <c r="GZ66" s="1222"/>
      <c r="HA66" s="1222"/>
      <c r="HB66" s="1222"/>
      <c r="HC66" s="1222"/>
      <c r="HD66" s="1222"/>
      <c r="HE66" s="1222"/>
      <c r="HF66" s="1222"/>
      <c r="HG66" s="1222"/>
      <c r="HH66" s="1222"/>
      <c r="HI66" s="1222"/>
      <c r="HJ66" s="1222"/>
      <c r="HK66" s="1222"/>
      <c r="HL66" s="1222"/>
      <c r="HM66" s="1222"/>
      <c r="HN66" s="1222"/>
    </row>
    <row r="67" spans="1:222" s="1223" customFormat="1">
      <c r="A67" s="1224"/>
      <c r="B67" s="1219"/>
      <c r="C67" s="1220"/>
      <c r="D67" s="1229"/>
      <c r="E67" s="1226"/>
      <c r="F67" s="1227"/>
      <c r="G67" s="1228"/>
      <c r="H67" s="1228"/>
      <c r="I67" s="1228"/>
      <c r="J67" s="1228"/>
      <c r="K67" s="1228"/>
      <c r="L67" s="1228"/>
      <c r="M67" s="1228"/>
      <c r="N67" s="1228"/>
      <c r="O67" s="1228"/>
      <c r="P67" s="1228"/>
      <c r="Q67" s="1222"/>
      <c r="R67" s="1222"/>
      <c r="S67" s="1222"/>
      <c r="T67" s="1222"/>
      <c r="U67" s="1222"/>
      <c r="V67" s="1222"/>
      <c r="W67" s="1222"/>
      <c r="X67" s="1222"/>
      <c r="Y67" s="1222"/>
      <c r="Z67" s="1222"/>
      <c r="AA67" s="1222"/>
      <c r="AB67" s="1222"/>
      <c r="AC67" s="1222"/>
      <c r="AD67" s="1222"/>
      <c r="AE67" s="1222"/>
      <c r="AF67" s="1222"/>
      <c r="AG67" s="1222"/>
      <c r="AH67" s="1222"/>
      <c r="AI67" s="1222"/>
      <c r="AJ67" s="1222"/>
      <c r="AK67" s="1222"/>
      <c r="AL67" s="1222"/>
      <c r="AM67" s="1222"/>
      <c r="AN67" s="1222"/>
      <c r="AO67" s="1222"/>
      <c r="AP67" s="1222"/>
      <c r="AQ67" s="1222"/>
      <c r="AR67" s="1222"/>
      <c r="AS67" s="1222"/>
      <c r="AT67" s="1222"/>
      <c r="AU67" s="1222"/>
      <c r="AV67" s="1222"/>
      <c r="AW67" s="1222"/>
      <c r="AX67" s="1222"/>
      <c r="AY67" s="1222"/>
      <c r="AZ67" s="1222"/>
      <c r="BA67" s="1222"/>
      <c r="BB67" s="1222"/>
      <c r="BC67" s="1222"/>
      <c r="BD67" s="1222"/>
      <c r="BE67" s="1222"/>
      <c r="BF67" s="1222"/>
      <c r="BG67" s="1222"/>
      <c r="BH67" s="1222"/>
      <c r="BI67" s="1222"/>
      <c r="BJ67" s="1222"/>
      <c r="BK67" s="1222"/>
      <c r="BL67" s="1222"/>
      <c r="BM67" s="1222"/>
      <c r="BN67" s="1222"/>
      <c r="BO67" s="1222"/>
      <c r="BP67" s="1222"/>
      <c r="BQ67" s="1222"/>
      <c r="BR67" s="1222"/>
      <c r="BS67" s="1222"/>
      <c r="BT67" s="1222"/>
      <c r="BU67" s="1222"/>
      <c r="BV67" s="1222"/>
      <c r="BW67" s="1222"/>
      <c r="BX67" s="1222"/>
      <c r="BY67" s="1222"/>
      <c r="BZ67" s="1222"/>
      <c r="CA67" s="1222"/>
      <c r="CB67" s="1222"/>
      <c r="CC67" s="1222"/>
      <c r="CD67" s="1222"/>
      <c r="CE67" s="1222"/>
      <c r="CF67" s="1222"/>
      <c r="CG67" s="1222"/>
      <c r="CH67" s="1222"/>
      <c r="CI67" s="1222"/>
      <c r="CJ67" s="1222"/>
      <c r="CK67" s="1222"/>
      <c r="CL67" s="1222"/>
      <c r="CM67" s="1222"/>
      <c r="CN67" s="1222"/>
      <c r="CO67" s="1222"/>
      <c r="CP67" s="1222"/>
      <c r="CQ67" s="1222"/>
      <c r="CR67" s="1222"/>
      <c r="CS67" s="1222"/>
      <c r="CT67" s="1222"/>
      <c r="CU67" s="1222"/>
      <c r="CV67" s="1222"/>
      <c r="CW67" s="1222"/>
      <c r="CX67" s="1222"/>
      <c r="CY67" s="1222"/>
      <c r="CZ67" s="1222"/>
      <c r="DA67" s="1222"/>
      <c r="DB67" s="1222"/>
      <c r="DC67" s="1222"/>
      <c r="DD67" s="1222"/>
      <c r="DE67" s="1222"/>
      <c r="DF67" s="1222"/>
      <c r="DG67" s="1222"/>
      <c r="DH67" s="1222"/>
      <c r="DI67" s="1222"/>
      <c r="DJ67" s="1222"/>
      <c r="DK67" s="1222"/>
      <c r="DL67" s="1222"/>
      <c r="DM67" s="1222"/>
      <c r="DN67" s="1222"/>
      <c r="DO67" s="1222"/>
      <c r="DP67" s="1222"/>
      <c r="DQ67" s="1222"/>
      <c r="DR67" s="1222"/>
      <c r="DS67" s="1222"/>
      <c r="DT67" s="1222"/>
      <c r="DU67" s="1222"/>
      <c r="DV67" s="1222"/>
      <c r="DW67" s="1222"/>
      <c r="DX67" s="1222"/>
      <c r="DY67" s="1222"/>
      <c r="DZ67" s="1222"/>
      <c r="EA67" s="1222"/>
      <c r="EB67" s="1222"/>
      <c r="EC67" s="1222"/>
      <c r="ED67" s="1222"/>
      <c r="EE67" s="1222"/>
      <c r="EF67" s="1222"/>
      <c r="EG67" s="1222"/>
      <c r="EH67" s="1222"/>
      <c r="EI67" s="1222"/>
      <c r="EJ67" s="1222"/>
      <c r="EK67" s="1222"/>
      <c r="EL67" s="1222"/>
      <c r="EM67" s="1222"/>
      <c r="EN67" s="1222"/>
      <c r="EO67" s="1222"/>
      <c r="EP67" s="1222"/>
      <c r="EQ67" s="1222"/>
      <c r="ER67" s="1222"/>
      <c r="ES67" s="1222"/>
      <c r="ET67" s="1222"/>
      <c r="EU67" s="1222"/>
      <c r="EV67" s="1222"/>
      <c r="EW67" s="1222"/>
      <c r="EX67" s="1222"/>
      <c r="EY67" s="1222"/>
      <c r="EZ67" s="1222"/>
      <c r="FA67" s="1222"/>
      <c r="FB67" s="1222"/>
      <c r="FC67" s="1222"/>
      <c r="FD67" s="1222"/>
      <c r="FE67" s="1222"/>
      <c r="FF67" s="1222"/>
      <c r="FG67" s="1222"/>
      <c r="FH67" s="1222"/>
      <c r="FI67" s="1222"/>
      <c r="FJ67" s="1222"/>
      <c r="FK67" s="1222"/>
      <c r="FL67" s="1222"/>
      <c r="FM67" s="1222"/>
      <c r="FN67" s="1222"/>
      <c r="FO67" s="1222"/>
      <c r="FP67" s="1222"/>
      <c r="FQ67" s="1222"/>
      <c r="FR67" s="1222"/>
      <c r="FS67" s="1222"/>
      <c r="FT67" s="1222"/>
      <c r="FU67" s="1222"/>
      <c r="FV67" s="1222"/>
      <c r="FW67" s="1222"/>
      <c r="FX67" s="1222"/>
      <c r="FY67" s="1222"/>
      <c r="FZ67" s="1222"/>
      <c r="GA67" s="1222"/>
      <c r="GB67" s="1222"/>
      <c r="GC67" s="1222"/>
      <c r="GD67" s="1222"/>
      <c r="GE67" s="1222"/>
      <c r="GF67" s="1222"/>
      <c r="GG67" s="1222"/>
      <c r="GH67" s="1222"/>
      <c r="GI67" s="1222"/>
      <c r="GJ67" s="1222"/>
      <c r="GK67" s="1222"/>
      <c r="GL67" s="1222"/>
      <c r="GM67" s="1222"/>
      <c r="GN67" s="1222"/>
      <c r="GO67" s="1222"/>
      <c r="GP67" s="1222"/>
      <c r="GQ67" s="1222"/>
      <c r="GR67" s="1222"/>
      <c r="GS67" s="1222"/>
      <c r="GT67" s="1222"/>
      <c r="GU67" s="1222"/>
      <c r="GV67" s="1222"/>
      <c r="GW67" s="1222"/>
      <c r="GX67" s="1222"/>
      <c r="GY67" s="1222"/>
      <c r="GZ67" s="1222"/>
      <c r="HA67" s="1222"/>
      <c r="HB67" s="1222"/>
      <c r="HC67" s="1222"/>
      <c r="HD67" s="1222"/>
      <c r="HE67" s="1222"/>
      <c r="HF67" s="1222"/>
      <c r="HG67" s="1222"/>
      <c r="HH67" s="1222"/>
      <c r="HI67" s="1222"/>
      <c r="HJ67" s="1222"/>
      <c r="HK67" s="1222"/>
      <c r="HL67" s="1222"/>
      <c r="HM67" s="1222"/>
      <c r="HN67" s="1222"/>
    </row>
    <row r="68" spans="1:222" s="1238" customFormat="1" ht="21" customHeight="1">
      <c r="A68" s="1230" t="s">
        <v>732</v>
      </c>
      <c r="B68" s="1231"/>
      <c r="C68" s="1232"/>
      <c r="D68" s="1233"/>
      <c r="E68" s="1261">
        <f>E64+E66</f>
        <v>-16693.395640000006</v>
      </c>
      <c r="F68" s="1234"/>
      <c r="G68" s="1262">
        <v>48870</v>
      </c>
      <c r="H68" s="1236">
        <f>+E68-H79</f>
        <v>8139.5134799999978</v>
      </c>
      <c r="I68" s="1236" t="e">
        <f>+#REF!-I79</f>
        <v>#REF!</v>
      </c>
      <c r="J68" s="1236"/>
      <c r="K68" s="1236"/>
      <c r="L68" s="1236"/>
      <c r="M68" s="1236"/>
      <c r="N68" s="1236"/>
      <c r="O68" s="1236"/>
      <c r="P68" s="1236"/>
      <c r="Q68" s="1237"/>
      <c r="R68" s="1237"/>
      <c r="S68" s="1237"/>
      <c r="T68" s="1237"/>
      <c r="U68" s="1237"/>
      <c r="V68" s="1237"/>
      <c r="W68" s="1237"/>
      <c r="X68" s="1237"/>
      <c r="Y68" s="1237"/>
      <c r="Z68" s="1237"/>
      <c r="AA68" s="1237"/>
      <c r="AB68" s="1237"/>
      <c r="AC68" s="1237"/>
      <c r="AD68" s="1237"/>
      <c r="AE68" s="1237"/>
      <c r="AF68" s="1237"/>
      <c r="AG68" s="1237"/>
      <c r="AH68" s="1237"/>
      <c r="AI68" s="1237"/>
      <c r="AJ68" s="1237"/>
      <c r="AK68" s="1237"/>
      <c r="AL68" s="1237"/>
      <c r="AM68" s="1237"/>
      <c r="AN68" s="1237"/>
      <c r="AO68" s="1237"/>
      <c r="AP68" s="1237"/>
      <c r="AQ68" s="1237"/>
      <c r="AR68" s="1237"/>
      <c r="AS68" s="1237"/>
      <c r="AT68" s="1237"/>
      <c r="AU68" s="1237"/>
      <c r="AV68" s="1237"/>
      <c r="AW68" s="1237"/>
      <c r="AX68" s="1237"/>
      <c r="AY68" s="1237"/>
      <c r="AZ68" s="1237"/>
      <c r="BA68" s="1237"/>
      <c r="BB68" s="1237"/>
      <c r="BC68" s="1237"/>
      <c r="BD68" s="1237"/>
      <c r="BE68" s="1237"/>
      <c r="BF68" s="1237"/>
      <c r="BG68" s="1237"/>
      <c r="BH68" s="1237"/>
      <c r="BI68" s="1237"/>
      <c r="BJ68" s="1237"/>
      <c r="BK68" s="1237"/>
      <c r="BL68" s="1237"/>
      <c r="BM68" s="1237"/>
      <c r="BN68" s="1237"/>
      <c r="BO68" s="1237"/>
      <c r="BP68" s="1237"/>
      <c r="BQ68" s="1237"/>
      <c r="BR68" s="1237"/>
      <c r="BS68" s="1237"/>
      <c r="BT68" s="1237"/>
      <c r="BU68" s="1237"/>
      <c r="BV68" s="1237"/>
      <c r="BW68" s="1237"/>
      <c r="BX68" s="1237"/>
      <c r="BY68" s="1237"/>
      <c r="BZ68" s="1237"/>
      <c r="CA68" s="1237"/>
      <c r="CB68" s="1237"/>
      <c r="CC68" s="1237"/>
      <c r="CD68" s="1237"/>
      <c r="CE68" s="1237"/>
      <c r="CF68" s="1237"/>
      <c r="CG68" s="1237"/>
      <c r="CH68" s="1237"/>
      <c r="CI68" s="1237"/>
      <c r="CJ68" s="1237"/>
      <c r="CK68" s="1237"/>
      <c r="CL68" s="1237"/>
      <c r="CM68" s="1237"/>
      <c r="CN68" s="1237"/>
      <c r="CO68" s="1237"/>
      <c r="CP68" s="1237"/>
      <c r="CQ68" s="1237"/>
      <c r="CR68" s="1237"/>
      <c r="CS68" s="1237"/>
      <c r="CT68" s="1237"/>
      <c r="CU68" s="1237"/>
      <c r="CV68" s="1237"/>
      <c r="CW68" s="1237"/>
      <c r="CX68" s="1237"/>
      <c r="CY68" s="1237"/>
      <c r="CZ68" s="1237"/>
      <c r="DA68" s="1237"/>
      <c r="DB68" s="1237"/>
      <c r="DC68" s="1237"/>
      <c r="DD68" s="1237"/>
      <c r="DE68" s="1237"/>
      <c r="DF68" s="1237"/>
      <c r="DG68" s="1237"/>
      <c r="DH68" s="1237"/>
      <c r="DI68" s="1237"/>
      <c r="DJ68" s="1237"/>
      <c r="DK68" s="1237"/>
      <c r="DL68" s="1237"/>
      <c r="DM68" s="1237"/>
      <c r="DN68" s="1237"/>
      <c r="DO68" s="1237"/>
      <c r="DP68" s="1237"/>
      <c r="DQ68" s="1237"/>
      <c r="DR68" s="1237"/>
      <c r="DS68" s="1237"/>
      <c r="DT68" s="1237"/>
      <c r="DU68" s="1237"/>
      <c r="DV68" s="1237"/>
      <c r="DW68" s="1237"/>
      <c r="DX68" s="1237"/>
      <c r="DY68" s="1237"/>
      <c r="DZ68" s="1237"/>
      <c r="EA68" s="1237"/>
      <c r="EB68" s="1237"/>
      <c r="EC68" s="1237"/>
      <c r="ED68" s="1237"/>
      <c r="EE68" s="1237"/>
      <c r="EF68" s="1237"/>
      <c r="EG68" s="1237"/>
      <c r="EH68" s="1237"/>
      <c r="EI68" s="1237"/>
      <c r="EJ68" s="1237"/>
      <c r="EK68" s="1237"/>
      <c r="EL68" s="1237"/>
      <c r="EM68" s="1237"/>
      <c r="EN68" s="1237"/>
      <c r="EO68" s="1237"/>
      <c r="EP68" s="1237"/>
      <c r="EQ68" s="1237"/>
      <c r="ER68" s="1237"/>
      <c r="ES68" s="1237"/>
      <c r="ET68" s="1237"/>
      <c r="EU68" s="1237"/>
      <c r="EV68" s="1237"/>
      <c r="EW68" s="1237"/>
      <c r="EX68" s="1237"/>
      <c r="EY68" s="1237"/>
      <c r="EZ68" s="1237"/>
      <c r="FA68" s="1237"/>
      <c r="FB68" s="1237"/>
      <c r="FC68" s="1237"/>
      <c r="FD68" s="1237"/>
      <c r="FE68" s="1237"/>
      <c r="FF68" s="1237"/>
      <c r="FG68" s="1237"/>
      <c r="FH68" s="1237"/>
      <c r="FI68" s="1237"/>
      <c r="FJ68" s="1237"/>
      <c r="FK68" s="1237"/>
      <c r="FL68" s="1237"/>
      <c r="FM68" s="1237"/>
      <c r="FN68" s="1237"/>
      <c r="FO68" s="1237"/>
      <c r="FP68" s="1237"/>
      <c r="FQ68" s="1237"/>
      <c r="FR68" s="1237"/>
      <c r="FS68" s="1237"/>
      <c r="FT68" s="1237"/>
      <c r="FU68" s="1237"/>
      <c r="FV68" s="1237"/>
      <c r="FW68" s="1237"/>
      <c r="FX68" s="1237"/>
      <c r="FY68" s="1237"/>
      <c r="FZ68" s="1237"/>
      <c r="GA68" s="1237"/>
      <c r="GB68" s="1237"/>
      <c r="GC68" s="1237"/>
      <c r="GD68" s="1237"/>
      <c r="GE68" s="1237"/>
      <c r="GF68" s="1237"/>
      <c r="GG68" s="1237"/>
      <c r="GH68" s="1237"/>
      <c r="GI68" s="1237"/>
      <c r="GJ68" s="1237"/>
      <c r="GK68" s="1237"/>
      <c r="GL68" s="1237"/>
      <c r="GM68" s="1237"/>
      <c r="GN68" s="1237"/>
      <c r="GO68" s="1237"/>
      <c r="GP68" s="1237"/>
      <c r="GQ68" s="1237"/>
      <c r="GR68" s="1237"/>
      <c r="GS68" s="1237"/>
      <c r="GT68" s="1237"/>
      <c r="GU68" s="1237"/>
      <c r="GV68" s="1237"/>
      <c r="GW68" s="1237"/>
      <c r="GX68" s="1237"/>
      <c r="GY68" s="1237"/>
      <c r="GZ68" s="1237"/>
      <c r="HA68" s="1237"/>
      <c r="HB68" s="1237"/>
      <c r="HC68" s="1237"/>
      <c r="HD68" s="1237"/>
      <c r="HE68" s="1237"/>
      <c r="HF68" s="1237"/>
      <c r="HG68" s="1237"/>
      <c r="HH68" s="1237"/>
      <c r="HI68" s="1237"/>
      <c r="HJ68" s="1237"/>
      <c r="HK68" s="1237"/>
      <c r="HL68" s="1237"/>
      <c r="HM68" s="1237"/>
      <c r="HN68" s="1237"/>
    </row>
    <row r="69" spans="1:222" s="1238" customFormat="1" ht="6.75" customHeight="1">
      <c r="A69" s="1230"/>
      <c r="B69" s="1231"/>
      <c r="C69" s="1232"/>
      <c r="D69" s="1233"/>
      <c r="E69" s="1234"/>
      <c r="F69" s="1234"/>
      <c r="G69" s="1259"/>
      <c r="H69" s="1236"/>
      <c r="I69" s="1236"/>
      <c r="J69" s="1236"/>
      <c r="K69" s="1236"/>
      <c r="L69" s="1236"/>
      <c r="M69" s="1236"/>
      <c r="N69" s="1236"/>
      <c r="O69" s="1236"/>
      <c r="P69" s="1236"/>
      <c r="Q69" s="1237"/>
      <c r="R69" s="1237"/>
      <c r="S69" s="1237"/>
      <c r="T69" s="1237"/>
      <c r="U69" s="1237"/>
      <c r="V69" s="1237"/>
      <c r="W69" s="1237"/>
      <c r="X69" s="1237"/>
      <c r="Y69" s="1237"/>
      <c r="Z69" s="1237"/>
      <c r="AA69" s="1237"/>
      <c r="AB69" s="1237"/>
      <c r="AC69" s="1237"/>
      <c r="AD69" s="1237"/>
      <c r="AE69" s="1237"/>
      <c r="AF69" s="1237"/>
      <c r="AG69" s="1237"/>
      <c r="AH69" s="1237"/>
      <c r="AI69" s="1237"/>
      <c r="AJ69" s="1237"/>
      <c r="AK69" s="1237"/>
      <c r="AL69" s="1237"/>
      <c r="AM69" s="1237"/>
      <c r="AN69" s="1237"/>
      <c r="AO69" s="1237"/>
      <c r="AP69" s="1237"/>
      <c r="AQ69" s="1237"/>
      <c r="AR69" s="1237"/>
      <c r="AS69" s="1237"/>
      <c r="AT69" s="1237"/>
      <c r="AU69" s="1237"/>
      <c r="AV69" s="1237"/>
      <c r="AW69" s="1237"/>
      <c r="AX69" s="1237"/>
      <c r="AY69" s="1237"/>
      <c r="AZ69" s="1237"/>
      <c r="BA69" s="1237"/>
      <c r="BB69" s="1237"/>
      <c r="BC69" s="1237"/>
      <c r="BD69" s="1237"/>
      <c r="BE69" s="1237"/>
      <c r="BF69" s="1237"/>
      <c r="BG69" s="1237"/>
      <c r="BH69" s="1237"/>
      <c r="BI69" s="1237"/>
      <c r="BJ69" s="1237"/>
      <c r="BK69" s="1237"/>
      <c r="BL69" s="1237"/>
      <c r="BM69" s="1237"/>
      <c r="BN69" s="1237"/>
      <c r="BO69" s="1237"/>
      <c r="BP69" s="1237"/>
      <c r="BQ69" s="1237"/>
      <c r="BR69" s="1237"/>
      <c r="BS69" s="1237"/>
      <c r="BT69" s="1237"/>
      <c r="BU69" s="1237"/>
      <c r="BV69" s="1237"/>
      <c r="BW69" s="1237"/>
      <c r="BX69" s="1237"/>
      <c r="BY69" s="1237"/>
      <c r="BZ69" s="1237"/>
      <c r="CA69" s="1237"/>
      <c r="CB69" s="1237"/>
      <c r="CC69" s="1237"/>
      <c r="CD69" s="1237"/>
      <c r="CE69" s="1237"/>
      <c r="CF69" s="1237"/>
      <c r="CG69" s="1237"/>
      <c r="CH69" s="1237"/>
      <c r="CI69" s="1237"/>
      <c r="CJ69" s="1237"/>
      <c r="CK69" s="1237"/>
      <c r="CL69" s="1237"/>
      <c r="CM69" s="1237"/>
      <c r="CN69" s="1237"/>
      <c r="CO69" s="1237"/>
      <c r="CP69" s="1237"/>
      <c r="CQ69" s="1237"/>
      <c r="CR69" s="1237"/>
      <c r="CS69" s="1237"/>
      <c r="CT69" s="1237"/>
      <c r="CU69" s="1237"/>
      <c r="CV69" s="1237"/>
      <c r="CW69" s="1237"/>
      <c r="CX69" s="1237"/>
      <c r="CY69" s="1237"/>
      <c r="CZ69" s="1237"/>
      <c r="DA69" s="1237"/>
      <c r="DB69" s="1237"/>
      <c r="DC69" s="1237"/>
      <c r="DD69" s="1237"/>
      <c r="DE69" s="1237"/>
      <c r="DF69" s="1237"/>
      <c r="DG69" s="1237"/>
      <c r="DH69" s="1237"/>
      <c r="DI69" s="1237"/>
      <c r="DJ69" s="1237"/>
      <c r="DK69" s="1237"/>
      <c r="DL69" s="1237"/>
      <c r="DM69" s="1237"/>
      <c r="DN69" s="1237"/>
      <c r="DO69" s="1237"/>
      <c r="DP69" s="1237"/>
      <c r="DQ69" s="1237"/>
      <c r="DR69" s="1237"/>
      <c r="DS69" s="1237"/>
      <c r="DT69" s="1237"/>
      <c r="DU69" s="1237"/>
      <c r="DV69" s="1237"/>
      <c r="DW69" s="1237"/>
      <c r="DX69" s="1237"/>
      <c r="DY69" s="1237"/>
      <c r="DZ69" s="1237"/>
      <c r="EA69" s="1237"/>
      <c r="EB69" s="1237"/>
      <c r="EC69" s="1237"/>
      <c r="ED69" s="1237"/>
      <c r="EE69" s="1237"/>
      <c r="EF69" s="1237"/>
      <c r="EG69" s="1237"/>
      <c r="EH69" s="1237"/>
      <c r="EI69" s="1237"/>
      <c r="EJ69" s="1237"/>
      <c r="EK69" s="1237"/>
      <c r="EL69" s="1237"/>
      <c r="EM69" s="1237"/>
      <c r="EN69" s="1237"/>
      <c r="EO69" s="1237"/>
      <c r="EP69" s="1237"/>
      <c r="EQ69" s="1237"/>
      <c r="ER69" s="1237"/>
      <c r="ES69" s="1237"/>
      <c r="ET69" s="1237"/>
      <c r="EU69" s="1237"/>
      <c r="EV69" s="1237"/>
      <c r="EW69" s="1237"/>
      <c r="EX69" s="1237"/>
      <c r="EY69" s="1237"/>
      <c r="EZ69" s="1237"/>
      <c r="FA69" s="1237"/>
      <c r="FB69" s="1237"/>
      <c r="FC69" s="1237"/>
      <c r="FD69" s="1237"/>
      <c r="FE69" s="1237"/>
      <c r="FF69" s="1237"/>
      <c r="FG69" s="1237"/>
      <c r="FH69" s="1237"/>
      <c r="FI69" s="1237"/>
      <c r="FJ69" s="1237"/>
      <c r="FK69" s="1237"/>
      <c r="FL69" s="1237"/>
      <c r="FM69" s="1237"/>
      <c r="FN69" s="1237"/>
      <c r="FO69" s="1237"/>
      <c r="FP69" s="1237"/>
      <c r="FQ69" s="1237"/>
      <c r="FR69" s="1237"/>
      <c r="FS69" s="1237"/>
      <c r="FT69" s="1237"/>
      <c r="FU69" s="1237"/>
      <c r="FV69" s="1237"/>
      <c r="FW69" s="1237"/>
      <c r="FX69" s="1237"/>
      <c r="FY69" s="1237"/>
      <c r="FZ69" s="1237"/>
      <c r="GA69" s="1237"/>
      <c r="GB69" s="1237"/>
      <c r="GC69" s="1237"/>
      <c r="GD69" s="1237"/>
      <c r="GE69" s="1237"/>
      <c r="GF69" s="1237"/>
      <c r="GG69" s="1237"/>
      <c r="GH69" s="1237"/>
      <c r="GI69" s="1237"/>
      <c r="GJ69" s="1237"/>
      <c r="GK69" s="1237"/>
      <c r="GL69" s="1237"/>
      <c r="GM69" s="1237"/>
      <c r="GN69" s="1237"/>
      <c r="GO69" s="1237"/>
      <c r="GP69" s="1237"/>
      <c r="GQ69" s="1237"/>
      <c r="GR69" s="1237"/>
      <c r="GS69" s="1237"/>
      <c r="GT69" s="1237"/>
      <c r="GU69" s="1237"/>
      <c r="GV69" s="1237"/>
      <c r="GW69" s="1237"/>
      <c r="GX69" s="1237"/>
      <c r="GY69" s="1237"/>
      <c r="GZ69" s="1237"/>
      <c r="HA69" s="1237"/>
      <c r="HB69" s="1237"/>
      <c r="HC69" s="1237"/>
      <c r="HD69" s="1237"/>
      <c r="HE69" s="1237"/>
      <c r="HF69" s="1237"/>
      <c r="HG69" s="1237"/>
      <c r="HH69" s="1237"/>
      <c r="HI69" s="1237"/>
      <c r="HJ69" s="1237"/>
      <c r="HK69" s="1237"/>
      <c r="HL69" s="1237"/>
      <c r="HM69" s="1237"/>
      <c r="HN69" s="1237"/>
    </row>
    <row r="70" spans="1:222" s="1238" customFormat="1" ht="21" customHeight="1">
      <c r="A70" s="1260" t="s">
        <v>527</v>
      </c>
      <c r="B70" s="1231"/>
      <c r="C70" s="1232"/>
      <c r="D70" s="1233"/>
      <c r="E70" s="1234">
        <v>0</v>
      </c>
      <c r="F70" s="1234"/>
      <c r="G70" s="1259">
        <v>0</v>
      </c>
      <c r="H70" s="1236"/>
      <c r="I70" s="1236"/>
      <c r="J70" s="1236"/>
      <c r="K70" s="1236"/>
      <c r="L70" s="1236"/>
      <c r="M70" s="1236"/>
      <c r="N70" s="1236"/>
      <c r="O70" s="1236"/>
      <c r="P70" s="1236"/>
      <c r="Q70" s="1237"/>
      <c r="R70" s="1237"/>
      <c r="S70" s="1237"/>
      <c r="T70" s="1237"/>
      <c r="U70" s="1237"/>
      <c r="V70" s="1237"/>
      <c r="W70" s="1237"/>
      <c r="X70" s="1237"/>
      <c r="Y70" s="1237"/>
      <c r="Z70" s="1237"/>
      <c r="AA70" s="1237"/>
      <c r="AB70" s="1237"/>
      <c r="AC70" s="1237"/>
      <c r="AD70" s="1237"/>
      <c r="AE70" s="1237"/>
      <c r="AF70" s="1237"/>
      <c r="AG70" s="1237"/>
      <c r="AH70" s="1237"/>
      <c r="AI70" s="1237"/>
      <c r="AJ70" s="1237"/>
      <c r="AK70" s="1237"/>
      <c r="AL70" s="1237"/>
      <c r="AM70" s="1237"/>
      <c r="AN70" s="1237"/>
      <c r="AO70" s="1237"/>
      <c r="AP70" s="1237"/>
      <c r="AQ70" s="1237"/>
      <c r="AR70" s="1237"/>
      <c r="AS70" s="1237"/>
      <c r="AT70" s="1237"/>
      <c r="AU70" s="1237"/>
      <c r="AV70" s="1237"/>
      <c r="AW70" s="1237"/>
      <c r="AX70" s="1237"/>
      <c r="AY70" s="1237"/>
      <c r="AZ70" s="1237"/>
      <c r="BA70" s="1237"/>
      <c r="BB70" s="1237"/>
      <c r="BC70" s="1237"/>
      <c r="BD70" s="1237"/>
      <c r="BE70" s="1237"/>
      <c r="BF70" s="1237"/>
      <c r="BG70" s="1237"/>
      <c r="BH70" s="1237"/>
      <c r="BI70" s="1237"/>
      <c r="BJ70" s="1237"/>
      <c r="BK70" s="1237"/>
      <c r="BL70" s="1237"/>
      <c r="BM70" s="1237"/>
      <c r="BN70" s="1237"/>
      <c r="BO70" s="1237"/>
      <c r="BP70" s="1237"/>
      <c r="BQ70" s="1237"/>
      <c r="BR70" s="1237"/>
      <c r="BS70" s="1237"/>
      <c r="BT70" s="1237"/>
      <c r="BU70" s="1237"/>
      <c r="BV70" s="1237"/>
      <c r="BW70" s="1237"/>
      <c r="BX70" s="1237"/>
      <c r="BY70" s="1237"/>
      <c r="BZ70" s="1237"/>
      <c r="CA70" s="1237"/>
      <c r="CB70" s="1237"/>
      <c r="CC70" s="1237"/>
      <c r="CD70" s="1237"/>
      <c r="CE70" s="1237"/>
      <c r="CF70" s="1237"/>
      <c r="CG70" s="1237"/>
      <c r="CH70" s="1237"/>
      <c r="CI70" s="1237"/>
      <c r="CJ70" s="1237"/>
      <c r="CK70" s="1237"/>
      <c r="CL70" s="1237"/>
      <c r="CM70" s="1237"/>
      <c r="CN70" s="1237"/>
      <c r="CO70" s="1237"/>
      <c r="CP70" s="1237"/>
      <c r="CQ70" s="1237"/>
      <c r="CR70" s="1237"/>
      <c r="CS70" s="1237"/>
      <c r="CT70" s="1237"/>
      <c r="CU70" s="1237"/>
      <c r="CV70" s="1237"/>
      <c r="CW70" s="1237"/>
      <c r="CX70" s="1237"/>
      <c r="CY70" s="1237"/>
      <c r="CZ70" s="1237"/>
      <c r="DA70" s="1237"/>
      <c r="DB70" s="1237"/>
      <c r="DC70" s="1237"/>
      <c r="DD70" s="1237"/>
      <c r="DE70" s="1237"/>
      <c r="DF70" s="1237"/>
      <c r="DG70" s="1237"/>
      <c r="DH70" s="1237"/>
      <c r="DI70" s="1237"/>
      <c r="DJ70" s="1237"/>
      <c r="DK70" s="1237"/>
      <c r="DL70" s="1237"/>
      <c r="DM70" s="1237"/>
      <c r="DN70" s="1237"/>
      <c r="DO70" s="1237"/>
      <c r="DP70" s="1237"/>
      <c r="DQ70" s="1237"/>
      <c r="DR70" s="1237"/>
      <c r="DS70" s="1237"/>
      <c r="DT70" s="1237"/>
      <c r="DU70" s="1237"/>
      <c r="DV70" s="1237"/>
      <c r="DW70" s="1237"/>
      <c r="DX70" s="1237"/>
      <c r="DY70" s="1237"/>
      <c r="DZ70" s="1237"/>
      <c r="EA70" s="1237"/>
      <c r="EB70" s="1237"/>
      <c r="EC70" s="1237"/>
      <c r="ED70" s="1237"/>
      <c r="EE70" s="1237"/>
      <c r="EF70" s="1237"/>
      <c r="EG70" s="1237"/>
      <c r="EH70" s="1237"/>
      <c r="EI70" s="1237"/>
      <c r="EJ70" s="1237"/>
      <c r="EK70" s="1237"/>
      <c r="EL70" s="1237"/>
      <c r="EM70" s="1237"/>
      <c r="EN70" s="1237"/>
      <c r="EO70" s="1237"/>
      <c r="EP70" s="1237"/>
      <c r="EQ70" s="1237"/>
      <c r="ER70" s="1237"/>
      <c r="ES70" s="1237"/>
      <c r="ET70" s="1237"/>
      <c r="EU70" s="1237"/>
      <c r="EV70" s="1237"/>
      <c r="EW70" s="1237"/>
      <c r="EX70" s="1237"/>
      <c r="EY70" s="1237"/>
      <c r="EZ70" s="1237"/>
      <c r="FA70" s="1237"/>
      <c r="FB70" s="1237"/>
      <c r="FC70" s="1237"/>
      <c r="FD70" s="1237"/>
      <c r="FE70" s="1237"/>
      <c r="FF70" s="1237"/>
      <c r="FG70" s="1237"/>
      <c r="FH70" s="1237"/>
      <c r="FI70" s="1237"/>
      <c r="FJ70" s="1237"/>
      <c r="FK70" s="1237"/>
      <c r="FL70" s="1237"/>
      <c r="FM70" s="1237"/>
      <c r="FN70" s="1237"/>
      <c r="FO70" s="1237"/>
      <c r="FP70" s="1237"/>
      <c r="FQ70" s="1237"/>
      <c r="FR70" s="1237"/>
      <c r="FS70" s="1237"/>
      <c r="FT70" s="1237"/>
      <c r="FU70" s="1237"/>
      <c r="FV70" s="1237"/>
      <c r="FW70" s="1237"/>
      <c r="FX70" s="1237"/>
      <c r="FY70" s="1237"/>
      <c r="FZ70" s="1237"/>
      <c r="GA70" s="1237"/>
      <c r="GB70" s="1237"/>
      <c r="GC70" s="1237"/>
      <c r="GD70" s="1237"/>
      <c r="GE70" s="1237"/>
      <c r="GF70" s="1237"/>
      <c r="GG70" s="1237"/>
      <c r="GH70" s="1237"/>
      <c r="GI70" s="1237"/>
      <c r="GJ70" s="1237"/>
      <c r="GK70" s="1237"/>
      <c r="GL70" s="1237"/>
      <c r="GM70" s="1237"/>
      <c r="GN70" s="1237"/>
      <c r="GO70" s="1237"/>
      <c r="GP70" s="1237"/>
      <c r="GQ70" s="1237"/>
      <c r="GR70" s="1237"/>
      <c r="GS70" s="1237"/>
      <c r="GT70" s="1237"/>
      <c r="GU70" s="1237"/>
      <c r="GV70" s="1237"/>
      <c r="GW70" s="1237"/>
      <c r="GX70" s="1237"/>
      <c r="GY70" s="1237"/>
      <c r="GZ70" s="1237"/>
      <c r="HA70" s="1237"/>
      <c r="HB70" s="1237"/>
      <c r="HC70" s="1237"/>
      <c r="HD70" s="1237"/>
      <c r="HE70" s="1237"/>
      <c r="HF70" s="1237"/>
      <c r="HG70" s="1237"/>
      <c r="HH70" s="1237"/>
      <c r="HI70" s="1237"/>
      <c r="HJ70" s="1237"/>
      <c r="HK70" s="1237"/>
      <c r="HL70" s="1237"/>
      <c r="HM70" s="1237"/>
      <c r="HN70" s="1237"/>
    </row>
    <row r="71" spans="1:222" s="1238" customFormat="1" ht="9" customHeight="1">
      <c r="A71" s="1230"/>
      <c r="B71" s="1231"/>
      <c r="C71" s="1232"/>
      <c r="D71" s="1233"/>
      <c r="E71" s="1234"/>
      <c r="F71" s="1234"/>
      <c r="G71" s="1259"/>
      <c r="H71" s="1236"/>
      <c r="I71" s="1236"/>
      <c r="J71" s="1236"/>
      <c r="K71" s="1236"/>
      <c r="L71" s="1236"/>
      <c r="M71" s="1236"/>
      <c r="N71" s="1236"/>
      <c r="O71" s="1236"/>
      <c r="P71" s="1236"/>
      <c r="Q71" s="1237"/>
      <c r="R71" s="1237"/>
      <c r="S71" s="1237"/>
      <c r="T71" s="1237"/>
      <c r="U71" s="1237"/>
      <c r="V71" s="1237"/>
      <c r="W71" s="1237"/>
      <c r="X71" s="1237"/>
      <c r="Y71" s="1237"/>
      <c r="Z71" s="1237"/>
      <c r="AA71" s="1237"/>
      <c r="AB71" s="1237"/>
      <c r="AC71" s="1237"/>
      <c r="AD71" s="1237"/>
      <c r="AE71" s="1237"/>
      <c r="AF71" s="1237"/>
      <c r="AG71" s="1237"/>
      <c r="AH71" s="1237"/>
      <c r="AI71" s="1237"/>
      <c r="AJ71" s="1237"/>
      <c r="AK71" s="1237"/>
      <c r="AL71" s="1237"/>
      <c r="AM71" s="1237"/>
      <c r="AN71" s="1237"/>
      <c r="AO71" s="1237"/>
      <c r="AP71" s="1237"/>
      <c r="AQ71" s="1237"/>
      <c r="AR71" s="1237"/>
      <c r="AS71" s="1237"/>
      <c r="AT71" s="1237"/>
      <c r="AU71" s="1237"/>
      <c r="AV71" s="1237"/>
      <c r="AW71" s="1237"/>
      <c r="AX71" s="1237"/>
      <c r="AY71" s="1237"/>
      <c r="AZ71" s="1237"/>
      <c r="BA71" s="1237"/>
      <c r="BB71" s="1237"/>
      <c r="BC71" s="1237"/>
      <c r="BD71" s="1237"/>
      <c r="BE71" s="1237"/>
      <c r="BF71" s="1237"/>
      <c r="BG71" s="1237"/>
      <c r="BH71" s="1237"/>
      <c r="BI71" s="1237"/>
      <c r="BJ71" s="1237"/>
      <c r="BK71" s="1237"/>
      <c r="BL71" s="1237"/>
      <c r="BM71" s="1237"/>
      <c r="BN71" s="1237"/>
      <c r="BO71" s="1237"/>
      <c r="BP71" s="1237"/>
      <c r="BQ71" s="1237"/>
      <c r="BR71" s="1237"/>
      <c r="BS71" s="1237"/>
      <c r="BT71" s="1237"/>
      <c r="BU71" s="1237"/>
      <c r="BV71" s="1237"/>
      <c r="BW71" s="1237"/>
      <c r="BX71" s="1237"/>
      <c r="BY71" s="1237"/>
      <c r="BZ71" s="1237"/>
      <c r="CA71" s="1237"/>
      <c r="CB71" s="1237"/>
      <c r="CC71" s="1237"/>
      <c r="CD71" s="1237"/>
      <c r="CE71" s="1237"/>
      <c r="CF71" s="1237"/>
      <c r="CG71" s="1237"/>
      <c r="CH71" s="1237"/>
      <c r="CI71" s="1237"/>
      <c r="CJ71" s="1237"/>
      <c r="CK71" s="1237"/>
      <c r="CL71" s="1237"/>
      <c r="CM71" s="1237"/>
      <c r="CN71" s="1237"/>
      <c r="CO71" s="1237"/>
      <c r="CP71" s="1237"/>
      <c r="CQ71" s="1237"/>
      <c r="CR71" s="1237"/>
      <c r="CS71" s="1237"/>
      <c r="CT71" s="1237"/>
      <c r="CU71" s="1237"/>
      <c r="CV71" s="1237"/>
      <c r="CW71" s="1237"/>
      <c r="CX71" s="1237"/>
      <c r="CY71" s="1237"/>
      <c r="CZ71" s="1237"/>
      <c r="DA71" s="1237"/>
      <c r="DB71" s="1237"/>
      <c r="DC71" s="1237"/>
      <c r="DD71" s="1237"/>
      <c r="DE71" s="1237"/>
      <c r="DF71" s="1237"/>
      <c r="DG71" s="1237"/>
      <c r="DH71" s="1237"/>
      <c r="DI71" s="1237"/>
      <c r="DJ71" s="1237"/>
      <c r="DK71" s="1237"/>
      <c r="DL71" s="1237"/>
      <c r="DM71" s="1237"/>
      <c r="DN71" s="1237"/>
      <c r="DO71" s="1237"/>
      <c r="DP71" s="1237"/>
      <c r="DQ71" s="1237"/>
      <c r="DR71" s="1237"/>
      <c r="DS71" s="1237"/>
      <c r="DT71" s="1237"/>
      <c r="DU71" s="1237"/>
      <c r="DV71" s="1237"/>
      <c r="DW71" s="1237"/>
      <c r="DX71" s="1237"/>
      <c r="DY71" s="1237"/>
      <c r="DZ71" s="1237"/>
      <c r="EA71" s="1237"/>
      <c r="EB71" s="1237"/>
      <c r="EC71" s="1237"/>
      <c r="ED71" s="1237"/>
      <c r="EE71" s="1237"/>
      <c r="EF71" s="1237"/>
      <c r="EG71" s="1237"/>
      <c r="EH71" s="1237"/>
      <c r="EI71" s="1237"/>
      <c r="EJ71" s="1237"/>
      <c r="EK71" s="1237"/>
      <c r="EL71" s="1237"/>
      <c r="EM71" s="1237"/>
      <c r="EN71" s="1237"/>
      <c r="EO71" s="1237"/>
      <c r="EP71" s="1237"/>
      <c r="EQ71" s="1237"/>
      <c r="ER71" s="1237"/>
      <c r="ES71" s="1237"/>
      <c r="ET71" s="1237"/>
      <c r="EU71" s="1237"/>
      <c r="EV71" s="1237"/>
      <c r="EW71" s="1237"/>
      <c r="EX71" s="1237"/>
      <c r="EY71" s="1237"/>
      <c r="EZ71" s="1237"/>
      <c r="FA71" s="1237"/>
      <c r="FB71" s="1237"/>
      <c r="FC71" s="1237"/>
      <c r="FD71" s="1237"/>
      <c r="FE71" s="1237"/>
      <c r="FF71" s="1237"/>
      <c r="FG71" s="1237"/>
      <c r="FH71" s="1237"/>
      <c r="FI71" s="1237"/>
      <c r="FJ71" s="1237"/>
      <c r="FK71" s="1237"/>
      <c r="FL71" s="1237"/>
      <c r="FM71" s="1237"/>
      <c r="FN71" s="1237"/>
      <c r="FO71" s="1237"/>
      <c r="FP71" s="1237"/>
      <c r="FQ71" s="1237"/>
      <c r="FR71" s="1237"/>
      <c r="FS71" s="1237"/>
      <c r="FT71" s="1237"/>
      <c r="FU71" s="1237"/>
      <c r="FV71" s="1237"/>
      <c r="FW71" s="1237"/>
      <c r="FX71" s="1237"/>
      <c r="FY71" s="1237"/>
      <c r="FZ71" s="1237"/>
      <c r="GA71" s="1237"/>
      <c r="GB71" s="1237"/>
      <c r="GC71" s="1237"/>
      <c r="GD71" s="1237"/>
      <c r="GE71" s="1237"/>
      <c r="GF71" s="1237"/>
      <c r="GG71" s="1237"/>
      <c r="GH71" s="1237"/>
      <c r="GI71" s="1237"/>
      <c r="GJ71" s="1237"/>
      <c r="GK71" s="1237"/>
      <c r="GL71" s="1237"/>
      <c r="GM71" s="1237"/>
      <c r="GN71" s="1237"/>
      <c r="GO71" s="1237"/>
      <c r="GP71" s="1237"/>
      <c r="GQ71" s="1237"/>
      <c r="GR71" s="1237"/>
      <c r="GS71" s="1237"/>
      <c r="GT71" s="1237"/>
      <c r="GU71" s="1237"/>
      <c r="GV71" s="1237"/>
      <c r="GW71" s="1237"/>
      <c r="GX71" s="1237"/>
      <c r="GY71" s="1237"/>
      <c r="GZ71" s="1237"/>
      <c r="HA71" s="1237"/>
      <c r="HB71" s="1237"/>
      <c r="HC71" s="1237"/>
      <c r="HD71" s="1237"/>
      <c r="HE71" s="1237"/>
      <c r="HF71" s="1237"/>
      <c r="HG71" s="1237"/>
      <c r="HH71" s="1237"/>
      <c r="HI71" s="1237"/>
      <c r="HJ71" s="1237"/>
      <c r="HK71" s="1237"/>
      <c r="HL71" s="1237"/>
      <c r="HM71" s="1237"/>
      <c r="HN71" s="1237"/>
    </row>
    <row r="72" spans="1:222" s="1238" customFormat="1" ht="21" customHeight="1" thickBot="1">
      <c r="A72" s="1230" t="s">
        <v>753</v>
      </c>
      <c r="B72" s="1231"/>
      <c r="C72" s="1232"/>
      <c r="D72" s="1233"/>
      <c r="E72" s="1270">
        <f>+E66+E64</f>
        <v>-16693.395640000006</v>
      </c>
      <c r="F72" s="1271"/>
      <c r="G72" s="1272">
        <f>+G66+G64</f>
        <v>48869.546249999905</v>
      </c>
      <c r="H72" s="1236"/>
      <c r="I72" s="1236"/>
      <c r="J72" s="1236"/>
      <c r="K72" s="1236"/>
      <c r="L72" s="1236"/>
      <c r="M72" s="1236"/>
      <c r="N72" s="1236"/>
      <c r="O72" s="1236"/>
      <c r="P72" s="1236"/>
      <c r="Q72" s="1237"/>
      <c r="R72" s="1237"/>
      <c r="S72" s="1237"/>
      <c r="T72" s="1237"/>
      <c r="U72" s="1237"/>
      <c r="V72" s="1237"/>
      <c r="W72" s="1237"/>
      <c r="X72" s="1237"/>
      <c r="Y72" s="1237"/>
      <c r="Z72" s="1237"/>
      <c r="AA72" s="1237"/>
      <c r="AB72" s="1237"/>
      <c r="AC72" s="1237"/>
      <c r="AD72" s="1237"/>
      <c r="AE72" s="1237"/>
      <c r="AF72" s="1237"/>
      <c r="AG72" s="1237"/>
      <c r="AH72" s="1237"/>
      <c r="AI72" s="1237"/>
      <c r="AJ72" s="1237"/>
      <c r="AK72" s="1237"/>
      <c r="AL72" s="1237"/>
      <c r="AM72" s="1237"/>
      <c r="AN72" s="1237"/>
      <c r="AO72" s="1237"/>
      <c r="AP72" s="1237"/>
      <c r="AQ72" s="1237"/>
      <c r="AR72" s="1237"/>
      <c r="AS72" s="1237"/>
      <c r="AT72" s="1237"/>
      <c r="AU72" s="1237"/>
      <c r="AV72" s="1237"/>
      <c r="AW72" s="1237"/>
      <c r="AX72" s="1237"/>
      <c r="AY72" s="1237"/>
      <c r="AZ72" s="1237"/>
      <c r="BA72" s="1237"/>
      <c r="BB72" s="1237"/>
      <c r="BC72" s="1237"/>
      <c r="BD72" s="1237"/>
      <c r="BE72" s="1237"/>
      <c r="BF72" s="1237"/>
      <c r="BG72" s="1237"/>
      <c r="BH72" s="1237"/>
      <c r="BI72" s="1237"/>
      <c r="BJ72" s="1237"/>
      <c r="BK72" s="1237"/>
      <c r="BL72" s="1237"/>
      <c r="BM72" s="1237"/>
      <c r="BN72" s="1237"/>
      <c r="BO72" s="1237"/>
      <c r="BP72" s="1237"/>
      <c r="BQ72" s="1237"/>
      <c r="BR72" s="1237"/>
      <c r="BS72" s="1237"/>
      <c r="BT72" s="1237"/>
      <c r="BU72" s="1237"/>
      <c r="BV72" s="1237"/>
      <c r="BW72" s="1237"/>
      <c r="BX72" s="1237"/>
      <c r="BY72" s="1237"/>
      <c r="BZ72" s="1237"/>
      <c r="CA72" s="1237"/>
      <c r="CB72" s="1237"/>
      <c r="CC72" s="1237"/>
      <c r="CD72" s="1237"/>
      <c r="CE72" s="1237"/>
      <c r="CF72" s="1237"/>
      <c r="CG72" s="1237"/>
      <c r="CH72" s="1237"/>
      <c r="CI72" s="1237"/>
      <c r="CJ72" s="1237"/>
      <c r="CK72" s="1237"/>
      <c r="CL72" s="1237"/>
      <c r="CM72" s="1237"/>
      <c r="CN72" s="1237"/>
      <c r="CO72" s="1237"/>
      <c r="CP72" s="1237"/>
      <c r="CQ72" s="1237"/>
      <c r="CR72" s="1237"/>
      <c r="CS72" s="1237"/>
      <c r="CT72" s="1237"/>
      <c r="CU72" s="1237"/>
      <c r="CV72" s="1237"/>
      <c r="CW72" s="1237"/>
      <c r="CX72" s="1237"/>
      <c r="CY72" s="1237"/>
      <c r="CZ72" s="1237"/>
      <c r="DA72" s="1237"/>
      <c r="DB72" s="1237"/>
      <c r="DC72" s="1237"/>
      <c r="DD72" s="1237"/>
      <c r="DE72" s="1237"/>
      <c r="DF72" s="1237"/>
      <c r="DG72" s="1237"/>
      <c r="DH72" s="1237"/>
      <c r="DI72" s="1237"/>
      <c r="DJ72" s="1237"/>
      <c r="DK72" s="1237"/>
      <c r="DL72" s="1237"/>
      <c r="DM72" s="1237"/>
      <c r="DN72" s="1237"/>
      <c r="DO72" s="1237"/>
      <c r="DP72" s="1237"/>
      <c r="DQ72" s="1237"/>
      <c r="DR72" s="1237"/>
      <c r="DS72" s="1237"/>
      <c r="DT72" s="1237"/>
      <c r="DU72" s="1237"/>
      <c r="DV72" s="1237"/>
      <c r="DW72" s="1237"/>
      <c r="DX72" s="1237"/>
      <c r="DY72" s="1237"/>
      <c r="DZ72" s="1237"/>
      <c r="EA72" s="1237"/>
      <c r="EB72" s="1237"/>
      <c r="EC72" s="1237"/>
      <c r="ED72" s="1237"/>
      <c r="EE72" s="1237"/>
      <c r="EF72" s="1237"/>
      <c r="EG72" s="1237"/>
      <c r="EH72" s="1237"/>
      <c r="EI72" s="1237"/>
      <c r="EJ72" s="1237"/>
      <c r="EK72" s="1237"/>
      <c r="EL72" s="1237"/>
      <c r="EM72" s="1237"/>
      <c r="EN72" s="1237"/>
      <c r="EO72" s="1237"/>
      <c r="EP72" s="1237"/>
      <c r="EQ72" s="1237"/>
      <c r="ER72" s="1237"/>
      <c r="ES72" s="1237"/>
      <c r="ET72" s="1237"/>
      <c r="EU72" s="1237"/>
      <c r="EV72" s="1237"/>
      <c r="EW72" s="1237"/>
      <c r="EX72" s="1237"/>
      <c r="EY72" s="1237"/>
      <c r="EZ72" s="1237"/>
      <c r="FA72" s="1237"/>
      <c r="FB72" s="1237"/>
      <c r="FC72" s="1237"/>
      <c r="FD72" s="1237"/>
      <c r="FE72" s="1237"/>
      <c r="FF72" s="1237"/>
      <c r="FG72" s="1237"/>
      <c r="FH72" s="1237"/>
      <c r="FI72" s="1237"/>
      <c r="FJ72" s="1237"/>
      <c r="FK72" s="1237"/>
      <c r="FL72" s="1237"/>
      <c r="FM72" s="1237"/>
      <c r="FN72" s="1237"/>
      <c r="FO72" s="1237"/>
      <c r="FP72" s="1237"/>
      <c r="FQ72" s="1237"/>
      <c r="FR72" s="1237"/>
      <c r="FS72" s="1237"/>
      <c r="FT72" s="1237"/>
      <c r="FU72" s="1237"/>
      <c r="FV72" s="1237"/>
      <c r="FW72" s="1237"/>
      <c r="FX72" s="1237"/>
      <c r="FY72" s="1237"/>
      <c r="FZ72" s="1237"/>
      <c r="GA72" s="1237"/>
      <c r="GB72" s="1237"/>
      <c r="GC72" s="1237"/>
      <c r="GD72" s="1237"/>
      <c r="GE72" s="1237"/>
      <c r="GF72" s="1237"/>
      <c r="GG72" s="1237"/>
      <c r="GH72" s="1237"/>
      <c r="GI72" s="1237"/>
      <c r="GJ72" s="1237"/>
      <c r="GK72" s="1237"/>
      <c r="GL72" s="1237"/>
      <c r="GM72" s="1237"/>
      <c r="GN72" s="1237"/>
      <c r="GO72" s="1237"/>
      <c r="GP72" s="1237"/>
      <c r="GQ72" s="1237"/>
      <c r="GR72" s="1237"/>
      <c r="GS72" s="1237"/>
      <c r="GT72" s="1237"/>
      <c r="GU72" s="1237"/>
      <c r="GV72" s="1237"/>
      <c r="GW72" s="1237"/>
      <c r="GX72" s="1237"/>
      <c r="GY72" s="1237"/>
      <c r="GZ72" s="1237"/>
      <c r="HA72" s="1237"/>
      <c r="HB72" s="1237"/>
      <c r="HC72" s="1237"/>
      <c r="HD72" s="1237"/>
      <c r="HE72" s="1237"/>
      <c r="HF72" s="1237"/>
      <c r="HG72" s="1237"/>
      <c r="HH72" s="1237"/>
      <c r="HI72" s="1237"/>
      <c r="HJ72" s="1237"/>
      <c r="HK72" s="1237"/>
      <c r="HL72" s="1237"/>
      <c r="HM72" s="1237"/>
      <c r="HN72" s="1237"/>
    </row>
    <row r="73" spans="1:222" s="1223" customFormat="1" ht="11.25" customHeight="1" thickTop="1">
      <c r="A73" s="1239"/>
      <c r="B73" s="1219"/>
      <c r="C73" s="1220"/>
      <c r="D73" s="1229"/>
      <c r="E73" s="1240"/>
      <c r="F73" s="1240"/>
      <c r="G73" s="1241"/>
      <c r="H73" s="1242"/>
      <c r="I73" s="1242"/>
      <c r="J73" s="1242"/>
      <c r="K73" s="1242"/>
      <c r="L73" s="1242"/>
      <c r="M73" s="1242"/>
      <c r="N73" s="1242"/>
      <c r="O73" s="1242"/>
      <c r="P73" s="1242"/>
      <c r="Q73" s="1222"/>
      <c r="R73" s="1222"/>
      <c r="S73" s="1222"/>
      <c r="T73" s="1222"/>
      <c r="U73" s="1222"/>
      <c r="V73" s="1222"/>
      <c r="W73" s="1222"/>
      <c r="X73" s="1222"/>
      <c r="Y73" s="1222"/>
      <c r="Z73" s="1222"/>
      <c r="AA73" s="1222"/>
      <c r="AB73" s="1222"/>
      <c r="AC73" s="1222"/>
      <c r="AD73" s="1222"/>
      <c r="AE73" s="1222"/>
      <c r="AF73" s="1222"/>
      <c r="AG73" s="1222"/>
      <c r="AH73" s="1222"/>
      <c r="AI73" s="1222"/>
      <c r="AJ73" s="1222"/>
      <c r="AK73" s="1222"/>
      <c r="AL73" s="1222"/>
      <c r="AM73" s="1222"/>
      <c r="AN73" s="1222"/>
      <c r="AO73" s="1222"/>
      <c r="AP73" s="1222"/>
      <c r="AQ73" s="1222"/>
      <c r="AR73" s="1222"/>
      <c r="AS73" s="1222"/>
      <c r="AT73" s="1222"/>
      <c r="AU73" s="1222"/>
      <c r="AV73" s="1222"/>
      <c r="AW73" s="1222"/>
      <c r="AX73" s="1222"/>
      <c r="AY73" s="1222"/>
      <c r="AZ73" s="1222"/>
      <c r="BA73" s="1222"/>
      <c r="BB73" s="1222"/>
      <c r="BC73" s="1222"/>
      <c r="BD73" s="1222"/>
      <c r="BE73" s="1222"/>
      <c r="BF73" s="1222"/>
      <c r="BG73" s="1222"/>
      <c r="BH73" s="1222"/>
      <c r="BI73" s="1222"/>
      <c r="BJ73" s="1222"/>
      <c r="BK73" s="1222"/>
      <c r="BL73" s="1222"/>
      <c r="BM73" s="1222"/>
      <c r="BN73" s="1222"/>
      <c r="BO73" s="1222"/>
      <c r="BP73" s="1222"/>
      <c r="BQ73" s="1222"/>
      <c r="BR73" s="1222"/>
      <c r="BS73" s="1222"/>
      <c r="BT73" s="1222"/>
      <c r="BU73" s="1222"/>
      <c r="BV73" s="1222"/>
      <c r="BW73" s="1222"/>
      <c r="BX73" s="1222"/>
      <c r="BY73" s="1222"/>
      <c r="BZ73" s="1222"/>
      <c r="CA73" s="1222"/>
      <c r="CB73" s="1222"/>
      <c r="CC73" s="1222"/>
      <c r="CD73" s="1222"/>
      <c r="CE73" s="1222"/>
      <c r="CF73" s="1222"/>
      <c r="CG73" s="1222"/>
      <c r="CH73" s="1222"/>
      <c r="CI73" s="1222"/>
      <c r="CJ73" s="1222"/>
      <c r="CK73" s="1222"/>
      <c r="CL73" s="1222"/>
      <c r="CM73" s="1222"/>
      <c r="CN73" s="1222"/>
      <c r="CO73" s="1222"/>
      <c r="CP73" s="1222"/>
      <c r="CQ73" s="1222"/>
      <c r="CR73" s="1222"/>
      <c r="CS73" s="1222"/>
      <c r="CT73" s="1222"/>
      <c r="CU73" s="1222"/>
      <c r="CV73" s="1222"/>
      <c r="CW73" s="1222"/>
      <c r="CX73" s="1222"/>
      <c r="CY73" s="1222"/>
      <c r="CZ73" s="1222"/>
      <c r="DA73" s="1222"/>
      <c r="DB73" s="1222"/>
      <c r="DC73" s="1222"/>
      <c r="DD73" s="1222"/>
      <c r="DE73" s="1222"/>
      <c r="DF73" s="1222"/>
      <c r="DG73" s="1222"/>
      <c r="DH73" s="1222"/>
      <c r="DI73" s="1222"/>
      <c r="DJ73" s="1222"/>
      <c r="DK73" s="1222"/>
      <c r="DL73" s="1222"/>
      <c r="DM73" s="1222"/>
      <c r="DN73" s="1222"/>
      <c r="DO73" s="1222"/>
      <c r="DP73" s="1222"/>
      <c r="DQ73" s="1222"/>
      <c r="DR73" s="1222"/>
      <c r="DS73" s="1222"/>
      <c r="DT73" s="1222"/>
      <c r="DU73" s="1222"/>
      <c r="DV73" s="1222"/>
      <c r="DW73" s="1222"/>
      <c r="DX73" s="1222"/>
      <c r="DY73" s="1222"/>
      <c r="DZ73" s="1222"/>
      <c r="EA73" s="1222"/>
      <c r="EB73" s="1222"/>
      <c r="EC73" s="1222"/>
      <c r="ED73" s="1222"/>
      <c r="EE73" s="1222"/>
      <c r="EF73" s="1222"/>
      <c r="EG73" s="1222"/>
      <c r="EH73" s="1222"/>
      <c r="EI73" s="1222"/>
      <c r="EJ73" s="1222"/>
      <c r="EK73" s="1222"/>
      <c r="EL73" s="1222"/>
      <c r="EM73" s="1222"/>
      <c r="EN73" s="1222"/>
      <c r="EO73" s="1222"/>
      <c r="EP73" s="1222"/>
      <c r="EQ73" s="1222"/>
      <c r="ER73" s="1222"/>
      <c r="ES73" s="1222"/>
      <c r="ET73" s="1222"/>
      <c r="EU73" s="1222"/>
      <c r="EV73" s="1222"/>
      <c r="EW73" s="1222"/>
      <c r="EX73" s="1222"/>
      <c r="EY73" s="1222"/>
      <c r="EZ73" s="1222"/>
      <c r="FA73" s="1222"/>
      <c r="FB73" s="1222"/>
      <c r="FC73" s="1222"/>
      <c r="FD73" s="1222"/>
      <c r="FE73" s="1222"/>
      <c r="FF73" s="1222"/>
      <c r="FG73" s="1222"/>
      <c r="FH73" s="1222"/>
      <c r="FI73" s="1222"/>
      <c r="FJ73" s="1222"/>
      <c r="FK73" s="1222"/>
      <c r="FL73" s="1222"/>
      <c r="FM73" s="1222"/>
      <c r="FN73" s="1222"/>
      <c r="FO73" s="1222"/>
      <c r="FP73" s="1222"/>
      <c r="FQ73" s="1222"/>
      <c r="FR73" s="1222"/>
      <c r="FS73" s="1222"/>
      <c r="FT73" s="1222"/>
      <c r="FU73" s="1222"/>
      <c r="FV73" s="1222"/>
      <c r="FW73" s="1222"/>
      <c r="FX73" s="1222"/>
      <c r="FY73" s="1222"/>
      <c r="FZ73" s="1222"/>
      <c r="GA73" s="1222"/>
      <c r="GB73" s="1222"/>
      <c r="GC73" s="1222"/>
      <c r="GD73" s="1222"/>
      <c r="GE73" s="1222"/>
      <c r="GF73" s="1222"/>
      <c r="GG73" s="1222"/>
      <c r="GH73" s="1222"/>
      <c r="GI73" s="1222"/>
      <c r="GJ73" s="1222"/>
      <c r="GK73" s="1222"/>
      <c r="GL73" s="1222"/>
      <c r="GM73" s="1222"/>
      <c r="GN73" s="1222"/>
      <c r="GO73" s="1222"/>
      <c r="GP73" s="1222"/>
      <c r="GQ73" s="1222"/>
      <c r="GR73" s="1222"/>
      <c r="GS73" s="1222"/>
      <c r="GT73" s="1222"/>
      <c r="GU73" s="1222"/>
      <c r="GV73" s="1222"/>
      <c r="GW73" s="1222"/>
      <c r="GX73" s="1222"/>
      <c r="GY73" s="1222"/>
      <c r="GZ73" s="1222"/>
      <c r="HA73" s="1222"/>
      <c r="HB73" s="1222"/>
      <c r="HC73" s="1222"/>
      <c r="HD73" s="1222"/>
      <c r="HE73" s="1222"/>
      <c r="HF73" s="1222"/>
      <c r="HG73" s="1222"/>
      <c r="HH73" s="1222"/>
      <c r="HI73" s="1222"/>
      <c r="HJ73" s="1222"/>
      <c r="HK73" s="1222"/>
      <c r="HL73" s="1222"/>
      <c r="HM73" s="1222"/>
      <c r="HN73" s="1222"/>
    </row>
    <row r="74" spans="1:222" s="1223" customFormat="1">
      <c r="A74" s="1243" t="s">
        <v>437</v>
      </c>
      <c r="B74" s="1219"/>
      <c r="C74" s="1220"/>
      <c r="D74" s="1229"/>
      <c r="E74" s="1240"/>
      <c r="F74" s="1240"/>
      <c r="G74" s="1241"/>
      <c r="H74" s="1242"/>
      <c r="I74" s="1242"/>
      <c r="J74" s="1242"/>
      <c r="K74" s="1242"/>
      <c r="L74" s="1242"/>
      <c r="M74" s="1242"/>
      <c r="N74" s="1242"/>
      <c r="O74" s="1242"/>
      <c r="P74" s="1242"/>
      <c r="Q74" s="1222"/>
      <c r="R74" s="1222"/>
      <c r="S74" s="1222"/>
      <c r="T74" s="1222"/>
      <c r="U74" s="1222"/>
      <c r="V74" s="1222"/>
      <c r="W74" s="1222"/>
      <c r="X74" s="1222"/>
      <c r="Y74" s="1222"/>
      <c r="Z74" s="1222"/>
      <c r="AA74" s="1222"/>
      <c r="AB74" s="1222"/>
      <c r="AC74" s="1222"/>
      <c r="AD74" s="1222"/>
      <c r="AE74" s="1222"/>
      <c r="AF74" s="1222"/>
      <c r="AG74" s="1222"/>
      <c r="AH74" s="1222"/>
      <c r="AI74" s="1222"/>
      <c r="AJ74" s="1222"/>
      <c r="AK74" s="1222"/>
      <c r="AL74" s="1222"/>
      <c r="AM74" s="1222"/>
      <c r="AN74" s="1222"/>
      <c r="AO74" s="1222"/>
      <c r="AP74" s="1222"/>
      <c r="AQ74" s="1222"/>
      <c r="AR74" s="1222"/>
      <c r="AS74" s="1222"/>
      <c r="AT74" s="1222"/>
      <c r="AU74" s="1222"/>
      <c r="AV74" s="1222"/>
      <c r="AW74" s="1222"/>
      <c r="AX74" s="1222"/>
      <c r="AY74" s="1222"/>
      <c r="AZ74" s="1222"/>
      <c r="BA74" s="1222"/>
      <c r="BB74" s="1222"/>
      <c r="BC74" s="1222"/>
      <c r="BD74" s="1222"/>
      <c r="BE74" s="1222"/>
      <c r="BF74" s="1222"/>
      <c r="BG74" s="1222"/>
      <c r="BH74" s="1222"/>
      <c r="BI74" s="1222"/>
      <c r="BJ74" s="1222"/>
      <c r="BK74" s="1222"/>
      <c r="BL74" s="1222"/>
      <c r="BM74" s="1222"/>
      <c r="BN74" s="1222"/>
      <c r="BO74" s="1222"/>
      <c r="BP74" s="1222"/>
      <c r="BQ74" s="1222"/>
      <c r="BR74" s="1222"/>
      <c r="BS74" s="1222"/>
      <c r="BT74" s="1222"/>
      <c r="BU74" s="1222"/>
      <c r="BV74" s="1222"/>
      <c r="BW74" s="1222"/>
      <c r="BX74" s="1222"/>
      <c r="BY74" s="1222"/>
      <c r="BZ74" s="1222"/>
      <c r="CA74" s="1222"/>
      <c r="CB74" s="1222"/>
      <c r="CC74" s="1222"/>
      <c r="CD74" s="1222"/>
      <c r="CE74" s="1222"/>
      <c r="CF74" s="1222"/>
      <c r="CG74" s="1222"/>
      <c r="CH74" s="1222"/>
      <c r="CI74" s="1222"/>
      <c r="CJ74" s="1222"/>
      <c r="CK74" s="1222"/>
      <c r="CL74" s="1222"/>
      <c r="CM74" s="1222"/>
      <c r="CN74" s="1222"/>
      <c r="CO74" s="1222"/>
      <c r="CP74" s="1222"/>
      <c r="CQ74" s="1222"/>
      <c r="CR74" s="1222"/>
      <c r="CS74" s="1222"/>
      <c r="CT74" s="1222"/>
      <c r="CU74" s="1222"/>
      <c r="CV74" s="1222"/>
      <c r="CW74" s="1222"/>
      <c r="CX74" s="1222"/>
      <c r="CY74" s="1222"/>
      <c r="CZ74" s="1222"/>
      <c r="DA74" s="1222"/>
      <c r="DB74" s="1222"/>
      <c r="DC74" s="1222"/>
      <c r="DD74" s="1222"/>
      <c r="DE74" s="1222"/>
      <c r="DF74" s="1222"/>
      <c r="DG74" s="1222"/>
      <c r="DH74" s="1222"/>
      <c r="DI74" s="1222"/>
      <c r="DJ74" s="1222"/>
      <c r="DK74" s="1222"/>
      <c r="DL74" s="1222"/>
      <c r="DM74" s="1222"/>
      <c r="DN74" s="1222"/>
      <c r="DO74" s="1222"/>
      <c r="DP74" s="1222"/>
      <c r="DQ74" s="1222"/>
      <c r="DR74" s="1222"/>
      <c r="DS74" s="1222"/>
      <c r="DT74" s="1222"/>
      <c r="DU74" s="1222"/>
      <c r="DV74" s="1222"/>
      <c r="DW74" s="1222"/>
      <c r="DX74" s="1222"/>
      <c r="DY74" s="1222"/>
      <c r="DZ74" s="1222"/>
      <c r="EA74" s="1222"/>
      <c r="EB74" s="1222"/>
      <c r="EC74" s="1222"/>
      <c r="ED74" s="1222"/>
      <c r="EE74" s="1222"/>
      <c r="EF74" s="1222"/>
      <c r="EG74" s="1222"/>
      <c r="EH74" s="1222"/>
      <c r="EI74" s="1222"/>
      <c r="EJ74" s="1222"/>
      <c r="EK74" s="1222"/>
      <c r="EL74" s="1222"/>
      <c r="EM74" s="1222"/>
      <c r="EN74" s="1222"/>
      <c r="EO74" s="1222"/>
      <c r="EP74" s="1222"/>
      <c r="EQ74" s="1222"/>
      <c r="ER74" s="1222"/>
      <c r="ES74" s="1222"/>
      <c r="ET74" s="1222"/>
      <c r="EU74" s="1222"/>
      <c r="EV74" s="1222"/>
      <c r="EW74" s="1222"/>
      <c r="EX74" s="1222"/>
      <c r="EY74" s="1222"/>
      <c r="EZ74" s="1222"/>
      <c r="FA74" s="1222"/>
      <c r="FB74" s="1222"/>
      <c r="FC74" s="1222"/>
      <c r="FD74" s="1222"/>
      <c r="FE74" s="1222"/>
      <c r="FF74" s="1222"/>
      <c r="FG74" s="1222"/>
      <c r="FH74" s="1222"/>
      <c r="FI74" s="1222"/>
      <c r="FJ74" s="1222"/>
      <c r="FK74" s="1222"/>
      <c r="FL74" s="1222"/>
      <c r="FM74" s="1222"/>
      <c r="FN74" s="1222"/>
      <c r="FO74" s="1222"/>
      <c r="FP74" s="1222"/>
      <c r="FQ74" s="1222"/>
      <c r="FR74" s="1222"/>
      <c r="FS74" s="1222"/>
      <c r="FT74" s="1222"/>
      <c r="FU74" s="1222"/>
      <c r="FV74" s="1222"/>
      <c r="FW74" s="1222"/>
      <c r="FX74" s="1222"/>
      <c r="FY74" s="1222"/>
      <c r="FZ74" s="1222"/>
      <c r="GA74" s="1222"/>
      <c r="GB74" s="1222"/>
      <c r="GC74" s="1222"/>
      <c r="GD74" s="1222"/>
      <c r="GE74" s="1222"/>
      <c r="GF74" s="1222"/>
      <c r="GG74" s="1222"/>
      <c r="GH74" s="1222"/>
      <c r="GI74" s="1222"/>
      <c r="GJ74" s="1222"/>
      <c r="GK74" s="1222"/>
      <c r="GL74" s="1222"/>
      <c r="GM74" s="1222"/>
      <c r="GN74" s="1222"/>
      <c r="GO74" s="1222"/>
      <c r="GP74" s="1222"/>
      <c r="GQ74" s="1222"/>
      <c r="GR74" s="1222"/>
      <c r="GS74" s="1222"/>
      <c r="GT74" s="1222"/>
      <c r="GU74" s="1222"/>
      <c r="GV74" s="1222"/>
      <c r="GW74" s="1222"/>
      <c r="GX74" s="1222"/>
      <c r="GY74" s="1222"/>
      <c r="GZ74" s="1222"/>
      <c r="HA74" s="1222"/>
      <c r="HB74" s="1222"/>
      <c r="HC74" s="1222"/>
      <c r="HD74" s="1222"/>
      <c r="HE74" s="1222"/>
      <c r="HF74" s="1222"/>
      <c r="HG74" s="1222"/>
      <c r="HH74" s="1222"/>
      <c r="HI74" s="1222"/>
      <c r="HJ74" s="1222"/>
      <c r="HK74" s="1222"/>
      <c r="HL74" s="1222"/>
      <c r="HM74" s="1222"/>
      <c r="HN74" s="1222"/>
    </row>
    <row r="75" spans="1:222" s="1223" customFormat="1">
      <c r="A75" s="1243"/>
      <c r="B75" s="1219"/>
      <c r="C75" s="1220"/>
      <c r="D75" s="1229"/>
      <c r="E75" s="1240"/>
      <c r="F75" s="1240"/>
      <c r="G75" s="1241"/>
      <c r="H75" s="1242">
        <f>E34+E37</f>
        <v>-24832.909120000004</v>
      </c>
      <c r="I75" s="1244">
        <f>H75/E68</f>
        <v>1.4875888438477096</v>
      </c>
      <c r="J75" s="1242" t="e">
        <f>+#REF!+#REF!</f>
        <v>#REF!</v>
      </c>
      <c r="K75" s="1242"/>
      <c r="L75" s="1242"/>
      <c r="M75" s="1242"/>
      <c r="N75" s="1242"/>
      <c r="O75" s="1242"/>
      <c r="P75" s="1242"/>
      <c r="Q75" s="1222"/>
      <c r="R75" s="1222"/>
      <c r="S75" s="1222"/>
      <c r="T75" s="1222"/>
      <c r="U75" s="1222"/>
      <c r="V75" s="1222"/>
      <c r="W75" s="1222"/>
      <c r="X75" s="1222"/>
      <c r="Y75" s="1222"/>
      <c r="Z75" s="1222"/>
      <c r="AA75" s="1222"/>
      <c r="AB75" s="1222"/>
      <c r="AC75" s="1222"/>
      <c r="AD75" s="1222"/>
      <c r="AE75" s="1222"/>
      <c r="AF75" s="1222"/>
      <c r="AG75" s="1222"/>
      <c r="AH75" s="1222"/>
      <c r="AI75" s="1222"/>
      <c r="AJ75" s="1222"/>
      <c r="AK75" s="1222"/>
      <c r="AL75" s="1222"/>
      <c r="AM75" s="1222"/>
      <c r="AN75" s="1222"/>
      <c r="AO75" s="1222"/>
      <c r="AP75" s="1222"/>
      <c r="AQ75" s="1222"/>
      <c r="AR75" s="1222"/>
      <c r="AS75" s="1222"/>
      <c r="AT75" s="1222"/>
      <c r="AU75" s="1222"/>
      <c r="AV75" s="1222"/>
      <c r="AW75" s="1222"/>
      <c r="AX75" s="1222"/>
      <c r="AY75" s="1222"/>
      <c r="AZ75" s="1222"/>
      <c r="BA75" s="1222"/>
      <c r="BB75" s="1222"/>
      <c r="BC75" s="1222"/>
      <c r="BD75" s="1222"/>
      <c r="BE75" s="1222"/>
      <c r="BF75" s="1222"/>
      <c r="BG75" s="1222"/>
      <c r="BH75" s="1222"/>
      <c r="BI75" s="1222"/>
      <c r="BJ75" s="1222"/>
      <c r="BK75" s="1222"/>
      <c r="BL75" s="1222"/>
      <c r="BM75" s="1222"/>
      <c r="BN75" s="1222"/>
      <c r="BO75" s="1222"/>
      <c r="BP75" s="1222"/>
      <c r="BQ75" s="1222"/>
      <c r="BR75" s="1222"/>
      <c r="BS75" s="1222"/>
      <c r="BT75" s="1222"/>
      <c r="BU75" s="1222"/>
      <c r="BV75" s="1222"/>
      <c r="BW75" s="1222"/>
      <c r="BX75" s="1222"/>
      <c r="BY75" s="1222"/>
      <c r="BZ75" s="1222"/>
      <c r="CA75" s="1222"/>
      <c r="CB75" s="1222"/>
      <c r="CC75" s="1222"/>
      <c r="CD75" s="1222"/>
      <c r="CE75" s="1222"/>
      <c r="CF75" s="1222"/>
      <c r="CG75" s="1222"/>
      <c r="CH75" s="1222"/>
      <c r="CI75" s="1222"/>
      <c r="CJ75" s="1222"/>
      <c r="CK75" s="1222"/>
      <c r="CL75" s="1222"/>
      <c r="CM75" s="1222"/>
      <c r="CN75" s="1222"/>
      <c r="CO75" s="1222"/>
      <c r="CP75" s="1222"/>
      <c r="CQ75" s="1222"/>
      <c r="CR75" s="1222"/>
      <c r="CS75" s="1222"/>
      <c r="CT75" s="1222"/>
      <c r="CU75" s="1222"/>
      <c r="CV75" s="1222"/>
      <c r="CW75" s="1222"/>
      <c r="CX75" s="1222"/>
      <c r="CY75" s="1222"/>
      <c r="CZ75" s="1222"/>
      <c r="DA75" s="1222"/>
      <c r="DB75" s="1222"/>
      <c r="DC75" s="1222"/>
      <c r="DD75" s="1222"/>
      <c r="DE75" s="1222"/>
      <c r="DF75" s="1222"/>
      <c r="DG75" s="1222"/>
      <c r="DH75" s="1222"/>
      <c r="DI75" s="1222"/>
      <c r="DJ75" s="1222"/>
      <c r="DK75" s="1222"/>
      <c r="DL75" s="1222"/>
      <c r="DM75" s="1222"/>
      <c r="DN75" s="1222"/>
      <c r="DO75" s="1222"/>
      <c r="DP75" s="1222"/>
      <c r="DQ75" s="1222"/>
      <c r="DR75" s="1222"/>
      <c r="DS75" s="1222"/>
      <c r="DT75" s="1222"/>
      <c r="DU75" s="1222"/>
      <c r="DV75" s="1222"/>
      <c r="DW75" s="1222"/>
      <c r="DX75" s="1222"/>
      <c r="DY75" s="1222"/>
      <c r="DZ75" s="1222"/>
      <c r="EA75" s="1222"/>
      <c r="EB75" s="1222"/>
      <c r="EC75" s="1222"/>
      <c r="ED75" s="1222"/>
      <c r="EE75" s="1222"/>
      <c r="EF75" s="1222"/>
      <c r="EG75" s="1222"/>
      <c r="EH75" s="1222"/>
      <c r="EI75" s="1222"/>
      <c r="EJ75" s="1222"/>
      <c r="EK75" s="1222"/>
      <c r="EL75" s="1222"/>
      <c r="EM75" s="1222"/>
      <c r="EN75" s="1222"/>
      <c r="EO75" s="1222"/>
      <c r="EP75" s="1222"/>
      <c r="EQ75" s="1222"/>
      <c r="ER75" s="1222"/>
      <c r="ES75" s="1222"/>
      <c r="ET75" s="1222"/>
      <c r="EU75" s="1222"/>
      <c r="EV75" s="1222"/>
      <c r="EW75" s="1222"/>
      <c r="EX75" s="1222"/>
      <c r="EY75" s="1222"/>
      <c r="EZ75" s="1222"/>
      <c r="FA75" s="1222"/>
      <c r="FB75" s="1222"/>
      <c r="FC75" s="1222"/>
      <c r="FD75" s="1222"/>
      <c r="FE75" s="1222"/>
      <c r="FF75" s="1222"/>
      <c r="FG75" s="1222"/>
      <c r="FH75" s="1222"/>
      <c r="FI75" s="1222"/>
      <c r="FJ75" s="1222"/>
      <c r="FK75" s="1222"/>
      <c r="FL75" s="1222"/>
      <c r="FM75" s="1222"/>
      <c r="FN75" s="1222"/>
      <c r="FO75" s="1222"/>
      <c r="FP75" s="1222"/>
      <c r="FQ75" s="1222"/>
      <c r="FR75" s="1222"/>
      <c r="FS75" s="1222"/>
      <c r="FT75" s="1222"/>
      <c r="FU75" s="1222"/>
      <c r="FV75" s="1222"/>
      <c r="FW75" s="1222"/>
      <c r="FX75" s="1222"/>
      <c r="FY75" s="1222"/>
      <c r="FZ75" s="1222"/>
      <c r="GA75" s="1222"/>
      <c r="GB75" s="1222"/>
      <c r="GC75" s="1222"/>
      <c r="GD75" s="1222"/>
      <c r="GE75" s="1222"/>
      <c r="GF75" s="1222"/>
      <c r="GG75" s="1222"/>
      <c r="GH75" s="1222"/>
      <c r="GI75" s="1222"/>
      <c r="GJ75" s="1222"/>
      <c r="GK75" s="1222"/>
      <c r="GL75" s="1222"/>
      <c r="GM75" s="1222"/>
      <c r="GN75" s="1222"/>
      <c r="GO75" s="1222"/>
      <c r="GP75" s="1222"/>
      <c r="GQ75" s="1222"/>
      <c r="GR75" s="1222"/>
      <c r="GS75" s="1222"/>
      <c r="GT75" s="1222"/>
      <c r="GU75" s="1222"/>
      <c r="GV75" s="1222"/>
      <c r="GW75" s="1222"/>
      <c r="GX75" s="1222"/>
      <c r="GY75" s="1222"/>
      <c r="GZ75" s="1222"/>
      <c r="HA75" s="1222"/>
      <c r="HB75" s="1222"/>
      <c r="HC75" s="1222"/>
      <c r="HD75" s="1222"/>
      <c r="HE75" s="1222"/>
      <c r="HF75" s="1222"/>
      <c r="HG75" s="1222"/>
      <c r="HH75" s="1222"/>
      <c r="HI75" s="1222"/>
      <c r="HJ75" s="1222"/>
      <c r="HK75" s="1222"/>
      <c r="HL75" s="1222"/>
      <c r="HM75" s="1222"/>
      <c r="HN75" s="1222"/>
    </row>
    <row r="76" spans="1:222" s="1223" customFormat="1">
      <c r="A76" s="1245" t="s">
        <v>296</v>
      </c>
      <c r="B76" s="1219"/>
      <c r="C76" s="1220"/>
      <c r="D76" s="1229"/>
      <c r="E76" s="1241">
        <v>0</v>
      </c>
      <c r="F76" s="1240"/>
      <c r="G76" s="1241">
        <f>+G68</f>
        <v>48870</v>
      </c>
      <c r="H76" s="1242"/>
      <c r="I76" s="1242"/>
      <c r="J76" s="1242"/>
      <c r="K76" s="1242"/>
      <c r="L76" s="1242"/>
      <c r="M76" s="1242"/>
      <c r="N76" s="1242"/>
      <c r="O76" s="1242"/>
      <c r="P76" s="1242"/>
      <c r="Q76" s="1222"/>
      <c r="R76" s="1222"/>
      <c r="S76" s="1222"/>
      <c r="T76" s="1222"/>
      <c r="U76" s="1222"/>
      <c r="V76" s="1222"/>
      <c r="W76" s="1222"/>
      <c r="X76" s="1222"/>
      <c r="Y76" s="1222"/>
      <c r="Z76" s="1222"/>
      <c r="AA76" s="1222"/>
      <c r="AB76" s="1222"/>
      <c r="AC76" s="1222"/>
      <c r="AD76" s="1222"/>
      <c r="AE76" s="1222"/>
      <c r="AF76" s="1222"/>
      <c r="AG76" s="1222"/>
      <c r="AH76" s="1222"/>
      <c r="AI76" s="1222"/>
      <c r="AJ76" s="1222"/>
      <c r="AK76" s="1222"/>
      <c r="AL76" s="1222"/>
      <c r="AM76" s="1222"/>
      <c r="AN76" s="1222"/>
      <c r="AO76" s="1222"/>
      <c r="AP76" s="1222"/>
      <c r="AQ76" s="1222"/>
      <c r="AR76" s="1222"/>
      <c r="AS76" s="1222"/>
      <c r="AT76" s="1222"/>
      <c r="AU76" s="1222"/>
      <c r="AV76" s="1222"/>
      <c r="AW76" s="1222"/>
      <c r="AX76" s="1222"/>
      <c r="AY76" s="1222"/>
      <c r="AZ76" s="1222"/>
      <c r="BA76" s="1222"/>
      <c r="BB76" s="1222"/>
      <c r="BC76" s="1222"/>
      <c r="BD76" s="1222"/>
      <c r="BE76" s="1222"/>
      <c r="BF76" s="1222"/>
      <c r="BG76" s="1222"/>
      <c r="BH76" s="1222"/>
      <c r="BI76" s="1222"/>
      <c r="BJ76" s="1222"/>
      <c r="BK76" s="1222"/>
      <c r="BL76" s="1222"/>
      <c r="BM76" s="1222"/>
      <c r="BN76" s="1222"/>
      <c r="BO76" s="1222"/>
      <c r="BP76" s="1222"/>
      <c r="BQ76" s="1222"/>
      <c r="BR76" s="1222"/>
      <c r="BS76" s="1222"/>
      <c r="BT76" s="1222"/>
      <c r="BU76" s="1222"/>
      <c r="BV76" s="1222"/>
      <c r="BW76" s="1222"/>
      <c r="BX76" s="1222"/>
      <c r="BY76" s="1222"/>
      <c r="BZ76" s="1222"/>
      <c r="CA76" s="1222"/>
      <c r="CB76" s="1222"/>
      <c r="CC76" s="1222"/>
      <c r="CD76" s="1222"/>
      <c r="CE76" s="1222"/>
      <c r="CF76" s="1222"/>
      <c r="CG76" s="1222"/>
      <c r="CH76" s="1222"/>
      <c r="CI76" s="1222"/>
      <c r="CJ76" s="1222"/>
      <c r="CK76" s="1222"/>
      <c r="CL76" s="1222"/>
      <c r="CM76" s="1222"/>
      <c r="CN76" s="1222"/>
      <c r="CO76" s="1222"/>
      <c r="CP76" s="1222"/>
      <c r="CQ76" s="1222"/>
      <c r="CR76" s="1222"/>
      <c r="CS76" s="1222"/>
      <c r="CT76" s="1222"/>
      <c r="CU76" s="1222"/>
      <c r="CV76" s="1222"/>
      <c r="CW76" s="1222"/>
      <c r="CX76" s="1222"/>
      <c r="CY76" s="1222"/>
      <c r="CZ76" s="1222"/>
      <c r="DA76" s="1222"/>
      <c r="DB76" s="1222"/>
      <c r="DC76" s="1222"/>
      <c r="DD76" s="1222"/>
      <c r="DE76" s="1222"/>
      <c r="DF76" s="1222"/>
      <c r="DG76" s="1222"/>
      <c r="DH76" s="1222"/>
      <c r="DI76" s="1222"/>
      <c r="DJ76" s="1222"/>
      <c r="DK76" s="1222"/>
      <c r="DL76" s="1222"/>
      <c r="DM76" s="1222"/>
      <c r="DN76" s="1222"/>
      <c r="DO76" s="1222"/>
      <c r="DP76" s="1222"/>
      <c r="DQ76" s="1222"/>
      <c r="DR76" s="1222"/>
      <c r="DS76" s="1222"/>
      <c r="DT76" s="1222"/>
      <c r="DU76" s="1222"/>
      <c r="DV76" s="1222"/>
      <c r="DW76" s="1222"/>
      <c r="DX76" s="1222"/>
      <c r="DY76" s="1222"/>
      <c r="DZ76" s="1222"/>
      <c r="EA76" s="1222"/>
      <c r="EB76" s="1222"/>
      <c r="EC76" s="1222"/>
      <c r="ED76" s="1222"/>
      <c r="EE76" s="1222"/>
      <c r="EF76" s="1222"/>
      <c r="EG76" s="1222"/>
      <c r="EH76" s="1222"/>
      <c r="EI76" s="1222"/>
      <c r="EJ76" s="1222"/>
      <c r="EK76" s="1222"/>
      <c r="EL76" s="1222"/>
      <c r="EM76" s="1222"/>
      <c r="EN76" s="1222"/>
      <c r="EO76" s="1222"/>
      <c r="EP76" s="1222"/>
      <c r="EQ76" s="1222"/>
      <c r="ER76" s="1222"/>
      <c r="ES76" s="1222"/>
      <c r="ET76" s="1222"/>
      <c r="EU76" s="1222"/>
      <c r="EV76" s="1222"/>
      <c r="EW76" s="1222"/>
      <c r="EX76" s="1222"/>
      <c r="EY76" s="1222"/>
      <c r="EZ76" s="1222"/>
      <c r="FA76" s="1222"/>
      <c r="FB76" s="1222"/>
      <c r="FC76" s="1222"/>
      <c r="FD76" s="1222"/>
      <c r="FE76" s="1222"/>
      <c r="FF76" s="1222"/>
      <c r="FG76" s="1222"/>
      <c r="FH76" s="1222"/>
      <c r="FI76" s="1222"/>
      <c r="FJ76" s="1222"/>
      <c r="FK76" s="1222"/>
      <c r="FL76" s="1222"/>
      <c r="FM76" s="1222"/>
      <c r="FN76" s="1222"/>
      <c r="FO76" s="1222"/>
      <c r="FP76" s="1222"/>
      <c r="FQ76" s="1222"/>
      <c r="FR76" s="1222"/>
      <c r="FS76" s="1222"/>
      <c r="FT76" s="1222"/>
      <c r="FU76" s="1222"/>
      <c r="FV76" s="1222"/>
      <c r="FW76" s="1222"/>
      <c r="FX76" s="1222"/>
      <c r="FY76" s="1222"/>
      <c r="FZ76" s="1222"/>
      <c r="GA76" s="1222"/>
      <c r="GB76" s="1222"/>
      <c r="GC76" s="1222"/>
      <c r="GD76" s="1222"/>
      <c r="GE76" s="1222"/>
      <c r="GF76" s="1222"/>
      <c r="GG76" s="1222"/>
      <c r="GH76" s="1222"/>
      <c r="GI76" s="1222"/>
      <c r="GJ76" s="1222"/>
      <c r="GK76" s="1222"/>
      <c r="GL76" s="1222"/>
      <c r="GM76" s="1222"/>
      <c r="GN76" s="1222"/>
      <c r="GO76" s="1222"/>
      <c r="GP76" s="1222"/>
      <c r="GQ76" s="1222"/>
      <c r="GR76" s="1222"/>
      <c r="GS76" s="1222"/>
      <c r="GT76" s="1222"/>
      <c r="GU76" s="1222"/>
      <c r="GV76" s="1222"/>
      <c r="GW76" s="1222"/>
      <c r="GX76" s="1222"/>
      <c r="GY76" s="1222"/>
      <c r="GZ76" s="1222"/>
      <c r="HA76" s="1222"/>
      <c r="HB76" s="1222"/>
      <c r="HC76" s="1222"/>
      <c r="HD76" s="1222"/>
      <c r="HE76" s="1222"/>
      <c r="HF76" s="1222"/>
      <c r="HG76" s="1222"/>
      <c r="HH76" s="1222"/>
      <c r="HI76" s="1222"/>
      <c r="HJ76" s="1222"/>
      <c r="HK76" s="1222"/>
      <c r="HL76" s="1222"/>
      <c r="HM76" s="1222"/>
      <c r="HN76" s="1222"/>
    </row>
    <row r="77" spans="1:222" s="1223" customFormat="1">
      <c r="A77" s="1247" t="s">
        <v>438</v>
      </c>
      <c r="B77" s="1219"/>
      <c r="C77" s="1220"/>
      <c r="D77" s="1229"/>
      <c r="E77" s="1241">
        <v>0</v>
      </c>
      <c r="F77" s="1240"/>
      <c r="G77" s="1241">
        <v>-2059</v>
      </c>
      <c r="H77" s="1242"/>
      <c r="I77" s="1242">
        <v>2173883</v>
      </c>
      <c r="J77" s="1242">
        <v>-115131</v>
      </c>
      <c r="K77" s="1242"/>
      <c r="L77" s="1242"/>
      <c r="M77" s="1242"/>
      <c r="N77" s="1242"/>
      <c r="O77" s="1242"/>
      <c r="P77" s="1242"/>
      <c r="Q77" s="1222"/>
      <c r="R77" s="1222"/>
      <c r="S77" s="1222"/>
      <c r="T77" s="1222"/>
      <c r="U77" s="1222"/>
      <c r="V77" s="1222"/>
      <c r="W77" s="1222"/>
      <c r="X77" s="1222"/>
      <c r="Y77" s="1222"/>
      <c r="Z77" s="1222"/>
      <c r="AA77" s="1222"/>
      <c r="AB77" s="1222"/>
      <c r="AC77" s="1222"/>
      <c r="AD77" s="1222"/>
      <c r="AE77" s="1222"/>
      <c r="AF77" s="1222"/>
      <c r="AG77" s="1222"/>
      <c r="AH77" s="1222"/>
      <c r="AI77" s="1222"/>
      <c r="AJ77" s="1222"/>
      <c r="AK77" s="1222"/>
      <c r="AL77" s="1222"/>
      <c r="AM77" s="1222"/>
      <c r="AN77" s="1222"/>
      <c r="AO77" s="1222"/>
      <c r="AP77" s="1222"/>
      <c r="AQ77" s="1222"/>
      <c r="AR77" s="1222"/>
      <c r="AS77" s="1222"/>
      <c r="AT77" s="1222"/>
      <c r="AU77" s="1222"/>
      <c r="AV77" s="1222"/>
      <c r="AW77" s="1222"/>
      <c r="AX77" s="1222"/>
      <c r="AY77" s="1222"/>
      <c r="AZ77" s="1222"/>
      <c r="BA77" s="1222"/>
      <c r="BB77" s="1222"/>
      <c r="BC77" s="1222"/>
      <c r="BD77" s="1222"/>
      <c r="BE77" s="1222"/>
      <c r="BF77" s="1222"/>
      <c r="BG77" s="1222"/>
      <c r="BH77" s="1222"/>
      <c r="BI77" s="1222"/>
      <c r="BJ77" s="1222"/>
      <c r="BK77" s="1222"/>
      <c r="BL77" s="1222"/>
      <c r="BM77" s="1222"/>
      <c r="BN77" s="1222"/>
      <c r="BO77" s="1222"/>
      <c r="BP77" s="1222"/>
      <c r="BQ77" s="1222"/>
      <c r="BR77" s="1222"/>
      <c r="BS77" s="1222"/>
      <c r="BT77" s="1222"/>
      <c r="BU77" s="1222"/>
      <c r="BV77" s="1222"/>
      <c r="BW77" s="1222"/>
      <c r="BX77" s="1222"/>
      <c r="BY77" s="1222"/>
      <c r="BZ77" s="1222"/>
      <c r="CA77" s="1222"/>
      <c r="CB77" s="1222"/>
      <c r="CC77" s="1222"/>
      <c r="CD77" s="1222"/>
      <c r="CE77" s="1222"/>
      <c r="CF77" s="1222"/>
      <c r="CG77" s="1222"/>
      <c r="CH77" s="1222"/>
      <c r="CI77" s="1222"/>
      <c r="CJ77" s="1222"/>
      <c r="CK77" s="1222"/>
      <c r="CL77" s="1222"/>
      <c r="CM77" s="1222"/>
      <c r="CN77" s="1222"/>
      <c r="CO77" s="1222"/>
      <c r="CP77" s="1222"/>
      <c r="CQ77" s="1222"/>
      <c r="CR77" s="1222"/>
      <c r="CS77" s="1222"/>
      <c r="CT77" s="1222"/>
      <c r="CU77" s="1222"/>
      <c r="CV77" s="1222"/>
      <c r="CW77" s="1222"/>
      <c r="CX77" s="1222"/>
      <c r="CY77" s="1222"/>
      <c r="CZ77" s="1222"/>
      <c r="DA77" s="1222"/>
      <c r="DB77" s="1222"/>
      <c r="DC77" s="1222"/>
      <c r="DD77" s="1222"/>
      <c r="DE77" s="1222"/>
      <c r="DF77" s="1222"/>
      <c r="DG77" s="1222"/>
      <c r="DH77" s="1222"/>
      <c r="DI77" s="1222"/>
      <c r="DJ77" s="1222"/>
      <c r="DK77" s="1222"/>
      <c r="DL77" s="1222"/>
      <c r="DM77" s="1222"/>
      <c r="DN77" s="1222"/>
      <c r="DO77" s="1222"/>
      <c r="DP77" s="1222"/>
      <c r="DQ77" s="1222"/>
      <c r="DR77" s="1222"/>
      <c r="DS77" s="1222"/>
      <c r="DT77" s="1222"/>
      <c r="DU77" s="1222"/>
      <c r="DV77" s="1222"/>
      <c r="DW77" s="1222"/>
      <c r="DX77" s="1222"/>
      <c r="DY77" s="1222"/>
      <c r="DZ77" s="1222"/>
      <c r="EA77" s="1222"/>
      <c r="EB77" s="1222"/>
      <c r="EC77" s="1222"/>
      <c r="ED77" s="1222"/>
      <c r="EE77" s="1222"/>
      <c r="EF77" s="1222"/>
      <c r="EG77" s="1222"/>
      <c r="EH77" s="1222"/>
      <c r="EI77" s="1222"/>
      <c r="EJ77" s="1222"/>
      <c r="EK77" s="1222"/>
      <c r="EL77" s="1222"/>
      <c r="EM77" s="1222"/>
      <c r="EN77" s="1222"/>
      <c r="EO77" s="1222"/>
      <c r="EP77" s="1222"/>
      <c r="EQ77" s="1222"/>
      <c r="ER77" s="1222"/>
      <c r="ES77" s="1222"/>
      <c r="ET77" s="1222"/>
      <c r="EU77" s="1222"/>
      <c r="EV77" s="1222"/>
      <c r="EW77" s="1222"/>
      <c r="EX77" s="1222"/>
      <c r="EY77" s="1222"/>
      <c r="EZ77" s="1222"/>
      <c r="FA77" s="1222"/>
      <c r="FB77" s="1222"/>
      <c r="FC77" s="1222"/>
      <c r="FD77" s="1222"/>
      <c r="FE77" s="1222"/>
      <c r="FF77" s="1222"/>
      <c r="FG77" s="1222"/>
      <c r="FH77" s="1222"/>
      <c r="FI77" s="1222"/>
      <c r="FJ77" s="1222"/>
      <c r="FK77" s="1222"/>
      <c r="FL77" s="1222"/>
      <c r="FM77" s="1222"/>
      <c r="FN77" s="1222"/>
      <c r="FO77" s="1222"/>
      <c r="FP77" s="1222"/>
      <c r="FQ77" s="1222"/>
      <c r="FR77" s="1222"/>
      <c r="FS77" s="1222"/>
      <c r="FT77" s="1222"/>
      <c r="FU77" s="1222"/>
      <c r="FV77" s="1222"/>
      <c r="FW77" s="1222"/>
      <c r="FX77" s="1222"/>
      <c r="FY77" s="1222"/>
      <c r="FZ77" s="1222"/>
      <c r="GA77" s="1222"/>
      <c r="GB77" s="1222"/>
      <c r="GC77" s="1222"/>
      <c r="GD77" s="1222"/>
      <c r="GE77" s="1222"/>
      <c r="GF77" s="1222"/>
      <c r="GG77" s="1222"/>
      <c r="GH77" s="1222"/>
      <c r="GI77" s="1222"/>
      <c r="GJ77" s="1222"/>
      <c r="GK77" s="1222"/>
      <c r="GL77" s="1222"/>
      <c r="GM77" s="1222"/>
      <c r="GN77" s="1222"/>
      <c r="GO77" s="1222"/>
      <c r="GP77" s="1222"/>
      <c r="GQ77" s="1222"/>
      <c r="GR77" s="1222"/>
      <c r="GS77" s="1222"/>
      <c r="GT77" s="1222"/>
      <c r="GU77" s="1222"/>
      <c r="GV77" s="1222"/>
      <c r="GW77" s="1222"/>
      <c r="GX77" s="1222"/>
      <c r="GY77" s="1222"/>
      <c r="GZ77" s="1222"/>
      <c r="HA77" s="1222"/>
      <c r="HB77" s="1222"/>
      <c r="HC77" s="1222"/>
      <c r="HD77" s="1222"/>
      <c r="HE77" s="1222"/>
      <c r="HF77" s="1222"/>
      <c r="HG77" s="1222"/>
      <c r="HH77" s="1222"/>
      <c r="HI77" s="1222"/>
      <c r="HJ77" s="1222"/>
      <c r="HK77" s="1222"/>
      <c r="HL77" s="1222"/>
      <c r="HM77" s="1222"/>
      <c r="HN77" s="1222"/>
    </row>
    <row r="78" spans="1:222" s="1223" customFormat="1" ht="13.8" thickBot="1">
      <c r="A78" s="1247"/>
      <c r="B78" s="1219"/>
      <c r="C78" s="1220"/>
      <c r="D78" s="1229"/>
      <c r="E78" s="1249">
        <f>SUM(E76:E77)</f>
        <v>0</v>
      </c>
      <c r="F78" s="1240"/>
      <c r="G78" s="1249">
        <f>SUM(G76:G77)</f>
        <v>46811</v>
      </c>
      <c r="H78" s="1242"/>
      <c r="I78" s="1242"/>
      <c r="J78" s="1242"/>
      <c r="K78" s="1242"/>
      <c r="L78" s="1242"/>
      <c r="M78" s="1242"/>
      <c r="N78" s="1242"/>
      <c r="O78" s="1242"/>
      <c r="P78" s="1242"/>
      <c r="Q78" s="1222"/>
      <c r="R78" s="1222"/>
      <c r="S78" s="1222"/>
      <c r="T78" s="1222"/>
      <c r="U78" s="1222"/>
      <c r="V78" s="1222"/>
      <c r="W78" s="1222"/>
      <c r="X78" s="1222"/>
      <c r="Y78" s="1222"/>
      <c r="Z78" s="1222"/>
      <c r="AA78" s="1222"/>
      <c r="AB78" s="1222"/>
      <c r="AC78" s="1222"/>
      <c r="AD78" s="1222"/>
      <c r="AE78" s="1222"/>
      <c r="AF78" s="1222"/>
      <c r="AG78" s="1222"/>
      <c r="AH78" s="1222"/>
      <c r="AI78" s="1222"/>
      <c r="AJ78" s="1222"/>
      <c r="AK78" s="1222"/>
      <c r="AL78" s="1222"/>
      <c r="AM78" s="1222"/>
      <c r="AN78" s="1222"/>
      <c r="AO78" s="1222"/>
      <c r="AP78" s="1222"/>
      <c r="AQ78" s="1222"/>
      <c r="AR78" s="1222"/>
      <c r="AS78" s="1222"/>
      <c r="AT78" s="1222"/>
      <c r="AU78" s="1222"/>
      <c r="AV78" s="1222"/>
      <c r="AW78" s="1222"/>
      <c r="AX78" s="1222"/>
      <c r="AY78" s="1222"/>
      <c r="AZ78" s="1222"/>
      <c r="BA78" s="1222"/>
      <c r="BB78" s="1222"/>
      <c r="BC78" s="1222"/>
      <c r="BD78" s="1222"/>
      <c r="BE78" s="1222"/>
      <c r="BF78" s="1222"/>
      <c r="BG78" s="1222"/>
      <c r="BH78" s="1222"/>
      <c r="BI78" s="1222"/>
      <c r="BJ78" s="1222"/>
      <c r="BK78" s="1222"/>
      <c r="BL78" s="1222"/>
      <c r="BM78" s="1222"/>
      <c r="BN78" s="1222"/>
      <c r="BO78" s="1222"/>
      <c r="BP78" s="1222"/>
      <c r="BQ78" s="1222"/>
      <c r="BR78" s="1222"/>
      <c r="BS78" s="1222"/>
      <c r="BT78" s="1222"/>
      <c r="BU78" s="1222"/>
      <c r="BV78" s="1222"/>
      <c r="BW78" s="1222"/>
      <c r="BX78" s="1222"/>
      <c r="BY78" s="1222"/>
      <c r="BZ78" s="1222"/>
      <c r="CA78" s="1222"/>
      <c r="CB78" s="1222"/>
      <c r="CC78" s="1222"/>
      <c r="CD78" s="1222"/>
      <c r="CE78" s="1222"/>
      <c r="CF78" s="1222"/>
      <c r="CG78" s="1222"/>
      <c r="CH78" s="1222"/>
      <c r="CI78" s="1222"/>
      <c r="CJ78" s="1222"/>
      <c r="CK78" s="1222"/>
      <c r="CL78" s="1222"/>
      <c r="CM78" s="1222"/>
      <c r="CN78" s="1222"/>
      <c r="CO78" s="1222"/>
      <c r="CP78" s="1222"/>
      <c r="CQ78" s="1222"/>
      <c r="CR78" s="1222"/>
      <c r="CS78" s="1222"/>
      <c r="CT78" s="1222"/>
      <c r="CU78" s="1222"/>
      <c r="CV78" s="1222"/>
      <c r="CW78" s="1222"/>
      <c r="CX78" s="1222"/>
      <c r="CY78" s="1222"/>
      <c r="CZ78" s="1222"/>
      <c r="DA78" s="1222"/>
      <c r="DB78" s="1222"/>
      <c r="DC78" s="1222"/>
      <c r="DD78" s="1222"/>
      <c r="DE78" s="1222"/>
      <c r="DF78" s="1222"/>
      <c r="DG78" s="1222"/>
      <c r="DH78" s="1222"/>
      <c r="DI78" s="1222"/>
      <c r="DJ78" s="1222"/>
      <c r="DK78" s="1222"/>
      <c r="DL78" s="1222"/>
      <c r="DM78" s="1222"/>
      <c r="DN78" s="1222"/>
      <c r="DO78" s="1222"/>
      <c r="DP78" s="1222"/>
      <c r="DQ78" s="1222"/>
      <c r="DR78" s="1222"/>
      <c r="DS78" s="1222"/>
      <c r="DT78" s="1222"/>
      <c r="DU78" s="1222"/>
      <c r="DV78" s="1222"/>
      <c r="DW78" s="1222"/>
      <c r="DX78" s="1222"/>
      <c r="DY78" s="1222"/>
      <c r="DZ78" s="1222"/>
      <c r="EA78" s="1222"/>
      <c r="EB78" s="1222"/>
      <c r="EC78" s="1222"/>
      <c r="ED78" s="1222"/>
      <c r="EE78" s="1222"/>
      <c r="EF78" s="1222"/>
      <c r="EG78" s="1222"/>
      <c r="EH78" s="1222"/>
      <c r="EI78" s="1222"/>
      <c r="EJ78" s="1222"/>
      <c r="EK78" s="1222"/>
      <c r="EL78" s="1222"/>
      <c r="EM78" s="1222"/>
      <c r="EN78" s="1222"/>
      <c r="EO78" s="1222"/>
      <c r="EP78" s="1222"/>
      <c r="EQ78" s="1222"/>
      <c r="ER78" s="1222"/>
      <c r="ES78" s="1222"/>
      <c r="ET78" s="1222"/>
      <c r="EU78" s="1222"/>
      <c r="EV78" s="1222"/>
      <c r="EW78" s="1222"/>
      <c r="EX78" s="1222"/>
      <c r="EY78" s="1222"/>
      <c r="EZ78" s="1222"/>
      <c r="FA78" s="1222"/>
      <c r="FB78" s="1222"/>
      <c r="FC78" s="1222"/>
      <c r="FD78" s="1222"/>
      <c r="FE78" s="1222"/>
      <c r="FF78" s="1222"/>
      <c r="FG78" s="1222"/>
      <c r="FH78" s="1222"/>
      <c r="FI78" s="1222"/>
      <c r="FJ78" s="1222"/>
      <c r="FK78" s="1222"/>
      <c r="FL78" s="1222"/>
      <c r="FM78" s="1222"/>
      <c r="FN78" s="1222"/>
      <c r="FO78" s="1222"/>
      <c r="FP78" s="1222"/>
      <c r="FQ78" s="1222"/>
      <c r="FR78" s="1222"/>
      <c r="FS78" s="1222"/>
      <c r="FT78" s="1222"/>
      <c r="FU78" s="1222"/>
      <c r="FV78" s="1222"/>
      <c r="FW78" s="1222"/>
      <c r="FX78" s="1222"/>
      <c r="FY78" s="1222"/>
      <c r="FZ78" s="1222"/>
      <c r="GA78" s="1222"/>
      <c r="GB78" s="1222"/>
      <c r="GC78" s="1222"/>
      <c r="GD78" s="1222"/>
      <c r="GE78" s="1222"/>
      <c r="GF78" s="1222"/>
      <c r="GG78" s="1222"/>
      <c r="GH78" s="1222"/>
      <c r="GI78" s="1222"/>
      <c r="GJ78" s="1222"/>
      <c r="GK78" s="1222"/>
      <c r="GL78" s="1222"/>
      <c r="GM78" s="1222"/>
      <c r="GN78" s="1222"/>
      <c r="GO78" s="1222"/>
      <c r="GP78" s="1222"/>
      <c r="GQ78" s="1222"/>
      <c r="GR78" s="1222"/>
      <c r="GS78" s="1222"/>
      <c r="GT78" s="1222"/>
      <c r="GU78" s="1222"/>
      <c r="GV78" s="1222"/>
      <c r="GW78" s="1222"/>
      <c r="GX78" s="1222"/>
      <c r="GY78" s="1222"/>
      <c r="GZ78" s="1222"/>
      <c r="HA78" s="1222"/>
      <c r="HB78" s="1222"/>
      <c r="HC78" s="1222"/>
      <c r="HD78" s="1222"/>
      <c r="HE78" s="1222"/>
      <c r="HF78" s="1222"/>
      <c r="HG78" s="1222"/>
      <c r="HH78" s="1222"/>
      <c r="HI78" s="1222"/>
      <c r="HJ78" s="1222"/>
      <c r="HK78" s="1222"/>
      <c r="HL78" s="1222"/>
      <c r="HM78" s="1222"/>
      <c r="HN78" s="1222"/>
    </row>
    <row r="79" spans="1:222" s="1223" customFormat="1" ht="12" customHeight="1" thickTop="1">
      <c r="A79" s="1247"/>
      <c r="B79" s="1219"/>
      <c r="C79" s="1220"/>
      <c r="D79" s="1229"/>
      <c r="E79" s="1241"/>
      <c r="F79" s="1240"/>
      <c r="G79" s="1241"/>
      <c r="H79" s="1242">
        <f>+E34+E37</f>
        <v>-24832.909120000004</v>
      </c>
      <c r="I79" s="1242" t="e">
        <f>+#REF!+#REF!</f>
        <v>#REF!</v>
      </c>
      <c r="J79" s="1242"/>
      <c r="K79" s="1242"/>
      <c r="L79" s="1242"/>
      <c r="M79" s="1242"/>
      <c r="N79" s="1242"/>
      <c r="O79" s="1242"/>
      <c r="P79" s="1242"/>
      <c r="Q79" s="1222"/>
      <c r="R79" s="1222"/>
      <c r="S79" s="1222"/>
      <c r="T79" s="1222"/>
      <c r="U79" s="1222"/>
      <c r="V79" s="1222"/>
      <c r="W79" s="1222"/>
      <c r="X79" s="1222"/>
      <c r="Y79" s="1222"/>
      <c r="Z79" s="1222"/>
      <c r="AA79" s="1222"/>
      <c r="AB79" s="1222"/>
      <c r="AC79" s="1222"/>
      <c r="AD79" s="1222"/>
      <c r="AE79" s="1222"/>
      <c r="AF79" s="1222"/>
      <c r="AG79" s="1222"/>
      <c r="AH79" s="1222"/>
      <c r="AI79" s="1222"/>
      <c r="AJ79" s="1222"/>
      <c r="AK79" s="1222"/>
      <c r="AL79" s="1222"/>
      <c r="AM79" s="1222"/>
      <c r="AN79" s="1222"/>
      <c r="AO79" s="1222"/>
      <c r="AP79" s="1222"/>
      <c r="AQ79" s="1222"/>
      <c r="AR79" s="1222"/>
      <c r="AS79" s="1222"/>
      <c r="AT79" s="1222"/>
      <c r="AU79" s="1222"/>
      <c r="AV79" s="1222"/>
      <c r="AW79" s="1222"/>
      <c r="AX79" s="1222"/>
      <c r="AY79" s="1222"/>
      <c r="AZ79" s="1222"/>
      <c r="BA79" s="1222"/>
      <c r="BB79" s="1222"/>
      <c r="BC79" s="1222"/>
      <c r="BD79" s="1222"/>
      <c r="BE79" s="1222"/>
      <c r="BF79" s="1222"/>
      <c r="BG79" s="1222"/>
      <c r="BH79" s="1222"/>
      <c r="BI79" s="1222"/>
      <c r="BJ79" s="1222"/>
      <c r="BK79" s="1222"/>
      <c r="BL79" s="1222"/>
      <c r="BM79" s="1222"/>
      <c r="BN79" s="1222"/>
      <c r="BO79" s="1222"/>
      <c r="BP79" s="1222"/>
      <c r="BQ79" s="1222"/>
      <c r="BR79" s="1222"/>
      <c r="BS79" s="1222"/>
      <c r="BT79" s="1222"/>
      <c r="BU79" s="1222"/>
      <c r="BV79" s="1222"/>
      <c r="BW79" s="1222"/>
      <c r="BX79" s="1222"/>
      <c r="BY79" s="1222"/>
      <c r="BZ79" s="1222"/>
      <c r="CA79" s="1222"/>
      <c r="CB79" s="1222"/>
      <c r="CC79" s="1222"/>
      <c r="CD79" s="1222"/>
      <c r="CE79" s="1222"/>
      <c r="CF79" s="1222"/>
      <c r="CG79" s="1222"/>
      <c r="CH79" s="1222"/>
      <c r="CI79" s="1222"/>
      <c r="CJ79" s="1222"/>
      <c r="CK79" s="1222"/>
      <c r="CL79" s="1222"/>
      <c r="CM79" s="1222"/>
      <c r="CN79" s="1222"/>
      <c r="CO79" s="1222"/>
      <c r="CP79" s="1222"/>
      <c r="CQ79" s="1222"/>
      <c r="CR79" s="1222"/>
      <c r="CS79" s="1222"/>
      <c r="CT79" s="1222"/>
      <c r="CU79" s="1222"/>
      <c r="CV79" s="1222"/>
      <c r="CW79" s="1222"/>
      <c r="CX79" s="1222"/>
      <c r="CY79" s="1222"/>
      <c r="CZ79" s="1222"/>
      <c r="DA79" s="1222"/>
      <c r="DB79" s="1222"/>
      <c r="DC79" s="1222"/>
      <c r="DD79" s="1222"/>
      <c r="DE79" s="1222"/>
      <c r="DF79" s="1222"/>
      <c r="DG79" s="1222"/>
      <c r="DH79" s="1222"/>
      <c r="DI79" s="1222"/>
      <c r="DJ79" s="1222"/>
      <c r="DK79" s="1222"/>
      <c r="DL79" s="1222"/>
      <c r="DM79" s="1222"/>
      <c r="DN79" s="1222"/>
      <c r="DO79" s="1222"/>
      <c r="DP79" s="1222"/>
      <c r="DQ79" s="1222"/>
      <c r="DR79" s="1222"/>
      <c r="DS79" s="1222"/>
      <c r="DT79" s="1222"/>
      <c r="DU79" s="1222"/>
      <c r="DV79" s="1222"/>
      <c r="DW79" s="1222"/>
      <c r="DX79" s="1222"/>
      <c r="DY79" s="1222"/>
      <c r="DZ79" s="1222"/>
      <c r="EA79" s="1222"/>
      <c r="EB79" s="1222"/>
      <c r="EC79" s="1222"/>
      <c r="ED79" s="1222"/>
      <c r="EE79" s="1222"/>
      <c r="EF79" s="1222"/>
      <c r="EG79" s="1222"/>
      <c r="EH79" s="1222"/>
      <c r="EI79" s="1222"/>
      <c r="EJ79" s="1222"/>
      <c r="EK79" s="1222"/>
      <c r="EL79" s="1222"/>
      <c r="EM79" s="1222"/>
      <c r="EN79" s="1222"/>
      <c r="EO79" s="1222"/>
      <c r="EP79" s="1222"/>
      <c r="EQ79" s="1222"/>
      <c r="ER79" s="1222"/>
      <c r="ES79" s="1222"/>
      <c r="ET79" s="1222"/>
      <c r="EU79" s="1222"/>
      <c r="EV79" s="1222"/>
      <c r="EW79" s="1222"/>
      <c r="EX79" s="1222"/>
      <c r="EY79" s="1222"/>
      <c r="EZ79" s="1222"/>
      <c r="FA79" s="1222"/>
      <c r="FB79" s="1222"/>
      <c r="FC79" s="1222"/>
      <c r="FD79" s="1222"/>
      <c r="FE79" s="1222"/>
      <c r="FF79" s="1222"/>
      <c r="FG79" s="1222"/>
      <c r="FH79" s="1222"/>
      <c r="FI79" s="1222"/>
      <c r="FJ79" s="1222"/>
      <c r="FK79" s="1222"/>
      <c r="FL79" s="1222"/>
      <c r="FM79" s="1222"/>
      <c r="FN79" s="1222"/>
      <c r="FO79" s="1222"/>
      <c r="FP79" s="1222"/>
      <c r="FQ79" s="1222"/>
      <c r="FR79" s="1222"/>
      <c r="FS79" s="1222"/>
      <c r="FT79" s="1222"/>
      <c r="FU79" s="1222"/>
      <c r="FV79" s="1222"/>
      <c r="FW79" s="1222"/>
      <c r="FX79" s="1222"/>
      <c r="FY79" s="1222"/>
      <c r="FZ79" s="1222"/>
      <c r="GA79" s="1222"/>
      <c r="GB79" s="1222"/>
      <c r="GC79" s="1222"/>
      <c r="GD79" s="1222"/>
      <c r="GE79" s="1222"/>
      <c r="GF79" s="1222"/>
      <c r="GG79" s="1222"/>
      <c r="GH79" s="1222"/>
      <c r="GI79" s="1222"/>
      <c r="GJ79" s="1222"/>
      <c r="GK79" s="1222"/>
      <c r="GL79" s="1222"/>
      <c r="GM79" s="1222"/>
      <c r="GN79" s="1222"/>
      <c r="GO79" s="1222"/>
      <c r="GP79" s="1222"/>
      <c r="GQ79" s="1222"/>
      <c r="GR79" s="1222"/>
      <c r="GS79" s="1222"/>
      <c r="GT79" s="1222"/>
      <c r="GU79" s="1222"/>
      <c r="GV79" s="1222"/>
      <c r="GW79" s="1222"/>
      <c r="GX79" s="1222"/>
      <c r="GY79" s="1222"/>
      <c r="GZ79" s="1222"/>
      <c r="HA79" s="1222"/>
      <c r="HB79" s="1222"/>
      <c r="HC79" s="1222"/>
      <c r="HD79" s="1222"/>
      <c r="HE79" s="1222"/>
      <c r="HF79" s="1222"/>
      <c r="HG79" s="1222"/>
      <c r="HH79" s="1222"/>
      <c r="HI79" s="1222"/>
      <c r="HJ79" s="1222"/>
      <c r="HK79" s="1222"/>
      <c r="HL79" s="1222"/>
      <c r="HM79" s="1222"/>
      <c r="HN79" s="1222"/>
    </row>
    <row r="80" spans="1:222" s="1223" customFormat="1">
      <c r="A80" s="1250" t="s">
        <v>356</v>
      </c>
      <c r="B80" s="1219"/>
      <c r="C80" s="1220"/>
      <c r="D80" s="1229"/>
      <c r="E80" s="1241"/>
      <c r="F80" s="1240"/>
      <c r="G80" s="1241"/>
      <c r="H80" s="1242">
        <v>367</v>
      </c>
      <c r="I80" s="1242">
        <f>+H80</f>
        <v>367</v>
      </c>
      <c r="J80" s="1242"/>
      <c r="K80" s="1242"/>
      <c r="L80" s="1242"/>
      <c r="M80" s="1242"/>
      <c r="N80" s="1242"/>
      <c r="O80" s="1242"/>
      <c r="P80" s="1242"/>
      <c r="Q80" s="1222"/>
      <c r="R80" s="1222"/>
      <c r="S80" s="1222"/>
      <c r="T80" s="1222"/>
      <c r="U80" s="1222"/>
      <c r="V80" s="1222"/>
      <c r="W80" s="1222"/>
      <c r="X80" s="1222"/>
      <c r="Y80" s="1222"/>
      <c r="Z80" s="1222"/>
      <c r="AA80" s="1222"/>
      <c r="AB80" s="1222"/>
      <c r="AC80" s="1222"/>
      <c r="AD80" s="1222"/>
      <c r="AE80" s="1222"/>
      <c r="AF80" s="1222"/>
      <c r="AG80" s="1222"/>
      <c r="AH80" s="1222"/>
      <c r="AI80" s="1222"/>
      <c r="AJ80" s="1222"/>
      <c r="AK80" s="1222"/>
      <c r="AL80" s="1222"/>
      <c r="AM80" s="1222"/>
      <c r="AN80" s="1222"/>
      <c r="AO80" s="1222"/>
      <c r="AP80" s="1222"/>
      <c r="AQ80" s="1222"/>
      <c r="AR80" s="1222"/>
      <c r="AS80" s="1222"/>
      <c r="AT80" s="1222"/>
      <c r="AU80" s="1222"/>
      <c r="AV80" s="1222"/>
      <c r="AW80" s="1222"/>
      <c r="AX80" s="1222"/>
      <c r="AY80" s="1222"/>
      <c r="AZ80" s="1222"/>
      <c r="BA80" s="1222"/>
      <c r="BB80" s="1222"/>
      <c r="BC80" s="1222"/>
      <c r="BD80" s="1222"/>
      <c r="BE80" s="1222"/>
      <c r="BF80" s="1222"/>
      <c r="BG80" s="1222"/>
      <c r="BH80" s="1222"/>
      <c r="BI80" s="1222"/>
      <c r="BJ80" s="1222"/>
      <c r="BK80" s="1222"/>
      <c r="BL80" s="1222"/>
      <c r="BM80" s="1222"/>
      <c r="BN80" s="1222"/>
      <c r="BO80" s="1222"/>
      <c r="BP80" s="1222"/>
      <c r="BQ80" s="1222"/>
      <c r="BR80" s="1222"/>
      <c r="BS80" s="1222"/>
      <c r="BT80" s="1222"/>
      <c r="BU80" s="1222"/>
      <c r="BV80" s="1222"/>
      <c r="BW80" s="1222"/>
      <c r="BX80" s="1222"/>
      <c r="BY80" s="1222"/>
      <c r="BZ80" s="1222"/>
      <c r="CA80" s="1222"/>
      <c r="CB80" s="1222"/>
      <c r="CC80" s="1222"/>
      <c r="CD80" s="1222"/>
      <c r="CE80" s="1222"/>
      <c r="CF80" s="1222"/>
      <c r="CG80" s="1222"/>
      <c r="CH80" s="1222"/>
      <c r="CI80" s="1222"/>
      <c r="CJ80" s="1222"/>
      <c r="CK80" s="1222"/>
      <c r="CL80" s="1222"/>
      <c r="CM80" s="1222"/>
      <c r="CN80" s="1222"/>
      <c r="CO80" s="1222"/>
      <c r="CP80" s="1222"/>
      <c r="CQ80" s="1222"/>
      <c r="CR80" s="1222"/>
      <c r="CS80" s="1222"/>
      <c r="CT80" s="1222"/>
      <c r="CU80" s="1222"/>
      <c r="CV80" s="1222"/>
      <c r="CW80" s="1222"/>
      <c r="CX80" s="1222"/>
      <c r="CY80" s="1222"/>
      <c r="CZ80" s="1222"/>
      <c r="DA80" s="1222"/>
      <c r="DB80" s="1222"/>
      <c r="DC80" s="1222"/>
      <c r="DD80" s="1222"/>
      <c r="DE80" s="1222"/>
      <c r="DF80" s="1222"/>
      <c r="DG80" s="1222"/>
      <c r="DH80" s="1222"/>
      <c r="DI80" s="1222"/>
      <c r="DJ80" s="1222"/>
      <c r="DK80" s="1222"/>
      <c r="DL80" s="1222"/>
      <c r="DM80" s="1222"/>
      <c r="DN80" s="1222"/>
      <c r="DO80" s="1222"/>
      <c r="DP80" s="1222"/>
      <c r="DQ80" s="1222"/>
      <c r="DR80" s="1222"/>
      <c r="DS80" s="1222"/>
      <c r="DT80" s="1222"/>
      <c r="DU80" s="1222"/>
      <c r="DV80" s="1222"/>
      <c r="DW80" s="1222"/>
      <c r="DX80" s="1222"/>
      <c r="DY80" s="1222"/>
      <c r="DZ80" s="1222"/>
      <c r="EA80" s="1222"/>
      <c r="EB80" s="1222"/>
      <c r="EC80" s="1222"/>
      <c r="ED80" s="1222"/>
      <c r="EE80" s="1222"/>
      <c r="EF80" s="1222"/>
      <c r="EG80" s="1222"/>
      <c r="EH80" s="1222"/>
      <c r="EI80" s="1222"/>
      <c r="EJ80" s="1222"/>
      <c r="EK80" s="1222"/>
      <c r="EL80" s="1222"/>
      <c r="EM80" s="1222"/>
      <c r="EN80" s="1222"/>
      <c r="EO80" s="1222"/>
      <c r="EP80" s="1222"/>
      <c r="EQ80" s="1222"/>
      <c r="ER80" s="1222"/>
      <c r="ES80" s="1222"/>
      <c r="ET80" s="1222"/>
      <c r="EU80" s="1222"/>
      <c r="EV80" s="1222"/>
      <c r="EW80" s="1222"/>
      <c r="EX80" s="1222"/>
      <c r="EY80" s="1222"/>
      <c r="EZ80" s="1222"/>
      <c r="FA80" s="1222"/>
      <c r="FB80" s="1222"/>
      <c r="FC80" s="1222"/>
      <c r="FD80" s="1222"/>
      <c r="FE80" s="1222"/>
      <c r="FF80" s="1222"/>
      <c r="FG80" s="1222"/>
      <c r="FH80" s="1222"/>
      <c r="FI80" s="1222"/>
      <c r="FJ80" s="1222"/>
      <c r="FK80" s="1222"/>
      <c r="FL80" s="1222"/>
      <c r="FM80" s="1222"/>
      <c r="FN80" s="1222"/>
      <c r="FO80" s="1222"/>
      <c r="FP80" s="1222"/>
      <c r="FQ80" s="1222"/>
      <c r="FR80" s="1222"/>
      <c r="FS80" s="1222"/>
      <c r="FT80" s="1222"/>
      <c r="FU80" s="1222"/>
      <c r="FV80" s="1222"/>
      <c r="FW80" s="1222"/>
      <c r="FX80" s="1222"/>
      <c r="FY80" s="1222"/>
      <c r="FZ80" s="1222"/>
      <c r="GA80" s="1222"/>
      <c r="GB80" s="1222"/>
      <c r="GC80" s="1222"/>
      <c r="GD80" s="1222"/>
      <c r="GE80" s="1222"/>
      <c r="GF80" s="1222"/>
      <c r="GG80" s="1222"/>
      <c r="GH80" s="1222"/>
      <c r="GI80" s="1222"/>
      <c r="GJ80" s="1222"/>
      <c r="GK80" s="1222"/>
      <c r="GL80" s="1222"/>
      <c r="GM80" s="1222"/>
      <c r="GN80" s="1222"/>
      <c r="GO80" s="1222"/>
      <c r="GP80" s="1222"/>
      <c r="GQ80" s="1222"/>
      <c r="GR80" s="1222"/>
      <c r="GS80" s="1222"/>
      <c r="GT80" s="1222"/>
      <c r="GU80" s="1222"/>
      <c r="GV80" s="1222"/>
      <c r="GW80" s="1222"/>
      <c r="GX80" s="1222"/>
      <c r="GY80" s="1222"/>
      <c r="GZ80" s="1222"/>
      <c r="HA80" s="1222"/>
      <c r="HB80" s="1222"/>
      <c r="HC80" s="1222"/>
      <c r="HD80" s="1222"/>
      <c r="HE80" s="1222"/>
      <c r="HF80" s="1222"/>
      <c r="HG80" s="1222"/>
      <c r="HH80" s="1222"/>
      <c r="HI80" s="1222"/>
      <c r="HJ80" s="1222"/>
      <c r="HK80" s="1222"/>
      <c r="HL80" s="1222"/>
      <c r="HM80" s="1222"/>
      <c r="HN80" s="1222"/>
    </row>
    <row r="81" spans="1:222" s="1223" customFormat="1">
      <c r="A81" s="1251" t="s">
        <v>439</v>
      </c>
      <c r="B81" s="1219"/>
      <c r="C81" s="1220"/>
      <c r="D81" s="1229"/>
      <c r="E81" s="1246">
        <f>+E84</f>
        <v>0</v>
      </c>
      <c r="F81" s="1240"/>
      <c r="G81" s="1246">
        <v>0</v>
      </c>
      <c r="H81" s="1242">
        <f>+H79-H80</f>
        <v>-25199.909120000004</v>
      </c>
      <c r="I81" s="1242" t="e">
        <f>+I79-I80</f>
        <v>#REF!</v>
      </c>
      <c r="J81" s="1242"/>
      <c r="K81" s="1242"/>
      <c r="L81" s="1242"/>
      <c r="M81" s="1242"/>
      <c r="N81" s="1242"/>
      <c r="O81" s="1242"/>
      <c r="P81" s="1242"/>
      <c r="Q81" s="1222"/>
      <c r="R81" s="1222"/>
      <c r="S81" s="1222"/>
      <c r="T81" s="1222"/>
      <c r="U81" s="1222"/>
      <c r="V81" s="1222"/>
      <c r="W81" s="1222"/>
      <c r="X81" s="1222"/>
      <c r="Y81" s="1222"/>
      <c r="Z81" s="1222"/>
      <c r="AA81" s="1222"/>
      <c r="AB81" s="1222"/>
      <c r="AC81" s="1222"/>
      <c r="AD81" s="1222"/>
      <c r="AE81" s="1222"/>
      <c r="AF81" s="1222"/>
      <c r="AG81" s="1222"/>
      <c r="AH81" s="1222"/>
      <c r="AI81" s="1222"/>
      <c r="AJ81" s="1222"/>
      <c r="AK81" s="1222"/>
      <c r="AL81" s="1222"/>
      <c r="AM81" s="1222"/>
      <c r="AN81" s="1222"/>
      <c r="AO81" s="1222"/>
      <c r="AP81" s="1222"/>
      <c r="AQ81" s="1222"/>
      <c r="AR81" s="1222"/>
      <c r="AS81" s="1222"/>
      <c r="AT81" s="1222"/>
      <c r="AU81" s="1222"/>
      <c r="AV81" s="1222"/>
      <c r="AW81" s="1222"/>
      <c r="AX81" s="1222"/>
      <c r="AY81" s="1222"/>
      <c r="AZ81" s="1222"/>
      <c r="BA81" s="1222"/>
      <c r="BB81" s="1222"/>
      <c r="BC81" s="1222"/>
      <c r="BD81" s="1222"/>
      <c r="BE81" s="1222"/>
      <c r="BF81" s="1222"/>
      <c r="BG81" s="1222"/>
      <c r="BH81" s="1222"/>
      <c r="BI81" s="1222"/>
      <c r="BJ81" s="1222"/>
      <c r="BK81" s="1222"/>
      <c r="BL81" s="1222"/>
      <c r="BM81" s="1222"/>
      <c r="BN81" s="1222"/>
      <c r="BO81" s="1222"/>
      <c r="BP81" s="1222"/>
      <c r="BQ81" s="1222"/>
      <c r="BR81" s="1222"/>
      <c r="BS81" s="1222"/>
      <c r="BT81" s="1222"/>
      <c r="BU81" s="1222"/>
      <c r="BV81" s="1222"/>
      <c r="BW81" s="1222"/>
      <c r="BX81" s="1222"/>
      <c r="BY81" s="1222"/>
      <c r="BZ81" s="1222"/>
      <c r="CA81" s="1222"/>
      <c r="CB81" s="1222"/>
      <c r="CC81" s="1222"/>
      <c r="CD81" s="1222"/>
      <c r="CE81" s="1222"/>
      <c r="CF81" s="1222"/>
      <c r="CG81" s="1222"/>
      <c r="CH81" s="1222"/>
      <c r="CI81" s="1222"/>
      <c r="CJ81" s="1222"/>
      <c r="CK81" s="1222"/>
      <c r="CL81" s="1222"/>
      <c r="CM81" s="1222"/>
      <c r="CN81" s="1222"/>
      <c r="CO81" s="1222"/>
      <c r="CP81" s="1222"/>
      <c r="CQ81" s="1222"/>
      <c r="CR81" s="1222"/>
      <c r="CS81" s="1222"/>
      <c r="CT81" s="1222"/>
      <c r="CU81" s="1222"/>
      <c r="CV81" s="1222"/>
      <c r="CW81" s="1222"/>
      <c r="CX81" s="1222"/>
      <c r="CY81" s="1222"/>
      <c r="CZ81" s="1222"/>
      <c r="DA81" s="1222"/>
      <c r="DB81" s="1222"/>
      <c r="DC81" s="1222"/>
      <c r="DD81" s="1222"/>
      <c r="DE81" s="1222"/>
      <c r="DF81" s="1222"/>
      <c r="DG81" s="1222"/>
      <c r="DH81" s="1222"/>
      <c r="DI81" s="1222"/>
      <c r="DJ81" s="1222"/>
      <c r="DK81" s="1222"/>
      <c r="DL81" s="1222"/>
      <c r="DM81" s="1222"/>
      <c r="DN81" s="1222"/>
      <c r="DO81" s="1222"/>
      <c r="DP81" s="1222"/>
      <c r="DQ81" s="1222"/>
      <c r="DR81" s="1222"/>
      <c r="DS81" s="1222"/>
      <c r="DT81" s="1222"/>
      <c r="DU81" s="1222"/>
      <c r="DV81" s="1222"/>
      <c r="DW81" s="1222"/>
      <c r="DX81" s="1222"/>
      <c r="DY81" s="1222"/>
      <c r="DZ81" s="1222"/>
      <c r="EA81" s="1222"/>
      <c r="EB81" s="1222"/>
      <c r="EC81" s="1222"/>
      <c r="ED81" s="1222"/>
      <c r="EE81" s="1222"/>
      <c r="EF81" s="1222"/>
      <c r="EG81" s="1222"/>
      <c r="EH81" s="1222"/>
      <c r="EI81" s="1222"/>
      <c r="EJ81" s="1222"/>
      <c r="EK81" s="1222"/>
      <c r="EL81" s="1222"/>
      <c r="EM81" s="1222"/>
      <c r="EN81" s="1222"/>
      <c r="EO81" s="1222"/>
      <c r="EP81" s="1222"/>
      <c r="EQ81" s="1222"/>
      <c r="ER81" s="1222"/>
      <c r="ES81" s="1222"/>
      <c r="ET81" s="1222"/>
      <c r="EU81" s="1222"/>
      <c r="EV81" s="1222"/>
      <c r="EW81" s="1222"/>
      <c r="EX81" s="1222"/>
      <c r="EY81" s="1222"/>
      <c r="EZ81" s="1222"/>
      <c r="FA81" s="1222"/>
      <c r="FB81" s="1222"/>
      <c r="FC81" s="1222"/>
      <c r="FD81" s="1222"/>
      <c r="FE81" s="1222"/>
      <c r="FF81" s="1222"/>
      <c r="FG81" s="1222"/>
      <c r="FH81" s="1222"/>
      <c r="FI81" s="1222"/>
      <c r="FJ81" s="1222"/>
      <c r="FK81" s="1222"/>
      <c r="FL81" s="1222"/>
      <c r="FM81" s="1222"/>
      <c r="FN81" s="1222"/>
      <c r="FO81" s="1222"/>
      <c r="FP81" s="1222"/>
      <c r="FQ81" s="1222"/>
      <c r="FR81" s="1222"/>
      <c r="FS81" s="1222"/>
      <c r="FT81" s="1222"/>
      <c r="FU81" s="1222"/>
      <c r="FV81" s="1222"/>
      <c r="FW81" s="1222"/>
      <c r="FX81" s="1222"/>
      <c r="FY81" s="1222"/>
      <c r="FZ81" s="1222"/>
      <c r="GA81" s="1222"/>
      <c r="GB81" s="1222"/>
      <c r="GC81" s="1222"/>
      <c r="GD81" s="1222"/>
      <c r="GE81" s="1222"/>
      <c r="GF81" s="1222"/>
      <c r="GG81" s="1222"/>
      <c r="GH81" s="1222"/>
      <c r="GI81" s="1222"/>
      <c r="GJ81" s="1222"/>
      <c r="GK81" s="1222"/>
      <c r="GL81" s="1222"/>
      <c r="GM81" s="1222"/>
      <c r="GN81" s="1222"/>
      <c r="GO81" s="1222"/>
      <c r="GP81" s="1222"/>
      <c r="GQ81" s="1222"/>
      <c r="GR81" s="1222"/>
      <c r="GS81" s="1222"/>
      <c r="GT81" s="1222"/>
      <c r="GU81" s="1222"/>
      <c r="GV81" s="1222"/>
      <c r="GW81" s="1222"/>
      <c r="GX81" s="1222"/>
      <c r="GY81" s="1222"/>
      <c r="GZ81" s="1222"/>
      <c r="HA81" s="1222"/>
      <c r="HB81" s="1222"/>
      <c r="HC81" s="1222"/>
      <c r="HD81" s="1222"/>
      <c r="HE81" s="1222"/>
      <c r="HF81" s="1222"/>
      <c r="HG81" s="1222"/>
      <c r="HH81" s="1222"/>
      <c r="HI81" s="1222"/>
      <c r="HJ81" s="1222"/>
      <c r="HK81" s="1222"/>
      <c r="HL81" s="1222"/>
      <c r="HM81" s="1222"/>
      <c r="HN81" s="1222"/>
    </row>
    <row r="82" spans="1:222" s="1223" customFormat="1">
      <c r="A82" s="1251" t="s">
        <v>440</v>
      </c>
      <c r="B82" s="1219"/>
      <c r="C82" s="1220"/>
      <c r="D82" s="1229"/>
      <c r="E82" s="1248">
        <f>E84-E81</f>
        <v>0</v>
      </c>
      <c r="F82" s="1240"/>
      <c r="G82" s="1248">
        <v>0</v>
      </c>
      <c r="H82" s="1242"/>
      <c r="I82" s="1242"/>
      <c r="J82" s="1242"/>
      <c r="K82" s="1242"/>
      <c r="L82" s="1242"/>
      <c r="M82" s="1242"/>
      <c r="N82" s="1242"/>
      <c r="O82" s="1242"/>
      <c r="P82" s="1242"/>
      <c r="Q82" s="1222"/>
      <c r="R82" s="1222"/>
      <c r="S82" s="1222"/>
      <c r="T82" s="1222"/>
      <c r="U82" s="1222"/>
      <c r="V82" s="1222"/>
      <c r="W82" s="1222"/>
      <c r="X82" s="1222"/>
      <c r="Y82" s="1222"/>
      <c r="Z82" s="1222"/>
      <c r="AA82" s="1222"/>
      <c r="AB82" s="1222"/>
      <c r="AC82" s="1222"/>
      <c r="AD82" s="1222"/>
      <c r="AE82" s="1222"/>
      <c r="AF82" s="1222"/>
      <c r="AG82" s="1222"/>
      <c r="AH82" s="1222"/>
      <c r="AI82" s="1222"/>
      <c r="AJ82" s="1222"/>
      <c r="AK82" s="1222"/>
      <c r="AL82" s="1222"/>
      <c r="AM82" s="1222"/>
      <c r="AN82" s="1222"/>
      <c r="AO82" s="1222"/>
      <c r="AP82" s="1222"/>
      <c r="AQ82" s="1222"/>
      <c r="AR82" s="1222"/>
      <c r="AS82" s="1222"/>
      <c r="AT82" s="1222"/>
      <c r="AU82" s="1222"/>
      <c r="AV82" s="1222"/>
      <c r="AW82" s="1222"/>
      <c r="AX82" s="1222"/>
      <c r="AY82" s="1222"/>
      <c r="AZ82" s="1222"/>
      <c r="BA82" s="1222"/>
      <c r="BB82" s="1222"/>
      <c r="BC82" s="1222"/>
      <c r="BD82" s="1222"/>
      <c r="BE82" s="1222"/>
      <c r="BF82" s="1222"/>
      <c r="BG82" s="1222"/>
      <c r="BH82" s="1222"/>
      <c r="BI82" s="1222"/>
      <c r="BJ82" s="1222"/>
      <c r="BK82" s="1222"/>
      <c r="BL82" s="1222"/>
      <c r="BM82" s="1222"/>
      <c r="BN82" s="1222"/>
      <c r="BO82" s="1222"/>
      <c r="BP82" s="1222"/>
      <c r="BQ82" s="1222"/>
      <c r="BR82" s="1222"/>
      <c r="BS82" s="1222"/>
      <c r="BT82" s="1222"/>
      <c r="BU82" s="1222"/>
      <c r="BV82" s="1222"/>
      <c r="BW82" s="1222"/>
      <c r="BX82" s="1222"/>
      <c r="BY82" s="1222"/>
      <c r="BZ82" s="1222"/>
      <c r="CA82" s="1222"/>
      <c r="CB82" s="1222"/>
      <c r="CC82" s="1222"/>
      <c r="CD82" s="1222"/>
      <c r="CE82" s="1222"/>
      <c r="CF82" s="1222"/>
      <c r="CG82" s="1222"/>
      <c r="CH82" s="1222"/>
      <c r="CI82" s="1222"/>
      <c r="CJ82" s="1222"/>
      <c r="CK82" s="1222"/>
      <c r="CL82" s="1222"/>
      <c r="CM82" s="1222"/>
      <c r="CN82" s="1222"/>
      <c r="CO82" s="1222"/>
      <c r="CP82" s="1222"/>
      <c r="CQ82" s="1222"/>
      <c r="CR82" s="1222"/>
      <c r="CS82" s="1222"/>
      <c r="CT82" s="1222"/>
      <c r="CU82" s="1222"/>
      <c r="CV82" s="1222"/>
      <c r="CW82" s="1222"/>
      <c r="CX82" s="1222"/>
      <c r="CY82" s="1222"/>
      <c r="CZ82" s="1222"/>
      <c r="DA82" s="1222"/>
      <c r="DB82" s="1222"/>
      <c r="DC82" s="1222"/>
      <c r="DD82" s="1222"/>
      <c r="DE82" s="1222"/>
      <c r="DF82" s="1222"/>
      <c r="DG82" s="1222"/>
      <c r="DH82" s="1222"/>
      <c r="DI82" s="1222"/>
      <c r="DJ82" s="1222"/>
      <c r="DK82" s="1222"/>
      <c r="DL82" s="1222"/>
      <c r="DM82" s="1222"/>
      <c r="DN82" s="1222"/>
      <c r="DO82" s="1222"/>
      <c r="DP82" s="1222"/>
      <c r="DQ82" s="1222"/>
      <c r="DR82" s="1222"/>
      <c r="DS82" s="1222"/>
      <c r="DT82" s="1222"/>
      <c r="DU82" s="1222"/>
      <c r="DV82" s="1222"/>
      <c r="DW82" s="1222"/>
      <c r="DX82" s="1222"/>
      <c r="DY82" s="1222"/>
      <c r="DZ82" s="1222"/>
      <c r="EA82" s="1222"/>
      <c r="EB82" s="1222"/>
      <c r="EC82" s="1222"/>
      <c r="ED82" s="1222"/>
      <c r="EE82" s="1222"/>
      <c r="EF82" s="1222"/>
      <c r="EG82" s="1222"/>
      <c r="EH82" s="1222"/>
      <c r="EI82" s="1222"/>
      <c r="EJ82" s="1222"/>
      <c r="EK82" s="1222"/>
      <c r="EL82" s="1222"/>
      <c r="EM82" s="1222"/>
      <c r="EN82" s="1222"/>
      <c r="EO82" s="1222"/>
      <c r="EP82" s="1222"/>
      <c r="EQ82" s="1222"/>
      <c r="ER82" s="1222"/>
      <c r="ES82" s="1222"/>
      <c r="ET82" s="1222"/>
      <c r="EU82" s="1222"/>
      <c r="EV82" s="1222"/>
      <c r="EW82" s="1222"/>
      <c r="EX82" s="1222"/>
      <c r="EY82" s="1222"/>
      <c r="EZ82" s="1222"/>
      <c r="FA82" s="1222"/>
      <c r="FB82" s="1222"/>
      <c r="FC82" s="1222"/>
      <c r="FD82" s="1222"/>
      <c r="FE82" s="1222"/>
      <c r="FF82" s="1222"/>
      <c r="FG82" s="1222"/>
      <c r="FH82" s="1222"/>
      <c r="FI82" s="1222"/>
      <c r="FJ82" s="1222"/>
      <c r="FK82" s="1222"/>
      <c r="FL82" s="1222"/>
      <c r="FM82" s="1222"/>
      <c r="FN82" s="1222"/>
      <c r="FO82" s="1222"/>
      <c r="FP82" s="1222"/>
      <c r="FQ82" s="1222"/>
      <c r="FR82" s="1222"/>
      <c r="FS82" s="1222"/>
      <c r="FT82" s="1222"/>
      <c r="FU82" s="1222"/>
      <c r="FV82" s="1222"/>
      <c r="FW82" s="1222"/>
      <c r="FX82" s="1222"/>
      <c r="FY82" s="1222"/>
      <c r="FZ82" s="1222"/>
      <c r="GA82" s="1222"/>
      <c r="GB82" s="1222"/>
      <c r="GC82" s="1222"/>
      <c r="GD82" s="1222"/>
      <c r="GE82" s="1222"/>
      <c r="GF82" s="1222"/>
      <c r="GG82" s="1222"/>
      <c r="GH82" s="1222"/>
      <c r="GI82" s="1222"/>
      <c r="GJ82" s="1222"/>
      <c r="GK82" s="1222"/>
      <c r="GL82" s="1222"/>
      <c r="GM82" s="1222"/>
      <c r="GN82" s="1222"/>
      <c r="GO82" s="1222"/>
      <c r="GP82" s="1222"/>
      <c r="GQ82" s="1222"/>
      <c r="GR82" s="1222"/>
      <c r="GS82" s="1222"/>
      <c r="GT82" s="1222"/>
      <c r="GU82" s="1222"/>
      <c r="GV82" s="1222"/>
      <c r="GW82" s="1222"/>
      <c r="GX82" s="1222"/>
      <c r="GY82" s="1222"/>
      <c r="GZ82" s="1222"/>
      <c r="HA82" s="1222"/>
      <c r="HB82" s="1222"/>
      <c r="HC82" s="1222"/>
      <c r="HD82" s="1222"/>
      <c r="HE82" s="1222"/>
      <c r="HF82" s="1222"/>
      <c r="HG82" s="1222"/>
      <c r="HH82" s="1222"/>
      <c r="HI82" s="1222"/>
      <c r="HJ82" s="1222"/>
      <c r="HK82" s="1222"/>
      <c r="HL82" s="1222"/>
      <c r="HM82" s="1222"/>
      <c r="HN82" s="1222"/>
    </row>
    <row r="83" spans="1:222" s="1223" customFormat="1">
      <c r="A83" s="1243"/>
      <c r="B83" s="1219"/>
      <c r="C83" s="1220"/>
      <c r="D83" s="1229"/>
      <c r="E83" s="1241"/>
      <c r="F83" s="1240"/>
      <c r="G83" s="1241"/>
      <c r="H83" s="1242"/>
      <c r="I83" s="1242"/>
      <c r="J83" s="1242"/>
      <c r="K83" s="1242"/>
      <c r="L83" s="1242"/>
      <c r="M83" s="1242"/>
      <c r="N83" s="1242"/>
      <c r="O83" s="1242"/>
      <c r="P83" s="1242"/>
      <c r="Q83" s="1222"/>
      <c r="R83" s="1222"/>
      <c r="S83" s="1222"/>
      <c r="T83" s="1222"/>
      <c r="U83" s="1222"/>
      <c r="V83" s="1222"/>
      <c r="W83" s="1222"/>
      <c r="X83" s="1222"/>
      <c r="Y83" s="1222"/>
      <c r="Z83" s="1222"/>
      <c r="AA83" s="1222"/>
      <c r="AB83" s="1222"/>
      <c r="AC83" s="1222"/>
      <c r="AD83" s="1222"/>
      <c r="AE83" s="1222"/>
      <c r="AF83" s="1222"/>
      <c r="AG83" s="1222"/>
      <c r="AH83" s="1222"/>
      <c r="AI83" s="1222"/>
      <c r="AJ83" s="1222"/>
      <c r="AK83" s="1222"/>
      <c r="AL83" s="1222"/>
      <c r="AM83" s="1222"/>
      <c r="AN83" s="1222"/>
      <c r="AO83" s="1222"/>
      <c r="AP83" s="1222"/>
      <c r="AQ83" s="1222"/>
      <c r="AR83" s="1222"/>
      <c r="AS83" s="1222"/>
      <c r="AT83" s="1222"/>
      <c r="AU83" s="1222"/>
      <c r="AV83" s="1222"/>
      <c r="AW83" s="1222"/>
      <c r="AX83" s="1222"/>
      <c r="AY83" s="1222"/>
      <c r="AZ83" s="1222"/>
      <c r="BA83" s="1222"/>
      <c r="BB83" s="1222"/>
      <c r="BC83" s="1222"/>
      <c r="BD83" s="1222"/>
      <c r="BE83" s="1222"/>
      <c r="BF83" s="1222"/>
      <c r="BG83" s="1222"/>
      <c r="BH83" s="1222"/>
      <c r="BI83" s="1222"/>
      <c r="BJ83" s="1222"/>
      <c r="BK83" s="1222"/>
      <c r="BL83" s="1222"/>
      <c r="BM83" s="1222"/>
      <c r="BN83" s="1222"/>
      <c r="BO83" s="1222"/>
      <c r="BP83" s="1222"/>
      <c r="BQ83" s="1222"/>
      <c r="BR83" s="1222"/>
      <c r="BS83" s="1222"/>
      <c r="BT83" s="1222"/>
      <c r="BU83" s="1222"/>
      <c r="BV83" s="1222"/>
      <c r="BW83" s="1222"/>
      <c r="BX83" s="1222"/>
      <c r="BY83" s="1222"/>
      <c r="BZ83" s="1222"/>
      <c r="CA83" s="1222"/>
      <c r="CB83" s="1222"/>
      <c r="CC83" s="1222"/>
      <c r="CD83" s="1222"/>
      <c r="CE83" s="1222"/>
      <c r="CF83" s="1222"/>
      <c r="CG83" s="1222"/>
      <c r="CH83" s="1222"/>
      <c r="CI83" s="1222"/>
      <c r="CJ83" s="1222"/>
      <c r="CK83" s="1222"/>
      <c r="CL83" s="1222"/>
      <c r="CM83" s="1222"/>
      <c r="CN83" s="1222"/>
      <c r="CO83" s="1222"/>
      <c r="CP83" s="1222"/>
      <c r="CQ83" s="1222"/>
      <c r="CR83" s="1222"/>
      <c r="CS83" s="1222"/>
      <c r="CT83" s="1222"/>
      <c r="CU83" s="1222"/>
      <c r="CV83" s="1222"/>
      <c r="CW83" s="1222"/>
      <c r="CX83" s="1222"/>
      <c r="CY83" s="1222"/>
      <c r="CZ83" s="1222"/>
      <c r="DA83" s="1222"/>
      <c r="DB83" s="1222"/>
      <c r="DC83" s="1222"/>
      <c r="DD83" s="1222"/>
      <c r="DE83" s="1222"/>
      <c r="DF83" s="1222"/>
      <c r="DG83" s="1222"/>
      <c r="DH83" s="1222"/>
      <c r="DI83" s="1222"/>
      <c r="DJ83" s="1222"/>
      <c r="DK83" s="1222"/>
      <c r="DL83" s="1222"/>
      <c r="DM83" s="1222"/>
      <c r="DN83" s="1222"/>
      <c r="DO83" s="1222"/>
      <c r="DP83" s="1222"/>
      <c r="DQ83" s="1222"/>
      <c r="DR83" s="1222"/>
      <c r="DS83" s="1222"/>
      <c r="DT83" s="1222"/>
      <c r="DU83" s="1222"/>
      <c r="DV83" s="1222"/>
      <c r="DW83" s="1222"/>
      <c r="DX83" s="1222"/>
      <c r="DY83" s="1222"/>
      <c r="DZ83" s="1222"/>
      <c r="EA83" s="1222"/>
      <c r="EB83" s="1222"/>
      <c r="EC83" s="1222"/>
      <c r="ED83" s="1222"/>
      <c r="EE83" s="1222"/>
      <c r="EF83" s="1222"/>
      <c r="EG83" s="1222"/>
      <c r="EH83" s="1222"/>
      <c r="EI83" s="1222"/>
      <c r="EJ83" s="1222"/>
      <c r="EK83" s="1222"/>
      <c r="EL83" s="1222"/>
      <c r="EM83" s="1222"/>
      <c r="EN83" s="1222"/>
      <c r="EO83" s="1222"/>
      <c r="EP83" s="1222"/>
      <c r="EQ83" s="1222"/>
      <c r="ER83" s="1222"/>
      <c r="ES83" s="1222"/>
      <c r="ET83" s="1222"/>
      <c r="EU83" s="1222"/>
      <c r="EV83" s="1222"/>
      <c r="EW83" s="1222"/>
      <c r="EX83" s="1222"/>
      <c r="EY83" s="1222"/>
      <c r="EZ83" s="1222"/>
      <c r="FA83" s="1222"/>
      <c r="FB83" s="1222"/>
      <c r="FC83" s="1222"/>
      <c r="FD83" s="1222"/>
      <c r="FE83" s="1222"/>
      <c r="FF83" s="1222"/>
      <c r="FG83" s="1222"/>
      <c r="FH83" s="1222"/>
      <c r="FI83" s="1222"/>
      <c r="FJ83" s="1222"/>
      <c r="FK83" s="1222"/>
      <c r="FL83" s="1222"/>
      <c r="FM83" s="1222"/>
      <c r="FN83" s="1222"/>
      <c r="FO83" s="1222"/>
      <c r="FP83" s="1222"/>
      <c r="FQ83" s="1222"/>
      <c r="FR83" s="1222"/>
      <c r="FS83" s="1222"/>
      <c r="FT83" s="1222"/>
      <c r="FU83" s="1222"/>
      <c r="FV83" s="1222"/>
      <c r="FW83" s="1222"/>
      <c r="FX83" s="1222"/>
      <c r="FY83" s="1222"/>
      <c r="FZ83" s="1222"/>
      <c r="GA83" s="1222"/>
      <c r="GB83" s="1222"/>
      <c r="GC83" s="1222"/>
      <c r="GD83" s="1222"/>
      <c r="GE83" s="1222"/>
      <c r="GF83" s="1222"/>
      <c r="GG83" s="1222"/>
      <c r="GH83" s="1222"/>
      <c r="GI83" s="1222"/>
      <c r="GJ83" s="1222"/>
      <c r="GK83" s="1222"/>
      <c r="GL83" s="1222"/>
      <c r="GM83" s="1222"/>
      <c r="GN83" s="1222"/>
      <c r="GO83" s="1222"/>
      <c r="GP83" s="1222"/>
      <c r="GQ83" s="1222"/>
      <c r="GR83" s="1222"/>
      <c r="GS83" s="1222"/>
      <c r="GT83" s="1222"/>
      <c r="GU83" s="1222"/>
      <c r="GV83" s="1222"/>
      <c r="GW83" s="1222"/>
      <c r="GX83" s="1222"/>
      <c r="GY83" s="1222"/>
      <c r="GZ83" s="1222"/>
      <c r="HA83" s="1222"/>
      <c r="HB83" s="1222"/>
      <c r="HC83" s="1222"/>
      <c r="HD83" s="1222"/>
      <c r="HE83" s="1222"/>
      <c r="HF83" s="1222"/>
      <c r="HG83" s="1222"/>
      <c r="HH83" s="1222"/>
      <c r="HI83" s="1222"/>
      <c r="HJ83" s="1222"/>
      <c r="HK83" s="1222"/>
      <c r="HL83" s="1222"/>
      <c r="HM83" s="1222"/>
      <c r="HN83" s="1222"/>
    </row>
    <row r="84" spans="1:222" s="1238" customFormat="1" ht="21" customHeight="1" thickBot="1">
      <c r="A84" s="1252" t="s">
        <v>349</v>
      </c>
      <c r="B84" s="1231"/>
      <c r="C84" s="1232"/>
      <c r="D84" s="1233"/>
      <c r="E84" s="1235">
        <f>+E78</f>
        <v>0</v>
      </c>
      <c r="F84" s="1234"/>
      <c r="G84" s="1235">
        <f>+G78</f>
        <v>46811</v>
      </c>
      <c r="H84" s="1236"/>
      <c r="I84" s="1236"/>
      <c r="J84" s="1236"/>
      <c r="K84" s="1236"/>
      <c r="L84" s="1236"/>
      <c r="M84" s="1236"/>
      <c r="N84" s="1236"/>
      <c r="O84" s="1236"/>
      <c r="P84" s="1236"/>
      <c r="Q84" s="1237"/>
      <c r="R84" s="1237"/>
      <c r="S84" s="1237"/>
      <c r="T84" s="1237"/>
      <c r="U84" s="1237"/>
      <c r="V84" s="1237"/>
      <c r="W84" s="1237"/>
      <c r="X84" s="1237"/>
      <c r="Y84" s="1237"/>
      <c r="Z84" s="1237"/>
      <c r="AA84" s="1237"/>
      <c r="AB84" s="1237"/>
      <c r="AC84" s="1237"/>
      <c r="AD84" s="1237"/>
      <c r="AE84" s="1237"/>
      <c r="AF84" s="1237"/>
      <c r="AG84" s="1237"/>
      <c r="AH84" s="1237"/>
      <c r="AI84" s="1237"/>
      <c r="AJ84" s="1237"/>
      <c r="AK84" s="1237"/>
      <c r="AL84" s="1237"/>
      <c r="AM84" s="1237"/>
      <c r="AN84" s="1237"/>
      <c r="AO84" s="1237"/>
      <c r="AP84" s="1237"/>
      <c r="AQ84" s="1237"/>
      <c r="AR84" s="1237"/>
      <c r="AS84" s="1237"/>
      <c r="AT84" s="1237"/>
      <c r="AU84" s="1237"/>
      <c r="AV84" s="1237"/>
      <c r="AW84" s="1237"/>
      <c r="AX84" s="1237"/>
      <c r="AY84" s="1237"/>
      <c r="AZ84" s="1237"/>
      <c r="BA84" s="1237"/>
      <c r="BB84" s="1237"/>
      <c r="BC84" s="1237"/>
      <c r="BD84" s="1237"/>
      <c r="BE84" s="1237"/>
      <c r="BF84" s="1237"/>
      <c r="BG84" s="1237"/>
      <c r="BH84" s="1237"/>
      <c r="BI84" s="1237"/>
      <c r="BJ84" s="1237"/>
      <c r="BK84" s="1237"/>
      <c r="BL84" s="1237"/>
      <c r="BM84" s="1237"/>
      <c r="BN84" s="1237"/>
      <c r="BO84" s="1237"/>
      <c r="BP84" s="1237"/>
      <c r="BQ84" s="1237"/>
      <c r="BR84" s="1237"/>
      <c r="BS84" s="1237"/>
      <c r="BT84" s="1237"/>
      <c r="BU84" s="1237"/>
      <c r="BV84" s="1237"/>
      <c r="BW84" s="1237"/>
      <c r="BX84" s="1237"/>
      <c r="BY84" s="1237"/>
      <c r="BZ84" s="1237"/>
      <c r="CA84" s="1237"/>
      <c r="CB84" s="1237"/>
      <c r="CC84" s="1237"/>
      <c r="CD84" s="1237"/>
      <c r="CE84" s="1237"/>
      <c r="CF84" s="1237"/>
      <c r="CG84" s="1237"/>
      <c r="CH84" s="1237"/>
      <c r="CI84" s="1237"/>
      <c r="CJ84" s="1237"/>
      <c r="CK84" s="1237"/>
      <c r="CL84" s="1237"/>
      <c r="CM84" s="1237"/>
      <c r="CN84" s="1237"/>
      <c r="CO84" s="1237"/>
      <c r="CP84" s="1237"/>
      <c r="CQ84" s="1237"/>
      <c r="CR84" s="1237"/>
      <c r="CS84" s="1237"/>
      <c r="CT84" s="1237"/>
      <c r="CU84" s="1237"/>
      <c r="CV84" s="1237"/>
      <c r="CW84" s="1237"/>
      <c r="CX84" s="1237"/>
      <c r="CY84" s="1237"/>
      <c r="CZ84" s="1237"/>
      <c r="DA84" s="1237"/>
      <c r="DB84" s="1237"/>
      <c r="DC84" s="1237"/>
      <c r="DD84" s="1237"/>
      <c r="DE84" s="1237"/>
      <c r="DF84" s="1237"/>
      <c r="DG84" s="1237"/>
      <c r="DH84" s="1237"/>
      <c r="DI84" s="1237"/>
      <c r="DJ84" s="1237"/>
      <c r="DK84" s="1237"/>
      <c r="DL84" s="1237"/>
      <c r="DM84" s="1237"/>
      <c r="DN84" s="1237"/>
      <c r="DO84" s="1237"/>
      <c r="DP84" s="1237"/>
      <c r="DQ84" s="1237"/>
      <c r="DR84" s="1237"/>
      <c r="DS84" s="1237"/>
      <c r="DT84" s="1237"/>
      <c r="DU84" s="1237"/>
      <c r="DV84" s="1237"/>
      <c r="DW84" s="1237"/>
      <c r="DX84" s="1237"/>
      <c r="DY84" s="1237"/>
      <c r="DZ84" s="1237"/>
      <c r="EA84" s="1237"/>
      <c r="EB84" s="1237"/>
      <c r="EC84" s="1237"/>
      <c r="ED84" s="1237"/>
      <c r="EE84" s="1237"/>
      <c r="EF84" s="1237"/>
      <c r="EG84" s="1237"/>
      <c r="EH84" s="1237"/>
      <c r="EI84" s="1237"/>
      <c r="EJ84" s="1237"/>
      <c r="EK84" s="1237"/>
      <c r="EL84" s="1237"/>
      <c r="EM84" s="1237"/>
      <c r="EN84" s="1237"/>
      <c r="EO84" s="1237"/>
      <c r="EP84" s="1237"/>
      <c r="EQ84" s="1237"/>
      <c r="ER84" s="1237"/>
      <c r="ES84" s="1237"/>
      <c r="ET84" s="1237"/>
      <c r="EU84" s="1237"/>
      <c r="EV84" s="1237"/>
      <c r="EW84" s="1237"/>
      <c r="EX84" s="1237"/>
      <c r="EY84" s="1237"/>
      <c r="EZ84" s="1237"/>
      <c r="FA84" s="1237"/>
      <c r="FB84" s="1237"/>
      <c r="FC84" s="1237"/>
      <c r="FD84" s="1237"/>
      <c r="FE84" s="1237"/>
      <c r="FF84" s="1237"/>
      <c r="FG84" s="1237"/>
      <c r="FH84" s="1237"/>
      <c r="FI84" s="1237"/>
      <c r="FJ84" s="1237"/>
      <c r="FK84" s="1237"/>
      <c r="FL84" s="1237"/>
      <c r="FM84" s="1237"/>
      <c r="FN84" s="1237"/>
      <c r="FO84" s="1237"/>
      <c r="FP84" s="1237"/>
      <c r="FQ84" s="1237"/>
      <c r="FR84" s="1237"/>
      <c r="FS84" s="1237"/>
      <c r="FT84" s="1237"/>
      <c r="FU84" s="1237"/>
      <c r="FV84" s="1237"/>
      <c r="FW84" s="1237"/>
      <c r="FX84" s="1237"/>
      <c r="FY84" s="1237"/>
      <c r="FZ84" s="1237"/>
      <c r="GA84" s="1237"/>
      <c r="GB84" s="1237"/>
      <c r="GC84" s="1237"/>
      <c r="GD84" s="1237"/>
      <c r="GE84" s="1237"/>
      <c r="GF84" s="1237"/>
      <c r="GG84" s="1237"/>
      <c r="GH84" s="1237"/>
      <c r="GI84" s="1237"/>
      <c r="GJ84" s="1237"/>
      <c r="GK84" s="1237"/>
      <c r="GL84" s="1237"/>
      <c r="GM84" s="1237"/>
      <c r="GN84" s="1237"/>
      <c r="GO84" s="1237"/>
      <c r="GP84" s="1237"/>
      <c r="GQ84" s="1237"/>
      <c r="GR84" s="1237"/>
      <c r="GS84" s="1237"/>
      <c r="GT84" s="1237"/>
      <c r="GU84" s="1237"/>
      <c r="GV84" s="1237"/>
      <c r="GW84" s="1237"/>
      <c r="GX84" s="1237"/>
      <c r="GY84" s="1237"/>
      <c r="GZ84" s="1237"/>
      <c r="HA84" s="1237"/>
      <c r="HB84" s="1237"/>
      <c r="HC84" s="1237"/>
      <c r="HD84" s="1237"/>
      <c r="HE84" s="1237"/>
      <c r="HF84" s="1237"/>
      <c r="HG84" s="1237"/>
      <c r="HH84" s="1237"/>
      <c r="HI84" s="1237"/>
      <c r="HJ84" s="1237"/>
      <c r="HK84" s="1237"/>
      <c r="HL84" s="1237"/>
      <c r="HM84" s="1237"/>
      <c r="HN84" s="1237"/>
    </row>
    <row r="85" spans="1:222" s="1223" customFormat="1" ht="13.8" thickTop="1">
      <c r="A85" s="1239"/>
      <c r="B85" s="1219"/>
      <c r="C85" s="1220"/>
      <c r="D85" s="1229"/>
      <c r="E85" s="1240"/>
      <c r="F85" s="1240"/>
      <c r="G85" s="1241"/>
      <c r="H85" s="1242"/>
      <c r="I85" s="1242"/>
      <c r="J85" s="1242"/>
      <c r="K85" s="1242"/>
      <c r="L85" s="1242"/>
      <c r="M85" s="1242"/>
      <c r="N85" s="1242"/>
      <c r="O85" s="1242"/>
      <c r="P85" s="1242"/>
      <c r="Q85" s="1222"/>
      <c r="R85" s="1222"/>
      <c r="S85" s="1222"/>
      <c r="T85" s="1222"/>
      <c r="U85" s="1222"/>
      <c r="V85" s="1222"/>
      <c r="W85" s="1222"/>
      <c r="X85" s="1222"/>
      <c r="Y85" s="1222"/>
      <c r="Z85" s="1222"/>
      <c r="AA85" s="1222"/>
      <c r="AB85" s="1222"/>
      <c r="AC85" s="1222"/>
      <c r="AD85" s="1222"/>
      <c r="AE85" s="1222"/>
      <c r="AF85" s="1222"/>
      <c r="AG85" s="1222"/>
      <c r="AH85" s="1222"/>
      <c r="AI85" s="1222"/>
      <c r="AJ85" s="1222"/>
      <c r="AK85" s="1222"/>
      <c r="AL85" s="1222"/>
      <c r="AM85" s="1222"/>
      <c r="AN85" s="1222"/>
      <c r="AO85" s="1222"/>
      <c r="AP85" s="1222"/>
      <c r="AQ85" s="1222"/>
      <c r="AR85" s="1222"/>
      <c r="AS85" s="1222"/>
      <c r="AT85" s="1222"/>
      <c r="AU85" s="1222"/>
      <c r="AV85" s="1222"/>
      <c r="AW85" s="1222"/>
      <c r="AX85" s="1222"/>
      <c r="AY85" s="1222"/>
      <c r="AZ85" s="1222"/>
      <c r="BA85" s="1222"/>
      <c r="BB85" s="1222"/>
      <c r="BC85" s="1222"/>
      <c r="BD85" s="1222"/>
      <c r="BE85" s="1222"/>
      <c r="BF85" s="1222"/>
      <c r="BG85" s="1222"/>
      <c r="BH85" s="1222"/>
      <c r="BI85" s="1222"/>
      <c r="BJ85" s="1222"/>
      <c r="BK85" s="1222"/>
      <c r="BL85" s="1222"/>
      <c r="BM85" s="1222"/>
      <c r="BN85" s="1222"/>
      <c r="BO85" s="1222"/>
      <c r="BP85" s="1222"/>
      <c r="BQ85" s="1222"/>
      <c r="BR85" s="1222"/>
      <c r="BS85" s="1222"/>
      <c r="BT85" s="1222"/>
      <c r="BU85" s="1222"/>
      <c r="BV85" s="1222"/>
      <c r="BW85" s="1222"/>
      <c r="BX85" s="1222"/>
      <c r="BY85" s="1222"/>
      <c r="BZ85" s="1222"/>
      <c r="CA85" s="1222"/>
      <c r="CB85" s="1222"/>
      <c r="CC85" s="1222"/>
      <c r="CD85" s="1222"/>
      <c r="CE85" s="1222"/>
      <c r="CF85" s="1222"/>
      <c r="CG85" s="1222"/>
      <c r="CH85" s="1222"/>
      <c r="CI85" s="1222"/>
      <c r="CJ85" s="1222"/>
      <c r="CK85" s="1222"/>
      <c r="CL85" s="1222"/>
      <c r="CM85" s="1222"/>
      <c r="CN85" s="1222"/>
      <c r="CO85" s="1222"/>
      <c r="CP85" s="1222"/>
      <c r="CQ85" s="1222"/>
      <c r="CR85" s="1222"/>
      <c r="CS85" s="1222"/>
      <c r="CT85" s="1222"/>
      <c r="CU85" s="1222"/>
      <c r="CV85" s="1222"/>
      <c r="CW85" s="1222"/>
      <c r="CX85" s="1222"/>
      <c r="CY85" s="1222"/>
      <c r="CZ85" s="1222"/>
      <c r="DA85" s="1222"/>
      <c r="DB85" s="1222"/>
      <c r="DC85" s="1222"/>
      <c r="DD85" s="1222"/>
      <c r="DE85" s="1222"/>
      <c r="DF85" s="1222"/>
      <c r="DG85" s="1222"/>
      <c r="DH85" s="1222"/>
      <c r="DI85" s="1222"/>
      <c r="DJ85" s="1222"/>
      <c r="DK85" s="1222"/>
      <c r="DL85" s="1222"/>
      <c r="DM85" s="1222"/>
      <c r="DN85" s="1222"/>
      <c r="DO85" s="1222"/>
      <c r="DP85" s="1222"/>
      <c r="DQ85" s="1222"/>
      <c r="DR85" s="1222"/>
      <c r="DS85" s="1222"/>
      <c r="DT85" s="1222"/>
      <c r="DU85" s="1222"/>
      <c r="DV85" s="1222"/>
      <c r="DW85" s="1222"/>
      <c r="DX85" s="1222"/>
      <c r="DY85" s="1222"/>
      <c r="DZ85" s="1222"/>
      <c r="EA85" s="1222"/>
      <c r="EB85" s="1222"/>
      <c r="EC85" s="1222"/>
      <c r="ED85" s="1222"/>
      <c r="EE85" s="1222"/>
      <c r="EF85" s="1222"/>
      <c r="EG85" s="1222"/>
      <c r="EH85" s="1222"/>
      <c r="EI85" s="1222"/>
      <c r="EJ85" s="1222"/>
      <c r="EK85" s="1222"/>
      <c r="EL85" s="1222"/>
      <c r="EM85" s="1222"/>
      <c r="EN85" s="1222"/>
      <c r="EO85" s="1222"/>
      <c r="EP85" s="1222"/>
      <c r="EQ85" s="1222"/>
      <c r="ER85" s="1222"/>
      <c r="ES85" s="1222"/>
      <c r="ET85" s="1222"/>
      <c r="EU85" s="1222"/>
      <c r="EV85" s="1222"/>
      <c r="EW85" s="1222"/>
      <c r="EX85" s="1222"/>
      <c r="EY85" s="1222"/>
      <c r="EZ85" s="1222"/>
      <c r="FA85" s="1222"/>
      <c r="FB85" s="1222"/>
      <c r="FC85" s="1222"/>
      <c r="FD85" s="1222"/>
      <c r="FE85" s="1222"/>
      <c r="FF85" s="1222"/>
      <c r="FG85" s="1222"/>
      <c r="FH85" s="1222"/>
      <c r="FI85" s="1222"/>
      <c r="FJ85" s="1222"/>
      <c r="FK85" s="1222"/>
      <c r="FL85" s="1222"/>
      <c r="FM85" s="1222"/>
      <c r="FN85" s="1222"/>
      <c r="FO85" s="1222"/>
      <c r="FP85" s="1222"/>
      <c r="FQ85" s="1222"/>
      <c r="FR85" s="1222"/>
      <c r="FS85" s="1222"/>
      <c r="FT85" s="1222"/>
      <c r="FU85" s="1222"/>
      <c r="FV85" s="1222"/>
      <c r="FW85" s="1222"/>
      <c r="FX85" s="1222"/>
      <c r="FY85" s="1222"/>
      <c r="FZ85" s="1222"/>
      <c r="GA85" s="1222"/>
      <c r="GB85" s="1222"/>
      <c r="GC85" s="1222"/>
      <c r="GD85" s="1222"/>
      <c r="GE85" s="1222"/>
      <c r="GF85" s="1222"/>
      <c r="GG85" s="1222"/>
      <c r="GH85" s="1222"/>
      <c r="GI85" s="1222"/>
      <c r="GJ85" s="1222"/>
      <c r="GK85" s="1222"/>
      <c r="GL85" s="1222"/>
      <c r="GM85" s="1222"/>
      <c r="GN85" s="1222"/>
      <c r="GO85" s="1222"/>
      <c r="GP85" s="1222"/>
      <c r="GQ85" s="1222"/>
      <c r="GR85" s="1222"/>
      <c r="GS85" s="1222"/>
      <c r="GT85" s="1222"/>
      <c r="GU85" s="1222"/>
      <c r="GV85" s="1222"/>
      <c r="GW85" s="1222"/>
      <c r="GX85" s="1222"/>
      <c r="GY85" s="1222"/>
      <c r="GZ85" s="1222"/>
      <c r="HA85" s="1222"/>
      <c r="HB85" s="1222"/>
      <c r="HC85" s="1222"/>
      <c r="HD85" s="1222"/>
      <c r="HE85" s="1222"/>
      <c r="HF85" s="1222"/>
      <c r="HG85" s="1222"/>
      <c r="HH85" s="1222"/>
      <c r="HI85" s="1222"/>
      <c r="HJ85" s="1222"/>
      <c r="HK85" s="1222"/>
      <c r="HL85" s="1222"/>
      <c r="HM85" s="1222"/>
      <c r="HN85" s="1222"/>
    </row>
    <row r="86" spans="1:222">
      <c r="A86" s="1203" t="s">
        <v>649</v>
      </c>
      <c r="B86" s="1219"/>
      <c r="C86" s="1220"/>
      <c r="D86" s="1253"/>
      <c r="E86" s="1254"/>
      <c r="F86" s="1254"/>
      <c r="G86" s="1254"/>
      <c r="H86" s="1254"/>
      <c r="I86" s="1254"/>
      <c r="J86" s="1254"/>
      <c r="K86" s="1254"/>
      <c r="L86" s="1254"/>
      <c r="M86" s="1254"/>
      <c r="N86" s="1254"/>
      <c r="O86" s="1254"/>
      <c r="P86" s="1254"/>
      <c r="Q86" s="1222"/>
      <c r="R86" s="1222"/>
      <c r="S86" s="1222"/>
      <c r="T86" s="1222"/>
      <c r="U86" s="1222"/>
      <c r="V86" s="1222"/>
      <c r="W86" s="1222"/>
      <c r="X86" s="1222"/>
      <c r="Y86" s="1222"/>
      <c r="Z86" s="1222"/>
      <c r="AA86" s="1222"/>
      <c r="AB86" s="1222"/>
      <c r="AC86" s="1222"/>
      <c r="AD86" s="1222"/>
      <c r="AE86" s="1222"/>
      <c r="AF86" s="1222"/>
      <c r="AG86" s="1222"/>
      <c r="AH86" s="1222"/>
      <c r="AI86" s="1222"/>
      <c r="AJ86" s="1222"/>
      <c r="AK86" s="1222"/>
      <c r="AL86" s="1222"/>
      <c r="AM86" s="1222"/>
      <c r="AN86" s="1222"/>
      <c r="AO86" s="1222"/>
      <c r="AP86" s="1222"/>
      <c r="AQ86" s="1222"/>
      <c r="AR86" s="1222"/>
      <c r="AS86" s="1222"/>
      <c r="AT86" s="1222"/>
      <c r="AU86" s="1222"/>
      <c r="AV86" s="1222"/>
      <c r="AW86" s="1222"/>
      <c r="AX86" s="1222"/>
      <c r="AY86" s="1222"/>
      <c r="AZ86" s="1222"/>
      <c r="BA86" s="1222"/>
      <c r="BB86" s="1222"/>
      <c r="BC86" s="1222"/>
      <c r="BD86" s="1222"/>
      <c r="BE86" s="1222"/>
      <c r="BF86" s="1222"/>
      <c r="BG86" s="1222"/>
      <c r="BH86" s="1222"/>
      <c r="BI86" s="1222"/>
      <c r="BJ86" s="1222"/>
      <c r="BK86" s="1222"/>
      <c r="BL86" s="1222"/>
      <c r="BM86" s="1222"/>
      <c r="BN86" s="1222"/>
      <c r="BO86" s="1222"/>
      <c r="BP86" s="1222"/>
      <c r="BQ86" s="1222"/>
      <c r="BR86" s="1222"/>
      <c r="BS86" s="1222"/>
      <c r="BT86" s="1222"/>
      <c r="BU86" s="1222"/>
      <c r="BV86" s="1222"/>
      <c r="BW86" s="1222"/>
      <c r="BX86" s="1222"/>
      <c r="BY86" s="1222"/>
      <c r="BZ86" s="1222"/>
      <c r="CA86" s="1222"/>
      <c r="CB86" s="1222"/>
      <c r="CC86" s="1222"/>
      <c r="CD86" s="1222"/>
      <c r="CE86" s="1222"/>
      <c r="CF86" s="1222"/>
      <c r="CG86" s="1222"/>
      <c r="CH86" s="1222"/>
      <c r="CI86" s="1222"/>
      <c r="CJ86" s="1222"/>
      <c r="CK86" s="1222"/>
      <c r="CL86" s="1222"/>
      <c r="CM86" s="1222"/>
      <c r="CN86" s="1222"/>
      <c r="CO86" s="1222"/>
      <c r="CP86" s="1222"/>
      <c r="CQ86" s="1222"/>
      <c r="CR86" s="1222"/>
      <c r="CS86" s="1222"/>
      <c r="CT86" s="1222"/>
      <c r="CU86" s="1222"/>
      <c r="CV86" s="1222"/>
      <c r="CW86" s="1222"/>
      <c r="CX86" s="1222"/>
      <c r="CY86" s="1222"/>
      <c r="CZ86" s="1222"/>
      <c r="DA86" s="1222"/>
      <c r="DB86" s="1222"/>
      <c r="DC86" s="1222"/>
      <c r="DD86" s="1222"/>
      <c r="DE86" s="1222"/>
      <c r="DF86" s="1222"/>
      <c r="DG86" s="1222"/>
      <c r="DH86" s="1222"/>
      <c r="DI86" s="1222"/>
      <c r="DJ86" s="1222"/>
      <c r="DK86" s="1222"/>
      <c r="DL86" s="1222"/>
      <c r="DM86" s="1222"/>
      <c r="DN86" s="1222"/>
      <c r="DO86" s="1222"/>
      <c r="DP86" s="1222"/>
      <c r="DQ86" s="1222"/>
      <c r="DR86" s="1222"/>
      <c r="DS86" s="1222"/>
      <c r="DT86" s="1222"/>
      <c r="DU86" s="1222"/>
      <c r="DV86" s="1222"/>
      <c r="DW86" s="1222"/>
      <c r="DX86" s="1222"/>
      <c r="DY86" s="1222"/>
      <c r="DZ86" s="1222"/>
      <c r="EA86" s="1222"/>
      <c r="EB86" s="1222"/>
      <c r="EC86" s="1222"/>
      <c r="ED86" s="1222"/>
      <c r="EE86" s="1222"/>
      <c r="EF86" s="1222"/>
      <c r="EG86" s="1222"/>
      <c r="EH86" s="1222"/>
      <c r="EI86" s="1222"/>
      <c r="EJ86" s="1222"/>
      <c r="EK86" s="1222"/>
      <c r="EL86" s="1222"/>
      <c r="EM86" s="1222"/>
      <c r="EN86" s="1222"/>
      <c r="EO86" s="1222"/>
      <c r="EP86" s="1222"/>
      <c r="EQ86" s="1222"/>
      <c r="ER86" s="1222"/>
      <c r="ES86" s="1222"/>
      <c r="ET86" s="1222"/>
      <c r="EU86" s="1222"/>
      <c r="EV86" s="1222"/>
      <c r="EW86" s="1222"/>
      <c r="EX86" s="1222"/>
      <c r="EY86" s="1222"/>
      <c r="EZ86" s="1222"/>
      <c r="FA86" s="1222"/>
      <c r="FB86" s="1222"/>
      <c r="FC86" s="1222"/>
      <c r="FD86" s="1222"/>
      <c r="FE86" s="1222"/>
      <c r="FF86" s="1222"/>
      <c r="FG86" s="1222"/>
      <c r="FH86" s="1222"/>
      <c r="FI86" s="1222"/>
      <c r="FJ86" s="1222"/>
      <c r="FK86" s="1222"/>
      <c r="FL86" s="1222"/>
      <c r="FM86" s="1222"/>
      <c r="FN86" s="1222"/>
      <c r="FO86" s="1222"/>
      <c r="FP86" s="1222"/>
      <c r="FQ86" s="1222"/>
      <c r="FR86" s="1222"/>
      <c r="FS86" s="1222"/>
      <c r="FT86" s="1222"/>
      <c r="FU86" s="1222"/>
      <c r="FV86" s="1222"/>
      <c r="FW86" s="1222"/>
      <c r="FX86" s="1222"/>
      <c r="FY86" s="1222"/>
      <c r="FZ86" s="1222"/>
      <c r="GA86" s="1222"/>
      <c r="GB86" s="1222"/>
      <c r="GC86" s="1222"/>
      <c r="GD86" s="1222"/>
      <c r="GE86" s="1222"/>
      <c r="GF86" s="1222"/>
      <c r="GG86" s="1222"/>
      <c r="GH86" s="1222"/>
      <c r="GI86" s="1222"/>
      <c r="GJ86" s="1222"/>
      <c r="GK86" s="1222"/>
      <c r="GL86" s="1222"/>
      <c r="GM86" s="1222"/>
      <c r="GN86" s="1222"/>
      <c r="GO86" s="1222"/>
      <c r="GP86" s="1222"/>
      <c r="GQ86" s="1222"/>
      <c r="GR86" s="1222"/>
      <c r="GS86" s="1222"/>
      <c r="GT86" s="1222"/>
      <c r="GU86" s="1222"/>
      <c r="GV86" s="1222"/>
      <c r="GW86" s="1222"/>
      <c r="GX86" s="1222"/>
      <c r="GY86" s="1222"/>
      <c r="GZ86" s="1222"/>
      <c r="HA86" s="1222"/>
      <c r="HB86" s="1222"/>
      <c r="HC86" s="1222"/>
      <c r="HD86" s="1222"/>
      <c r="HE86" s="1222"/>
      <c r="HF86" s="1222"/>
      <c r="HG86" s="1222"/>
      <c r="HH86" s="1222"/>
      <c r="HI86" s="1222"/>
      <c r="HJ86" s="1222"/>
      <c r="HK86" s="1222"/>
      <c r="HL86" s="1222"/>
      <c r="HM86" s="1222"/>
      <c r="HN86" s="1222"/>
    </row>
    <row r="87" spans="1:222" s="1165" customFormat="1" ht="12">
      <c r="D87" s="1273"/>
      <c r="E87" s="1274"/>
      <c r="G87" s="1275"/>
      <c r="P87" s="1276"/>
      <c r="S87" s="1277"/>
      <c r="T87" s="1277"/>
      <c r="U87" s="1277"/>
      <c r="V87" s="1277"/>
      <c r="W87" s="1277"/>
      <c r="X87" s="1277"/>
      <c r="Y87" s="1277"/>
      <c r="Z87" s="1277"/>
      <c r="AB87" s="1278">
        <v>2835</v>
      </c>
    </row>
    <row r="88" spans="1:222" s="1165" customFormat="1">
      <c r="A88" s="1255" t="s">
        <v>490</v>
      </c>
      <c r="D88" s="1279"/>
      <c r="E88" s="1274"/>
      <c r="P88" s="1276"/>
      <c r="S88" s="1277"/>
      <c r="T88" s="1277"/>
      <c r="U88" s="1277"/>
      <c r="V88" s="1277"/>
      <c r="W88" s="1277"/>
      <c r="X88" s="1277"/>
      <c r="Y88" s="1277"/>
      <c r="Z88" s="1277"/>
      <c r="AB88" s="1278">
        <f>AB86-AB87</f>
        <v>-2835</v>
      </c>
    </row>
    <row r="89" spans="1:222" s="1165" customFormat="1">
      <c r="A89" s="1280"/>
      <c r="D89" s="1279"/>
      <c r="E89" s="1274"/>
      <c r="P89" s="1276"/>
      <c r="S89" s="1277"/>
      <c r="T89" s="1277"/>
      <c r="U89" s="1277"/>
      <c r="V89" s="1277"/>
      <c r="W89" s="1277"/>
      <c r="X89" s="1277"/>
      <c r="Y89" s="1277"/>
      <c r="Z89" s="1277"/>
      <c r="AB89" s="1278">
        <f>AB88-AA85</f>
        <v>-2835</v>
      </c>
    </row>
    <row r="90" spans="1:222" s="1165" customFormat="1">
      <c r="A90" s="1255" t="s">
        <v>491</v>
      </c>
      <c r="D90" s="1279"/>
      <c r="E90" s="1274"/>
      <c r="P90" s="1276"/>
      <c r="S90" s="1277"/>
      <c r="T90" s="1277"/>
      <c r="U90" s="1277"/>
      <c r="V90" s="1277"/>
      <c r="W90" s="1277"/>
      <c r="X90" s="1277"/>
      <c r="Y90" s="1277"/>
      <c r="Z90" s="1277"/>
      <c r="AB90" s="1281">
        <f>AB89*1000</f>
        <v>-2835000</v>
      </c>
    </row>
    <row r="91" spans="1:222" s="1283" customFormat="1">
      <c r="A91" s="1169"/>
      <c r="B91" s="1282"/>
      <c r="C91" s="1282"/>
      <c r="D91" s="1282"/>
      <c r="E91" s="1282"/>
      <c r="F91" s="1282"/>
      <c r="G91" s="1282"/>
      <c r="H91" s="1163"/>
      <c r="P91" s="1284"/>
      <c r="S91" s="1285"/>
      <c r="T91" s="1285"/>
      <c r="U91" s="1285"/>
      <c r="V91" s="1285"/>
      <c r="W91" s="1285"/>
      <c r="X91" s="1285"/>
      <c r="Y91" s="1285"/>
      <c r="Z91" s="1285"/>
    </row>
    <row r="92" spans="1:222" s="1165" customFormat="1">
      <c r="A92" s="1255" t="s">
        <v>492</v>
      </c>
      <c r="B92" s="1286"/>
      <c r="C92" s="1286"/>
      <c r="D92" s="1287"/>
      <c r="E92" s="1286"/>
      <c r="F92" s="1286"/>
      <c r="G92" s="1286"/>
      <c r="H92" s="1286"/>
      <c r="P92" s="1276"/>
      <c r="S92" s="1277"/>
      <c r="T92" s="1277"/>
      <c r="U92" s="1277"/>
      <c r="V92" s="1277"/>
      <c r="W92" s="1277"/>
      <c r="X92" s="1277"/>
      <c r="Y92" s="1277"/>
      <c r="Z92" s="1277"/>
    </row>
    <row r="93" spans="1:222" s="1165" customFormat="1" ht="12">
      <c r="A93" s="1263"/>
      <c r="B93" s="1286"/>
      <c r="C93" s="1286"/>
      <c r="D93" s="1287"/>
      <c r="E93" s="1286"/>
      <c r="F93" s="1286"/>
      <c r="G93" s="1286"/>
      <c r="H93" s="1286"/>
      <c r="P93" s="1276"/>
      <c r="S93" s="1277"/>
      <c r="T93" s="1277"/>
      <c r="U93" s="1277"/>
      <c r="V93" s="1277"/>
      <c r="W93" s="1277"/>
      <c r="X93" s="1277"/>
      <c r="Y93" s="1277"/>
      <c r="Z93" s="1277"/>
    </row>
    <row r="94" spans="1:222" s="1165" customFormat="1">
      <c r="A94" s="1169"/>
      <c r="B94" s="1286"/>
      <c r="C94" s="1286"/>
      <c r="D94" s="1287"/>
      <c r="E94" s="1286"/>
      <c r="F94" s="1286"/>
      <c r="G94" s="1286"/>
      <c r="H94" s="1286"/>
      <c r="P94" s="1276"/>
      <c r="S94" s="1277"/>
      <c r="T94" s="1277"/>
      <c r="U94" s="1277"/>
      <c r="V94" s="1277"/>
      <c r="W94" s="1277"/>
      <c r="X94" s="1277"/>
      <c r="Y94" s="1277"/>
      <c r="Z94" s="1277"/>
    </row>
    <row r="95" spans="1:222" s="1165" customFormat="1">
      <c r="A95" s="1169"/>
      <c r="B95" s="1286"/>
      <c r="C95" s="1286"/>
      <c r="D95" s="1287"/>
      <c r="E95" s="1286"/>
      <c r="F95" s="1286"/>
      <c r="G95" s="1286"/>
      <c r="H95" s="1286"/>
      <c r="P95" s="1276"/>
      <c r="S95" s="1277"/>
      <c r="T95" s="1277"/>
      <c r="U95" s="1277"/>
      <c r="V95" s="1277"/>
      <c r="W95" s="1277"/>
      <c r="X95" s="1277"/>
      <c r="Y95" s="1277"/>
      <c r="Z95" s="1277"/>
    </row>
    <row r="96" spans="1:222" s="1165" customFormat="1">
      <c r="A96" s="1288" t="s">
        <v>751</v>
      </c>
      <c r="B96" s="1286"/>
      <c r="C96" s="1286"/>
      <c r="D96" s="1287"/>
      <c r="E96" s="1286"/>
      <c r="F96" s="1286"/>
      <c r="G96" s="1286"/>
      <c r="H96" s="1286"/>
      <c r="P96" s="1276"/>
      <c r="S96" s="1277"/>
      <c r="T96" s="1277"/>
      <c r="U96" s="1277"/>
      <c r="V96" s="1277"/>
      <c r="W96" s="1277"/>
      <c r="X96" s="1277"/>
      <c r="Y96" s="1277"/>
      <c r="Z96" s="1277"/>
    </row>
    <row r="97" spans="1:222" s="1165" customFormat="1" ht="12">
      <c r="A97" s="1289" t="s">
        <v>493</v>
      </c>
      <c r="B97" s="1286"/>
      <c r="C97" s="1286"/>
      <c r="D97" s="1287"/>
      <c r="E97" s="1286"/>
      <c r="F97" s="1286"/>
      <c r="G97" s="1286"/>
      <c r="H97" s="1286"/>
      <c r="P97" s="1276"/>
      <c r="S97" s="1277"/>
      <c r="T97" s="1277"/>
      <c r="U97" s="1277"/>
      <c r="V97" s="1277"/>
      <c r="W97" s="1277"/>
      <c r="X97" s="1277"/>
      <c r="Y97" s="1277"/>
      <c r="Z97" s="1277"/>
    </row>
    <row r="98" spans="1:222" s="1165" customFormat="1" ht="12">
      <c r="A98" s="1289"/>
      <c r="B98" s="1286"/>
      <c r="C98" s="1286"/>
      <c r="D98" s="1287"/>
      <c r="E98" s="1286"/>
      <c r="F98" s="1286"/>
      <c r="G98" s="1286"/>
      <c r="H98" s="1286"/>
      <c r="P98" s="1276"/>
      <c r="S98" s="1277"/>
      <c r="T98" s="1277"/>
      <c r="U98" s="1277"/>
      <c r="V98" s="1277"/>
      <c r="W98" s="1277"/>
      <c r="X98" s="1277"/>
      <c r="Y98" s="1277"/>
      <c r="Z98" s="1277"/>
    </row>
    <row r="99" spans="1:222" s="1165" customFormat="1" ht="12">
      <c r="A99" s="1289"/>
      <c r="B99" s="1286"/>
      <c r="C99" s="1286"/>
      <c r="D99" s="1287"/>
      <c r="E99" s="1286"/>
      <c r="F99" s="1286"/>
      <c r="G99" s="1286"/>
      <c r="H99" s="1286"/>
      <c r="P99" s="1276"/>
      <c r="S99" s="1277"/>
      <c r="T99" s="1277"/>
      <c r="U99" s="1277"/>
      <c r="V99" s="1277"/>
      <c r="W99" s="1277"/>
      <c r="X99" s="1277"/>
      <c r="Y99" s="1277"/>
      <c r="Z99" s="1277"/>
    </row>
    <row r="100" spans="1:222" s="1165" customFormat="1" ht="12">
      <c r="A100" s="1289"/>
      <c r="B100" s="1286"/>
      <c r="C100" s="1286"/>
      <c r="D100" s="1287"/>
      <c r="E100" s="1286"/>
      <c r="F100" s="1286"/>
      <c r="G100" s="1286"/>
      <c r="H100" s="1286"/>
      <c r="P100" s="1276"/>
      <c r="S100" s="1277"/>
      <c r="T100" s="1277"/>
      <c r="U100" s="1277"/>
      <c r="V100" s="1277"/>
      <c r="W100" s="1277"/>
      <c r="X100" s="1277"/>
      <c r="Y100" s="1277"/>
      <c r="Z100" s="1277"/>
    </row>
    <row r="101" spans="1:222" s="1165" customFormat="1" ht="12">
      <c r="A101" s="1289"/>
      <c r="B101" s="1286"/>
      <c r="C101" s="1286"/>
      <c r="D101" s="1287"/>
      <c r="E101" s="1286"/>
      <c r="F101" s="1286"/>
      <c r="G101" s="1286"/>
      <c r="H101" s="1286"/>
      <c r="P101" s="1276"/>
      <c r="S101" s="1277"/>
      <c r="T101" s="1277"/>
      <c r="U101" s="1277"/>
      <c r="V101" s="1277"/>
      <c r="W101" s="1277"/>
      <c r="X101" s="1277"/>
      <c r="Y101" s="1277"/>
      <c r="Z101" s="1277"/>
    </row>
    <row r="102" spans="1:222" s="1165" customFormat="1" ht="12">
      <c r="A102" s="1289"/>
      <c r="B102" s="1286"/>
      <c r="C102" s="1286"/>
      <c r="D102" s="1287"/>
      <c r="E102" s="1286"/>
      <c r="F102" s="1286"/>
      <c r="G102" s="1286"/>
      <c r="H102" s="1286"/>
      <c r="P102" s="1276"/>
      <c r="S102" s="1277"/>
      <c r="T102" s="1277"/>
      <c r="U102" s="1277"/>
      <c r="V102" s="1277"/>
      <c r="W102" s="1277"/>
      <c r="X102" s="1277"/>
      <c r="Y102" s="1277"/>
      <c r="Z102" s="1277"/>
    </row>
    <row r="103" spans="1:222">
      <c r="A103" s="1176"/>
      <c r="B103" s="1256"/>
      <c r="C103" s="1222"/>
      <c r="D103" s="1257"/>
      <c r="E103" s="1258"/>
      <c r="F103" s="1222"/>
      <c r="G103" s="1258"/>
      <c r="Q103" s="1203"/>
      <c r="R103" s="1203"/>
      <c r="S103" s="1203"/>
      <c r="T103" s="1203"/>
      <c r="U103" s="1203"/>
      <c r="V103" s="1203"/>
      <c r="W103" s="1203"/>
      <c r="X103" s="1203"/>
      <c r="Y103" s="1203"/>
      <c r="Z103" s="1203"/>
      <c r="AA103" s="1203"/>
      <c r="AB103" s="1203"/>
      <c r="AC103" s="1203"/>
      <c r="AD103" s="1203"/>
      <c r="AE103" s="1203"/>
      <c r="AF103" s="1203"/>
      <c r="AG103" s="1203"/>
      <c r="AH103" s="1203"/>
      <c r="AI103" s="1203"/>
      <c r="AJ103" s="1203"/>
      <c r="AK103" s="1203"/>
      <c r="AL103" s="1203"/>
      <c r="AM103" s="1203"/>
      <c r="AN103" s="1203"/>
      <c r="AO103" s="1203"/>
      <c r="AP103" s="1203"/>
      <c r="AQ103" s="1203"/>
      <c r="AR103" s="1203"/>
      <c r="AS103" s="1203"/>
      <c r="AT103" s="1203"/>
      <c r="AU103" s="1203"/>
      <c r="AV103" s="1203"/>
      <c r="AW103" s="1203"/>
      <c r="AX103" s="1203"/>
      <c r="AY103" s="1203"/>
      <c r="AZ103" s="1203"/>
      <c r="BA103" s="1203"/>
      <c r="BB103" s="1203"/>
      <c r="BC103" s="1203"/>
      <c r="BD103" s="1203"/>
      <c r="BE103" s="1203"/>
      <c r="BF103" s="1203"/>
      <c r="BG103" s="1203"/>
      <c r="BH103" s="1203"/>
      <c r="BI103" s="1203"/>
      <c r="BJ103" s="1203"/>
      <c r="BK103" s="1203"/>
      <c r="BL103" s="1203"/>
      <c r="BM103" s="1203"/>
      <c r="BN103" s="1203"/>
      <c r="BO103" s="1203"/>
      <c r="BP103" s="1203"/>
      <c r="BQ103" s="1203"/>
      <c r="BR103" s="1203"/>
      <c r="BS103" s="1203"/>
      <c r="BT103" s="1203"/>
      <c r="BU103" s="1203"/>
      <c r="BV103" s="1203"/>
      <c r="BW103" s="1203"/>
      <c r="BX103" s="1203"/>
      <c r="BY103" s="1203"/>
      <c r="BZ103" s="1203"/>
      <c r="CA103" s="1203"/>
      <c r="CB103" s="1203"/>
      <c r="CC103" s="1203"/>
      <c r="CD103" s="1203"/>
      <c r="CE103" s="1203"/>
      <c r="CF103" s="1203"/>
      <c r="CG103" s="1203"/>
      <c r="CH103" s="1203"/>
      <c r="CI103" s="1203"/>
      <c r="CJ103" s="1203"/>
      <c r="CK103" s="1203"/>
      <c r="CL103" s="1203"/>
      <c r="CM103" s="1203"/>
      <c r="CN103" s="1203"/>
      <c r="CO103" s="1203"/>
      <c r="CP103" s="1203"/>
      <c r="CQ103" s="1203"/>
      <c r="CR103" s="1203"/>
      <c r="CS103" s="1203"/>
      <c r="CT103" s="1203"/>
      <c r="CU103" s="1203"/>
      <c r="CV103" s="1203"/>
      <c r="CW103" s="1203"/>
      <c r="CX103" s="1203"/>
      <c r="CY103" s="1203"/>
      <c r="CZ103" s="1203"/>
      <c r="DA103" s="1203"/>
      <c r="DB103" s="1203"/>
      <c r="DC103" s="1203"/>
      <c r="DD103" s="1203"/>
      <c r="DE103" s="1203"/>
      <c r="DF103" s="1203"/>
      <c r="DG103" s="1203"/>
      <c r="DH103" s="1203"/>
      <c r="DI103" s="1203"/>
      <c r="DJ103" s="1203"/>
      <c r="DK103" s="1203"/>
      <c r="DL103" s="1203"/>
      <c r="DM103" s="1203"/>
      <c r="DN103" s="1203"/>
      <c r="DO103" s="1203"/>
      <c r="DP103" s="1203"/>
      <c r="DQ103" s="1203"/>
      <c r="DR103" s="1203"/>
      <c r="DS103" s="1203"/>
      <c r="DT103" s="1203"/>
      <c r="DU103" s="1203"/>
      <c r="DV103" s="1203"/>
      <c r="DW103" s="1203"/>
      <c r="DX103" s="1203"/>
      <c r="DY103" s="1203"/>
      <c r="DZ103" s="1203"/>
      <c r="EA103" s="1203"/>
      <c r="EB103" s="1203"/>
      <c r="EC103" s="1203"/>
      <c r="ED103" s="1203"/>
      <c r="EE103" s="1203"/>
      <c r="EF103" s="1203"/>
      <c r="EG103" s="1203"/>
      <c r="EH103" s="1203"/>
      <c r="EI103" s="1203"/>
      <c r="EJ103" s="1203"/>
      <c r="EK103" s="1203"/>
      <c r="EL103" s="1203"/>
      <c r="EM103" s="1203"/>
      <c r="EN103" s="1203"/>
      <c r="EO103" s="1203"/>
      <c r="EP103" s="1203"/>
      <c r="EQ103" s="1203"/>
      <c r="ER103" s="1203"/>
      <c r="ES103" s="1203"/>
      <c r="ET103" s="1203"/>
      <c r="EU103" s="1203"/>
      <c r="EV103" s="1203"/>
      <c r="EW103" s="1203"/>
      <c r="EX103" s="1203"/>
      <c r="EY103" s="1203"/>
      <c r="EZ103" s="1203"/>
      <c r="FA103" s="1203"/>
      <c r="FB103" s="1203"/>
      <c r="FC103" s="1203"/>
      <c r="FD103" s="1203"/>
      <c r="FE103" s="1203"/>
      <c r="FF103" s="1203"/>
      <c r="FG103" s="1203"/>
      <c r="FH103" s="1203"/>
      <c r="FI103" s="1203"/>
      <c r="FJ103" s="1203"/>
      <c r="FK103" s="1203"/>
      <c r="FL103" s="1203"/>
      <c r="FM103" s="1203"/>
      <c r="FN103" s="1203"/>
      <c r="FO103" s="1203"/>
      <c r="FP103" s="1203"/>
      <c r="FQ103" s="1203"/>
      <c r="FR103" s="1203"/>
      <c r="FS103" s="1203"/>
      <c r="FT103" s="1203"/>
      <c r="FU103" s="1203"/>
      <c r="FV103" s="1203"/>
      <c r="FW103" s="1203"/>
      <c r="FX103" s="1203"/>
      <c r="FY103" s="1203"/>
      <c r="FZ103" s="1203"/>
      <c r="GA103" s="1203"/>
      <c r="GB103" s="1203"/>
      <c r="GC103" s="1203"/>
      <c r="GD103" s="1203"/>
      <c r="GE103" s="1203"/>
      <c r="GF103" s="1203"/>
      <c r="GG103" s="1203"/>
      <c r="GH103" s="1203"/>
      <c r="GI103" s="1203"/>
      <c r="GJ103" s="1203"/>
      <c r="GK103" s="1203"/>
      <c r="GL103" s="1203"/>
      <c r="GM103" s="1203"/>
      <c r="GN103" s="1203"/>
      <c r="GO103" s="1203"/>
      <c r="GP103" s="1203"/>
      <c r="GQ103" s="1203"/>
      <c r="GR103" s="1203"/>
      <c r="GS103" s="1203"/>
      <c r="GT103" s="1203"/>
      <c r="GU103" s="1203"/>
      <c r="GV103" s="1203"/>
      <c r="GW103" s="1203"/>
      <c r="GX103" s="1203"/>
      <c r="GY103" s="1203"/>
      <c r="GZ103" s="1203"/>
      <c r="HA103" s="1203"/>
      <c r="HB103" s="1203"/>
      <c r="HC103" s="1203"/>
      <c r="HD103" s="1203"/>
      <c r="HE103" s="1203"/>
      <c r="HF103" s="1203"/>
      <c r="HG103" s="1203"/>
      <c r="HH103" s="1203"/>
      <c r="HI103" s="1203"/>
      <c r="HJ103" s="1203"/>
      <c r="HK103" s="1203"/>
      <c r="HL103" s="1203"/>
      <c r="HM103" s="1203"/>
      <c r="HN103" s="1203"/>
    </row>
    <row r="104" spans="1:222">
      <c r="A104" s="1176"/>
      <c r="B104" s="1176"/>
      <c r="Q104" s="1203"/>
      <c r="R104" s="1203"/>
      <c r="S104" s="1203"/>
      <c r="T104" s="1203"/>
      <c r="U104" s="1203"/>
      <c r="V104" s="1203"/>
      <c r="W104" s="1203"/>
      <c r="X104" s="1203"/>
      <c r="Y104" s="1203"/>
      <c r="Z104" s="1203"/>
      <c r="AA104" s="1203"/>
      <c r="AB104" s="1203"/>
      <c r="AC104" s="1203"/>
      <c r="AD104" s="1203"/>
      <c r="AE104" s="1203"/>
      <c r="AF104" s="1203"/>
      <c r="AG104" s="1203"/>
      <c r="AH104" s="1203"/>
      <c r="AI104" s="1203"/>
      <c r="AJ104" s="1203"/>
      <c r="AK104" s="1203"/>
      <c r="AL104" s="1203"/>
      <c r="AM104" s="1203"/>
      <c r="AN104" s="1203"/>
      <c r="AO104" s="1203"/>
      <c r="AP104" s="1203"/>
      <c r="AQ104" s="1203"/>
      <c r="AR104" s="1203"/>
      <c r="AS104" s="1203"/>
      <c r="AT104" s="1203"/>
      <c r="AU104" s="1203"/>
      <c r="AV104" s="1203"/>
      <c r="AW104" s="1203"/>
      <c r="AX104" s="1203"/>
      <c r="AY104" s="1203"/>
      <c r="AZ104" s="1203"/>
      <c r="BA104" s="1203"/>
      <c r="BB104" s="1203"/>
      <c r="BC104" s="1203"/>
      <c r="BD104" s="1203"/>
      <c r="BE104" s="1203"/>
      <c r="BF104" s="1203"/>
      <c r="BG104" s="1203"/>
      <c r="BH104" s="1203"/>
      <c r="BI104" s="1203"/>
      <c r="BJ104" s="1203"/>
      <c r="BK104" s="1203"/>
      <c r="BL104" s="1203"/>
      <c r="BM104" s="1203"/>
      <c r="BN104" s="1203"/>
      <c r="BO104" s="1203"/>
      <c r="BP104" s="1203"/>
      <c r="BQ104" s="1203"/>
      <c r="BR104" s="1203"/>
      <c r="BS104" s="1203"/>
      <c r="BT104" s="1203"/>
      <c r="BU104" s="1203"/>
      <c r="BV104" s="1203"/>
      <c r="BW104" s="1203"/>
      <c r="BX104" s="1203"/>
      <c r="BY104" s="1203"/>
      <c r="BZ104" s="1203"/>
      <c r="CA104" s="1203"/>
      <c r="CB104" s="1203"/>
      <c r="CC104" s="1203"/>
      <c r="CD104" s="1203"/>
      <c r="CE104" s="1203"/>
      <c r="CF104" s="1203"/>
      <c r="CG104" s="1203"/>
      <c r="CH104" s="1203"/>
      <c r="CI104" s="1203"/>
      <c r="CJ104" s="1203"/>
      <c r="CK104" s="1203"/>
      <c r="CL104" s="1203"/>
      <c r="CM104" s="1203"/>
      <c r="CN104" s="1203"/>
      <c r="CO104" s="1203"/>
      <c r="CP104" s="1203"/>
      <c r="CQ104" s="1203"/>
      <c r="CR104" s="1203"/>
      <c r="CS104" s="1203"/>
      <c r="CT104" s="1203"/>
      <c r="CU104" s="1203"/>
      <c r="CV104" s="1203"/>
      <c r="CW104" s="1203"/>
      <c r="CX104" s="1203"/>
      <c r="CY104" s="1203"/>
      <c r="CZ104" s="1203"/>
      <c r="DA104" s="1203"/>
      <c r="DB104" s="1203"/>
      <c r="DC104" s="1203"/>
      <c r="DD104" s="1203"/>
      <c r="DE104" s="1203"/>
      <c r="DF104" s="1203"/>
      <c r="DG104" s="1203"/>
      <c r="DH104" s="1203"/>
      <c r="DI104" s="1203"/>
      <c r="DJ104" s="1203"/>
      <c r="DK104" s="1203"/>
      <c r="DL104" s="1203"/>
      <c r="DM104" s="1203"/>
      <c r="DN104" s="1203"/>
      <c r="DO104" s="1203"/>
      <c r="DP104" s="1203"/>
      <c r="DQ104" s="1203"/>
      <c r="DR104" s="1203"/>
      <c r="DS104" s="1203"/>
      <c r="DT104" s="1203"/>
      <c r="DU104" s="1203"/>
      <c r="DV104" s="1203"/>
      <c r="DW104" s="1203"/>
      <c r="DX104" s="1203"/>
      <c r="DY104" s="1203"/>
      <c r="DZ104" s="1203"/>
      <c r="EA104" s="1203"/>
      <c r="EB104" s="1203"/>
      <c r="EC104" s="1203"/>
      <c r="ED104" s="1203"/>
      <c r="EE104" s="1203"/>
      <c r="EF104" s="1203"/>
      <c r="EG104" s="1203"/>
      <c r="EH104" s="1203"/>
      <c r="EI104" s="1203"/>
      <c r="EJ104" s="1203"/>
      <c r="EK104" s="1203"/>
      <c r="EL104" s="1203"/>
      <c r="EM104" s="1203"/>
      <c r="EN104" s="1203"/>
      <c r="EO104" s="1203"/>
      <c r="EP104" s="1203"/>
      <c r="EQ104" s="1203"/>
      <c r="ER104" s="1203"/>
      <c r="ES104" s="1203"/>
      <c r="ET104" s="1203"/>
      <c r="EU104" s="1203"/>
      <c r="EV104" s="1203"/>
      <c r="EW104" s="1203"/>
      <c r="EX104" s="1203"/>
      <c r="EY104" s="1203"/>
      <c r="EZ104" s="1203"/>
      <c r="FA104" s="1203"/>
      <c r="FB104" s="1203"/>
      <c r="FC104" s="1203"/>
      <c r="FD104" s="1203"/>
      <c r="FE104" s="1203"/>
      <c r="FF104" s="1203"/>
      <c r="FG104" s="1203"/>
      <c r="FH104" s="1203"/>
      <c r="FI104" s="1203"/>
      <c r="FJ104" s="1203"/>
      <c r="FK104" s="1203"/>
      <c r="FL104" s="1203"/>
      <c r="FM104" s="1203"/>
      <c r="FN104" s="1203"/>
      <c r="FO104" s="1203"/>
      <c r="FP104" s="1203"/>
      <c r="FQ104" s="1203"/>
      <c r="FR104" s="1203"/>
      <c r="FS104" s="1203"/>
      <c r="FT104" s="1203"/>
      <c r="FU104" s="1203"/>
      <c r="FV104" s="1203"/>
      <c r="FW104" s="1203"/>
      <c r="FX104" s="1203"/>
      <c r="FY104" s="1203"/>
      <c r="FZ104" s="1203"/>
      <c r="GA104" s="1203"/>
      <c r="GB104" s="1203"/>
      <c r="GC104" s="1203"/>
      <c r="GD104" s="1203"/>
      <c r="GE104" s="1203"/>
      <c r="GF104" s="1203"/>
      <c r="GG104" s="1203"/>
      <c r="GH104" s="1203"/>
      <c r="GI104" s="1203"/>
      <c r="GJ104" s="1203"/>
      <c r="GK104" s="1203"/>
      <c r="GL104" s="1203"/>
      <c r="GM104" s="1203"/>
      <c r="GN104" s="1203"/>
      <c r="GO104" s="1203"/>
      <c r="GP104" s="1203"/>
      <c r="GQ104" s="1203"/>
      <c r="GR104" s="1203"/>
      <c r="GS104" s="1203"/>
      <c r="GT104" s="1203"/>
      <c r="GU104" s="1203"/>
      <c r="GV104" s="1203"/>
      <c r="GW104" s="1203"/>
      <c r="GX104" s="1203"/>
      <c r="GY104" s="1203"/>
      <c r="GZ104" s="1203"/>
      <c r="HA104" s="1203"/>
      <c r="HB104" s="1203"/>
      <c r="HC104" s="1203"/>
      <c r="HD104" s="1203"/>
      <c r="HE104" s="1203"/>
      <c r="HF104" s="1203"/>
      <c r="HG104" s="1203"/>
      <c r="HH104" s="1203"/>
      <c r="HI104" s="1203"/>
      <c r="HJ104" s="1203"/>
      <c r="HK104" s="1203"/>
      <c r="HL104" s="1203"/>
      <c r="HM104" s="1203"/>
      <c r="HN104" s="1203"/>
    </row>
    <row r="106" spans="1:222">
      <c r="E106" s="1178">
        <v>-8927.890749999995</v>
      </c>
    </row>
    <row r="107" spans="1:222">
      <c r="A107" s="1176"/>
      <c r="B107" s="1176"/>
      <c r="C107" s="1178"/>
      <c r="D107" s="1206"/>
      <c r="F107" s="1178"/>
    </row>
    <row r="108" spans="1:222">
      <c r="A108" s="1176"/>
      <c r="B108" s="1176"/>
    </row>
    <row r="110" spans="1:222">
      <c r="A110" s="1176"/>
      <c r="B110" s="1176"/>
    </row>
    <row r="111" spans="1:222">
      <c r="A111" s="1176"/>
      <c r="B111" s="1176"/>
    </row>
  </sheetData>
  <mergeCells count="7">
    <mergeCell ref="A20:G22"/>
    <mergeCell ref="E24:G24"/>
    <mergeCell ref="E25:G25"/>
    <mergeCell ref="E27:G27"/>
    <mergeCell ref="A4:H4"/>
    <mergeCell ref="A7:C7"/>
    <mergeCell ref="B15:G15"/>
  </mergeCells>
  <pageMargins left="0.7" right="0.31" top="0.67" bottom="0.23" header="0.46" footer="0.23"/>
  <pageSetup scale="50" fitToWidth="0" orientation="portrait" r:id="rId1"/>
  <headerFooter alignWithMargins="0"/>
  <ignoredErrors>
    <ignoredError sqref="A103:H1048576 A4:H6 E72:G72 A73:H86 A27:H68 A26:D26 H26 A24:H25 A8:H19 B7:H7 A21:H23 B20:H20 A1:H1" unlockedFormula="1"/>
    <ignoredError sqref="E26:G26" numberStoredAsText="1"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K122"/>
  <sheetViews>
    <sheetView showGridLines="0" view="pageBreakPreview" topLeftCell="A24" zoomScale="90" zoomScaleNormal="85" zoomScaleSheetLayoutView="90" workbookViewId="0">
      <selection activeCell="B64" sqref="B64:I68"/>
    </sheetView>
  </sheetViews>
  <sheetFormatPr defaultColWidth="9.109375" defaultRowHeight="15" customHeight="1"/>
  <cols>
    <col min="1" max="1" width="5.6640625" style="204" customWidth="1"/>
    <col min="2" max="2" width="31.88671875" style="327" customWidth="1"/>
    <col min="3" max="3" width="13.109375" style="327" customWidth="1"/>
    <col min="4" max="4" width="10.6640625" style="218" bestFit="1" customWidth="1"/>
    <col min="5" max="5" width="14.109375" style="207" customWidth="1"/>
    <col min="6" max="6" width="11.5546875" style="207" customWidth="1"/>
    <col min="7" max="7" width="19.33203125" style="207" customWidth="1"/>
    <col min="8" max="8" width="1" style="207" customWidth="1"/>
    <col min="9" max="9" width="19.109375" style="207" customWidth="1"/>
    <col min="10" max="10" width="9.88671875" style="207" customWidth="1"/>
    <col min="11" max="11" width="8" style="207" customWidth="1"/>
    <col min="12" max="12" width="12" style="207" hidden="1" customWidth="1"/>
    <col min="13" max="13" width="10.33203125" style="207" hidden="1" customWidth="1"/>
    <col min="14" max="14" width="14.109375" style="207" hidden="1" customWidth="1"/>
    <col min="15" max="15" width="10" style="207" hidden="1" customWidth="1"/>
    <col min="16" max="16" width="10.5546875" style="207" hidden="1" customWidth="1"/>
    <col min="17" max="17" width="11.88671875" style="207" hidden="1" customWidth="1"/>
    <col min="18" max="18" width="14.109375" style="207" hidden="1" customWidth="1"/>
    <col min="19" max="19" width="10.6640625" style="207" hidden="1" customWidth="1"/>
    <col min="20" max="20" width="11.5546875" style="207" hidden="1" customWidth="1"/>
    <col min="21" max="21" width="15" style="207" hidden="1" customWidth="1"/>
    <col min="22" max="22" width="10.109375" style="207" hidden="1" customWidth="1"/>
    <col min="23" max="23" width="12.44140625" style="207" hidden="1" customWidth="1"/>
    <col min="24" max="24" width="9.44140625" style="207" hidden="1" customWidth="1"/>
    <col min="25" max="26" width="0" style="207" hidden="1" customWidth="1"/>
    <col min="27" max="27" width="9.33203125" style="207" hidden="1" customWidth="1"/>
    <col min="28" max="31" width="0" style="207" hidden="1" customWidth="1"/>
    <col min="32" max="32" width="10" style="207" bestFit="1" customWidth="1"/>
    <col min="33" max="33" width="9.109375" style="207" customWidth="1"/>
    <col min="34" max="34" width="9.5546875" style="207" bestFit="1" customWidth="1"/>
    <col min="35" max="35" width="26.33203125" style="207" bestFit="1" customWidth="1"/>
    <col min="36" max="36" width="27.88671875" style="207" bestFit="1" customWidth="1"/>
    <col min="37" max="37" width="26.109375" style="207" bestFit="1" customWidth="1"/>
    <col min="38" max="38" width="17.33203125" style="207" bestFit="1" customWidth="1"/>
    <col min="39" max="16384" width="9.109375" style="207"/>
  </cols>
  <sheetData>
    <row r="1" spans="1:9" ht="15" hidden="1" customHeight="1">
      <c r="B1" s="218"/>
      <c r="C1" s="218"/>
      <c r="E1" s="218"/>
      <c r="F1" s="218"/>
    </row>
    <row r="2" spans="1:9" s="921" customFormat="1" ht="15" hidden="1" customHeight="1">
      <c r="A2" s="918">
        <v>5.5</v>
      </c>
      <c r="B2" s="919" t="s">
        <v>481</v>
      </c>
      <c r="C2" s="920"/>
      <c r="D2" s="920"/>
      <c r="E2" s="920"/>
      <c r="F2" s="920"/>
    </row>
    <row r="3" spans="1:9" s="921" customFormat="1" ht="15" hidden="1" customHeight="1">
      <c r="A3" s="922"/>
      <c r="B3" s="920"/>
      <c r="C3" s="920"/>
      <c r="D3" s="920"/>
      <c r="E3" s="920"/>
      <c r="F3" s="920"/>
    </row>
    <row r="4" spans="1:9" s="921" customFormat="1" ht="36" hidden="1" customHeight="1">
      <c r="A4" s="922"/>
      <c r="B4" s="923" t="s">
        <v>309</v>
      </c>
      <c r="C4" s="924" t="s">
        <v>310</v>
      </c>
      <c r="D4" s="925" t="s">
        <v>211</v>
      </c>
      <c r="E4" s="925" t="s">
        <v>311</v>
      </c>
      <c r="F4" s="924" t="s">
        <v>495</v>
      </c>
      <c r="G4" s="926" t="s">
        <v>312</v>
      </c>
      <c r="H4" s="927"/>
      <c r="I4" s="928" t="s">
        <v>323</v>
      </c>
    </row>
    <row r="5" spans="1:9" s="921" customFormat="1" ht="15" hidden="1" customHeight="1">
      <c r="A5" s="922"/>
      <c r="B5" s="920"/>
      <c r="C5" s="1406" t="s">
        <v>348</v>
      </c>
      <c r="D5" s="1406"/>
      <c r="E5" s="1406"/>
      <c r="F5" s="1406"/>
      <c r="G5" s="1407" t="s">
        <v>208</v>
      </c>
      <c r="H5" s="1407"/>
      <c r="I5" s="1407"/>
    </row>
    <row r="6" spans="1:9" s="921" customFormat="1" ht="15" hidden="1" customHeight="1">
      <c r="A6" s="922"/>
      <c r="B6" s="920"/>
      <c r="C6" s="929"/>
      <c r="D6" s="929"/>
      <c r="E6" s="929"/>
      <c r="F6" s="929"/>
      <c r="G6" s="929"/>
      <c r="H6" s="930"/>
    </row>
    <row r="7" spans="1:9" s="921" customFormat="1" ht="15" hidden="1" customHeight="1">
      <c r="A7" s="922"/>
      <c r="B7" s="920" t="s">
        <v>458</v>
      </c>
      <c r="C7" s="931"/>
      <c r="D7" s="932"/>
      <c r="E7" s="932"/>
      <c r="F7" s="933">
        <f>E7/BS!$G$30*100</f>
        <v>0</v>
      </c>
      <c r="G7" s="933">
        <f>F7/BS!$G$30*100</f>
        <v>0</v>
      </c>
      <c r="H7" s="934"/>
      <c r="I7" s="933" t="e">
        <f>F7/'Note 1-5'!#REF!*100</f>
        <v>#REF!</v>
      </c>
    </row>
    <row r="8" spans="1:9" s="921" customFormat="1" ht="15" hidden="1" customHeight="1">
      <c r="A8" s="922"/>
      <c r="B8" s="920"/>
      <c r="C8" s="920"/>
      <c r="D8" s="920"/>
      <c r="E8" s="920"/>
      <c r="F8" s="935"/>
      <c r="G8" s="936"/>
      <c r="H8" s="930"/>
      <c r="I8" s="930"/>
    </row>
    <row r="9" spans="1:9" s="921" customFormat="1" ht="15" hidden="1" customHeight="1" thickBot="1">
      <c r="A9" s="922"/>
      <c r="B9" s="937" t="s">
        <v>478</v>
      </c>
      <c r="C9" s="920"/>
      <c r="D9" s="920"/>
      <c r="E9" s="920"/>
      <c r="F9" s="938">
        <f>SUM(F7:F8)</f>
        <v>0</v>
      </c>
      <c r="G9" s="936"/>
      <c r="H9" s="930"/>
      <c r="I9" s="930"/>
    </row>
    <row r="10" spans="1:9" s="921" customFormat="1" ht="15" hidden="1" customHeight="1" thickTop="1">
      <c r="A10" s="922"/>
      <c r="B10" s="937"/>
      <c r="C10" s="920"/>
      <c r="D10" s="920"/>
      <c r="E10" s="920"/>
      <c r="F10" s="939"/>
      <c r="G10" s="936"/>
      <c r="H10" s="930"/>
      <c r="I10" s="930"/>
    </row>
    <row r="11" spans="1:9" s="921" customFormat="1" ht="15" hidden="1" customHeight="1" thickBot="1">
      <c r="A11" s="922"/>
      <c r="B11" s="940" t="s">
        <v>395</v>
      </c>
      <c r="C11" s="920"/>
      <c r="D11" s="920"/>
      <c r="E11" s="920"/>
      <c r="F11" s="941">
        <v>50000</v>
      </c>
      <c r="G11" s="936"/>
      <c r="H11" s="930"/>
      <c r="I11" s="930"/>
    </row>
    <row r="12" spans="1:9" s="921" customFormat="1" ht="15" hidden="1" customHeight="1" thickTop="1">
      <c r="A12" s="922"/>
      <c r="B12" s="920"/>
      <c r="C12" s="920"/>
      <c r="D12" s="920"/>
      <c r="E12" s="920"/>
      <c r="F12" s="920"/>
    </row>
    <row r="13" spans="1:9" s="921" customFormat="1" ht="15" hidden="1" customHeight="1">
      <c r="A13" s="918">
        <v>5.6</v>
      </c>
      <c r="B13" s="919" t="s">
        <v>456</v>
      </c>
      <c r="C13" s="920"/>
      <c r="D13" s="920"/>
      <c r="E13" s="920"/>
      <c r="F13" s="920"/>
    </row>
    <row r="14" spans="1:9" s="921" customFormat="1" ht="9" hidden="1" customHeight="1">
      <c r="A14" s="922"/>
      <c r="B14" s="920"/>
      <c r="C14" s="920"/>
      <c r="D14" s="920"/>
      <c r="E14" s="920"/>
      <c r="F14" s="920"/>
    </row>
    <row r="15" spans="1:9" s="921" customFormat="1" ht="50.25" hidden="1" customHeight="1">
      <c r="A15" s="922"/>
      <c r="B15" s="923" t="s">
        <v>309</v>
      </c>
      <c r="C15" s="924" t="s">
        <v>310</v>
      </c>
      <c r="D15" s="925" t="s">
        <v>211</v>
      </c>
      <c r="E15" s="925" t="s">
        <v>311</v>
      </c>
      <c r="F15" s="924" t="s">
        <v>495</v>
      </c>
      <c r="G15" s="926" t="s">
        <v>312</v>
      </c>
      <c r="H15" s="927"/>
      <c r="I15" s="928" t="s">
        <v>323</v>
      </c>
    </row>
    <row r="16" spans="1:9" s="921" customFormat="1" ht="15" hidden="1" customHeight="1">
      <c r="A16" s="922"/>
      <c r="B16" s="920"/>
      <c r="C16" s="1406" t="s">
        <v>348</v>
      </c>
      <c r="D16" s="1406"/>
      <c r="E16" s="1406"/>
      <c r="F16" s="1406"/>
      <c r="G16" s="1407" t="s">
        <v>208</v>
      </c>
      <c r="H16" s="1407"/>
      <c r="I16" s="1407"/>
    </row>
    <row r="17" spans="1:12" s="921" customFormat="1" ht="8.25" hidden="1" customHeight="1">
      <c r="A17" s="922"/>
      <c r="B17" s="920"/>
      <c r="C17" s="929"/>
      <c r="D17" s="929"/>
      <c r="E17" s="929"/>
      <c r="F17" s="929"/>
      <c r="G17" s="929"/>
      <c r="H17" s="930"/>
    </row>
    <row r="18" spans="1:12" s="921" customFormat="1" ht="15" hidden="1" customHeight="1">
      <c r="A18" s="922"/>
      <c r="B18" s="920"/>
      <c r="C18" s="931"/>
      <c r="D18" s="932"/>
      <c r="E18" s="932"/>
      <c r="F18" s="942"/>
      <c r="G18" s="933">
        <f>F18/BS!$G$30*100</f>
        <v>0</v>
      </c>
      <c r="H18" s="934"/>
      <c r="I18" s="933" t="e">
        <f>F18/'Note 1-5'!#REF!*100</f>
        <v>#REF!</v>
      </c>
    </row>
    <row r="19" spans="1:12" s="921" customFormat="1" ht="15" hidden="1" customHeight="1">
      <c r="A19" s="922"/>
      <c r="B19" s="920"/>
      <c r="C19" s="920"/>
      <c r="D19" s="920"/>
      <c r="E19" s="920"/>
      <c r="F19" s="920"/>
      <c r="G19" s="936"/>
      <c r="H19" s="930"/>
      <c r="I19" s="930"/>
    </row>
    <row r="20" spans="1:12" s="921" customFormat="1" ht="15" hidden="1" customHeight="1" thickBot="1">
      <c r="A20" s="922"/>
      <c r="B20" s="937" t="s">
        <v>478</v>
      </c>
      <c r="C20" s="920"/>
      <c r="D20" s="920"/>
      <c r="E20" s="920"/>
      <c r="F20" s="943">
        <f>SUM(F18:F19)</f>
        <v>0</v>
      </c>
      <c r="G20" s="936"/>
      <c r="H20" s="930"/>
      <c r="I20" s="930"/>
    </row>
    <row r="21" spans="1:12" s="921" customFormat="1" ht="7.5" hidden="1" customHeight="1" thickTop="1">
      <c r="A21" s="922"/>
      <c r="B21" s="937"/>
      <c r="C21" s="920"/>
      <c r="D21" s="920"/>
      <c r="E21" s="920"/>
      <c r="F21" s="939"/>
      <c r="G21" s="936"/>
      <c r="H21" s="930"/>
      <c r="I21" s="930"/>
    </row>
    <row r="22" spans="1:12" s="921" customFormat="1" ht="15" hidden="1" customHeight="1" thickBot="1">
      <c r="A22" s="922"/>
      <c r="B22" s="940" t="s">
        <v>395</v>
      </c>
      <c r="C22" s="920"/>
      <c r="D22" s="920"/>
      <c r="E22" s="920"/>
      <c r="F22" s="941" t="s">
        <v>457</v>
      </c>
      <c r="G22" s="936"/>
      <c r="H22" s="930"/>
      <c r="I22" s="930"/>
    </row>
    <row r="23" spans="1:12" s="921" customFormat="1" ht="6.75" hidden="1" customHeight="1" thickTop="1">
      <c r="A23" s="922"/>
      <c r="B23" s="920"/>
      <c r="C23" s="920"/>
      <c r="D23" s="920"/>
      <c r="E23" s="920"/>
      <c r="F23" s="920"/>
      <c r="G23" s="936"/>
      <c r="H23" s="930"/>
      <c r="I23" s="930"/>
    </row>
    <row r="24" spans="1:12" ht="15" customHeight="1">
      <c r="B24" s="218"/>
      <c r="C24" s="218"/>
      <c r="E24" s="218"/>
      <c r="F24" s="218"/>
      <c r="G24" s="371" t="s">
        <v>193</v>
      </c>
      <c r="H24" s="202"/>
      <c r="I24" s="202" t="s">
        <v>125</v>
      </c>
    </row>
    <row r="25" spans="1:12" ht="15" customHeight="1">
      <c r="B25" s="218"/>
      <c r="C25" s="218"/>
      <c r="E25" s="218"/>
      <c r="F25" s="218"/>
      <c r="G25" s="95" t="s">
        <v>571</v>
      </c>
      <c r="H25" s="284"/>
      <c r="I25" s="284" t="s">
        <v>194</v>
      </c>
    </row>
    <row r="26" spans="1:12" ht="15" customHeight="1">
      <c r="B26" s="218"/>
      <c r="C26" s="218"/>
      <c r="E26" s="218"/>
      <c r="F26" s="113" t="s">
        <v>129</v>
      </c>
      <c r="G26" s="94">
        <v>2021</v>
      </c>
      <c r="H26" s="283"/>
      <c r="I26" s="283">
        <v>2021</v>
      </c>
    </row>
    <row r="27" spans="1:12" ht="15" customHeight="1">
      <c r="B27" s="218"/>
      <c r="C27" s="218"/>
      <c r="E27" s="218"/>
      <c r="G27" s="1329" t="s">
        <v>195</v>
      </c>
      <c r="H27" s="1329"/>
      <c r="I27" s="1329"/>
    </row>
    <row r="28" spans="1:12" ht="15" customHeight="1">
      <c r="A28" s="114">
        <f>'Note 5.2-5.3'!A52+0.1</f>
        <v>7.3999999999999986</v>
      </c>
      <c r="B28" s="115" t="s">
        <v>224</v>
      </c>
      <c r="C28" s="218"/>
      <c r="E28" s="218"/>
      <c r="F28" s="218"/>
      <c r="G28" s="218"/>
      <c r="H28" s="218"/>
      <c r="I28" s="218"/>
    </row>
    <row r="29" spans="1:12" ht="15" customHeight="1">
      <c r="B29" s="115" t="s">
        <v>225</v>
      </c>
      <c r="C29" s="218"/>
      <c r="E29" s="218"/>
      <c r="F29" s="218"/>
      <c r="G29" s="218"/>
      <c r="H29" s="218"/>
      <c r="I29" s="218"/>
    </row>
    <row r="30" spans="1:12" ht="15" customHeight="1">
      <c r="B30" s="218"/>
      <c r="C30" s="218"/>
      <c r="E30" s="218"/>
      <c r="F30" s="218"/>
      <c r="G30" s="218"/>
      <c r="H30" s="218"/>
      <c r="I30" s="218"/>
    </row>
    <row r="31" spans="1:12" ht="13.2">
      <c r="B31" s="201" t="s">
        <v>226</v>
      </c>
      <c r="C31" s="218"/>
      <c r="E31" s="218"/>
      <c r="F31" s="387" t="s">
        <v>598</v>
      </c>
      <c r="G31" s="116">
        <f>+'Note 5.1'!K119</f>
        <v>297050.77400000003</v>
      </c>
      <c r="H31" s="201"/>
      <c r="I31" s="388">
        <v>273292</v>
      </c>
    </row>
    <row r="32" spans="1:12" ht="13.2">
      <c r="B32" s="201" t="s">
        <v>227</v>
      </c>
      <c r="C32" s="218"/>
      <c r="E32" s="218"/>
      <c r="F32" s="387" t="str">
        <f>F31</f>
        <v>7.1, 7.2, 7.3</v>
      </c>
      <c r="G32" s="116">
        <f>+'Note 5.1'!J119</f>
        <v>312213.15099999995</v>
      </c>
      <c r="H32" s="201"/>
      <c r="I32" s="388">
        <v>256169</v>
      </c>
      <c r="J32" s="332"/>
      <c r="L32" s="306"/>
    </row>
    <row r="33" spans="1:33" s="204" customFormat="1" ht="21" customHeight="1" thickBot="1">
      <c r="B33" s="201"/>
      <c r="C33" s="201"/>
      <c r="D33" s="201"/>
      <c r="E33" s="201"/>
      <c r="F33" s="389"/>
      <c r="G33" s="117">
        <f>G31-G32</f>
        <v>-15162.37699999992</v>
      </c>
      <c r="H33" s="201"/>
      <c r="I33" s="1053">
        <f>I31-I32</f>
        <v>17123</v>
      </c>
      <c r="J33" s="889">
        <f>+G33-IS!E17</f>
        <v>8.5492501966655254E-11</v>
      </c>
    </row>
    <row r="34" spans="1:33" ht="15" customHeight="1" thickTop="1">
      <c r="B34" s="375"/>
      <c r="C34" s="375"/>
      <c r="D34" s="375"/>
      <c r="E34" s="375"/>
      <c r="F34" s="390"/>
      <c r="G34" s="201"/>
      <c r="H34" s="201"/>
      <c r="I34" s="201"/>
    </row>
    <row r="35" spans="1:33" ht="15" customHeight="1">
      <c r="A35" s="118" t="str">
        <f>CONCATENATE('Note 1-5'!A116+1,".")</f>
        <v>8.</v>
      </c>
      <c r="B35" s="119" t="s">
        <v>228</v>
      </c>
      <c r="C35" s="375"/>
      <c r="D35" s="375"/>
      <c r="E35" s="375"/>
      <c r="F35" s="390"/>
      <c r="G35" s="24"/>
      <c r="H35" s="204"/>
      <c r="I35" s="204"/>
      <c r="J35" s="120"/>
    </row>
    <row r="36" spans="1:33" ht="15" customHeight="1">
      <c r="B36" s="11"/>
      <c r="C36" s="375"/>
      <c r="D36" s="375"/>
      <c r="E36" s="375"/>
      <c r="F36" s="389"/>
      <c r="G36" s="201"/>
      <c r="H36" s="201"/>
      <c r="I36" s="201"/>
    </row>
    <row r="37" spans="1:33" ht="13.2">
      <c r="B37" s="204" t="s">
        <v>380</v>
      </c>
      <c r="C37" s="375"/>
      <c r="D37" s="375"/>
      <c r="E37" s="375"/>
      <c r="F37" s="257">
        <v>8.1</v>
      </c>
      <c r="G37" s="185">
        <f>-TB!G86</f>
        <v>0</v>
      </c>
      <c r="H37" s="391"/>
      <c r="I37" s="391">
        <v>6269</v>
      </c>
      <c r="J37" s="122"/>
    </row>
    <row r="38" spans="1:33" ht="13.2">
      <c r="B38" s="204" t="s">
        <v>229</v>
      </c>
      <c r="C38" s="375"/>
      <c r="D38" s="375"/>
      <c r="E38" s="375"/>
      <c r="F38" s="257"/>
      <c r="G38" s="205"/>
      <c r="H38" s="205"/>
      <c r="I38" s="205"/>
      <c r="K38" s="223"/>
      <c r="L38" s="223"/>
      <c r="U38" s="392" t="s">
        <v>230</v>
      </c>
      <c r="V38" s="392" t="s">
        <v>230</v>
      </c>
      <c r="W38" s="392" t="s">
        <v>231</v>
      </c>
    </row>
    <row r="39" spans="1:33" ht="13.2">
      <c r="B39" s="383" t="s">
        <v>232</v>
      </c>
      <c r="C39" s="375"/>
      <c r="D39" s="375"/>
      <c r="E39" s="375"/>
      <c r="F39" s="257">
        <v>8.1999999999999993</v>
      </c>
      <c r="G39" s="185">
        <f>-TB!G75</f>
        <v>5872.2498700000006</v>
      </c>
      <c r="H39" s="391"/>
      <c r="I39" s="391">
        <v>5872.2498599999999</v>
      </c>
      <c r="K39" s="223"/>
      <c r="L39" s="223"/>
      <c r="U39" s="220"/>
      <c r="V39" s="220"/>
      <c r="W39" s="220"/>
    </row>
    <row r="40" spans="1:33" ht="13.2">
      <c r="B40" s="393" t="s">
        <v>233</v>
      </c>
      <c r="C40" s="375"/>
      <c r="D40" s="375"/>
      <c r="E40" s="375"/>
      <c r="F40" s="257"/>
      <c r="G40" s="185">
        <f>-TB!F86</f>
        <v>392.74200000000002</v>
      </c>
      <c r="H40" s="391"/>
      <c r="I40" s="391">
        <v>392.74200000000002</v>
      </c>
      <c r="K40" s="223"/>
      <c r="L40" s="223"/>
      <c r="N40" s="23" t="s">
        <v>234</v>
      </c>
      <c r="U40" s="123" t="s">
        <v>235</v>
      </c>
      <c r="V40" s="123" t="s">
        <v>236</v>
      </c>
      <c r="W40" s="123" t="s">
        <v>237</v>
      </c>
    </row>
    <row r="41" spans="1:33" ht="13.2">
      <c r="B41" s="393" t="s">
        <v>175</v>
      </c>
      <c r="C41" s="375"/>
      <c r="D41" s="375"/>
      <c r="E41" s="375"/>
      <c r="F41" s="257"/>
      <c r="G41" s="185">
        <f>-TB!G90</f>
        <v>415.08860999999996</v>
      </c>
      <c r="H41" s="391"/>
      <c r="I41" s="391">
        <v>22</v>
      </c>
      <c r="K41" s="223"/>
      <c r="L41" s="223"/>
      <c r="N41" s="23"/>
      <c r="U41" s="123"/>
      <c r="V41" s="123"/>
      <c r="W41" s="123"/>
    </row>
    <row r="42" spans="1:33" ht="13.2">
      <c r="B42" s="204" t="s">
        <v>238</v>
      </c>
      <c r="C42" s="375"/>
      <c r="D42" s="375"/>
      <c r="E42" s="375"/>
      <c r="F42" s="257"/>
      <c r="G42" s="185">
        <f>-TB!G88</f>
        <v>4.4619800000000005</v>
      </c>
      <c r="H42" s="391"/>
      <c r="I42" s="391">
        <v>42</v>
      </c>
      <c r="K42" s="223"/>
      <c r="L42" s="223"/>
      <c r="N42" s="124" t="s">
        <v>239</v>
      </c>
      <c r="U42" s="394">
        <v>67482</v>
      </c>
      <c r="V42" s="395">
        <v>99000</v>
      </c>
      <c r="W42" s="395">
        <f>U42+V42</f>
        <v>166482</v>
      </c>
    </row>
    <row r="43" spans="1:33" ht="13.2">
      <c r="B43" s="204" t="s">
        <v>240</v>
      </c>
      <c r="C43" s="375"/>
      <c r="D43" s="375"/>
      <c r="E43" s="375"/>
      <c r="F43" s="257"/>
      <c r="G43" s="185">
        <f>-TB!G83+1</f>
        <v>2784.4290000000001</v>
      </c>
      <c r="H43" s="391"/>
      <c r="I43" s="391">
        <v>2784</v>
      </c>
      <c r="K43" s="223"/>
      <c r="L43" s="223"/>
      <c r="N43" s="124" t="s">
        <v>241</v>
      </c>
      <c r="U43" s="396">
        <v>1539055</v>
      </c>
      <c r="V43" s="397">
        <v>246000</v>
      </c>
      <c r="W43" s="397">
        <f>U43+V43</f>
        <v>1785055</v>
      </c>
      <c r="AG43" s="1067">
        <f>G39/BS!G37*1000</f>
        <v>0.15403315661712089</v>
      </c>
    </row>
    <row r="44" spans="1:33" ht="13.2">
      <c r="B44" s="398" t="s">
        <v>173</v>
      </c>
      <c r="C44" s="375"/>
      <c r="D44" s="375"/>
      <c r="E44" s="375"/>
      <c r="F44" s="390"/>
      <c r="G44" s="185">
        <f>-TB!G87</f>
        <v>548.66191000000003</v>
      </c>
      <c r="H44" s="391"/>
      <c r="I44" s="391">
        <v>404</v>
      </c>
      <c r="N44" s="125"/>
      <c r="U44" s="396"/>
      <c r="V44" s="397"/>
      <c r="W44" s="397"/>
    </row>
    <row r="45" spans="1:33" ht="13.2">
      <c r="B45" s="201" t="s">
        <v>242</v>
      </c>
      <c r="C45" s="375"/>
      <c r="D45" s="375"/>
      <c r="E45" s="375"/>
      <c r="F45" s="390"/>
      <c r="G45" s="121">
        <f>-TB!G84</f>
        <v>361.49478999999997</v>
      </c>
      <c r="H45" s="391"/>
      <c r="I45" s="391">
        <v>160</v>
      </c>
      <c r="N45" s="125"/>
      <c r="U45" s="400"/>
      <c r="V45" s="401"/>
      <c r="W45" s="401"/>
    </row>
    <row r="46" spans="1:33" ht="13.2">
      <c r="B46" s="399" t="s">
        <v>243</v>
      </c>
      <c r="C46" s="375"/>
      <c r="D46" s="375"/>
      <c r="E46" s="375"/>
      <c r="F46" s="390"/>
      <c r="G46" s="121">
        <f>-TB!G93</f>
        <v>65.137749999999997</v>
      </c>
      <c r="H46" s="391"/>
      <c r="I46" s="391">
        <v>39</v>
      </c>
      <c r="N46" s="126" t="s">
        <v>244</v>
      </c>
      <c r="U46" s="127">
        <f>SUM(U42:U45)</f>
        <v>1606537</v>
      </c>
      <c r="V46" s="128" t="e">
        <f>V42+V43-#REF!</f>
        <v>#REF!</v>
      </c>
      <c r="W46" s="128" t="e">
        <f>W42+W43+#REF!</f>
        <v>#REF!</v>
      </c>
      <c r="AF46" s="207">
        <f>BS!G37</f>
        <v>38123284.615900002</v>
      </c>
    </row>
    <row r="47" spans="1:33" s="204" customFormat="1" ht="21" customHeight="1" thickBot="1">
      <c r="B47" s="201"/>
      <c r="C47" s="201"/>
      <c r="D47" s="201"/>
      <c r="G47" s="186">
        <f>SUM(G37:G46)</f>
        <v>10444.265910000002</v>
      </c>
      <c r="H47" s="205"/>
      <c r="I47" s="1054">
        <f>SUM(I37:I46)</f>
        <v>15984.99186</v>
      </c>
      <c r="J47" s="121"/>
      <c r="L47" s="121">
        <v>23655</v>
      </c>
      <c r="U47" s="402"/>
      <c r="V47" s="403"/>
      <c r="AF47" s="1008">
        <f>G37/AF46*1000</f>
        <v>0</v>
      </c>
    </row>
    <row r="48" spans="1:33" ht="12" customHeight="1" thickTop="1">
      <c r="B48" s="201"/>
      <c r="C48" s="201"/>
      <c r="D48" s="201"/>
      <c r="E48" s="204"/>
      <c r="F48" s="204"/>
      <c r="G48" s="354"/>
      <c r="H48" s="205"/>
      <c r="I48" s="354"/>
      <c r="J48" s="223"/>
      <c r="L48" s="223">
        <f>I47-L47</f>
        <v>-7670.0081399999999</v>
      </c>
      <c r="W48" s="404"/>
    </row>
    <row r="49" spans="1:37" ht="12.75" customHeight="1">
      <c r="A49" s="114">
        <v>8.1</v>
      </c>
      <c r="B49" s="405" t="s">
        <v>380</v>
      </c>
      <c r="C49" s="218"/>
      <c r="G49" s="129"/>
      <c r="I49" s="129"/>
      <c r="J49" s="209"/>
      <c r="L49" s="373"/>
      <c r="M49" s="1408">
        <v>42747</v>
      </c>
      <c r="N49" s="1408"/>
      <c r="O49" s="1408"/>
      <c r="P49" s="1408"/>
      <c r="Q49" s="1408">
        <v>42735</v>
      </c>
      <c r="R49" s="1408"/>
      <c r="S49" s="1408"/>
      <c r="T49" s="1408"/>
      <c r="U49" s="373"/>
      <c r="W49" s="1322" t="s">
        <v>245</v>
      </c>
      <c r="X49" s="1322"/>
      <c r="Y49" s="1322"/>
      <c r="Z49" s="1322"/>
      <c r="AA49" s="1322"/>
      <c r="AB49" s="1322"/>
      <c r="AC49" s="1322"/>
      <c r="AD49" s="1322"/>
    </row>
    <row r="50" spans="1:37" ht="12.75" customHeight="1">
      <c r="A50" s="114"/>
      <c r="B50" s="405"/>
      <c r="C50" s="218"/>
      <c r="G50" s="129"/>
      <c r="I50" s="129"/>
      <c r="J50" s="209"/>
      <c r="L50" s="377"/>
      <c r="M50" s="378"/>
      <c r="N50" s="378"/>
      <c r="O50" s="378"/>
      <c r="P50" s="378"/>
      <c r="Q50" s="378"/>
      <c r="R50" s="378"/>
      <c r="S50" s="378"/>
      <c r="T50" s="378"/>
      <c r="U50" s="377"/>
      <c r="W50" s="1322"/>
      <c r="X50" s="1322"/>
      <c r="Y50" s="1322"/>
      <c r="Z50" s="1322"/>
      <c r="AA50" s="1322"/>
      <c r="AB50" s="1322"/>
      <c r="AC50" s="1322"/>
      <c r="AD50" s="1322"/>
    </row>
    <row r="51" spans="1:37" ht="12.75" customHeight="1">
      <c r="B51" s="1322" t="s">
        <v>717</v>
      </c>
      <c r="C51" s="1322"/>
      <c r="D51" s="1322"/>
      <c r="E51" s="1322"/>
      <c r="F51" s="1322"/>
      <c r="G51" s="1322"/>
      <c r="H51" s="1322"/>
      <c r="I51" s="1322"/>
      <c r="J51" s="209"/>
      <c r="L51" s="373"/>
      <c r="M51" s="373" t="s">
        <v>246</v>
      </c>
      <c r="N51" s="130">
        <f>N52/N53*1000</f>
        <v>13.53587159301525</v>
      </c>
      <c r="O51" s="373"/>
      <c r="P51" s="373"/>
      <c r="Q51" s="373"/>
      <c r="R51" s="406">
        <v>13.045612489947764</v>
      </c>
      <c r="S51" s="373"/>
      <c r="T51" s="373"/>
      <c r="U51" s="373"/>
      <c r="W51" s="1322"/>
      <c r="X51" s="1322"/>
      <c r="Y51" s="1322"/>
      <c r="Z51" s="1322"/>
      <c r="AA51" s="1322"/>
      <c r="AB51" s="1322"/>
      <c r="AC51" s="1322"/>
      <c r="AD51" s="1322"/>
      <c r="AF51" s="365" t="s">
        <v>315</v>
      </c>
      <c r="AG51" s="365" t="s">
        <v>336</v>
      </c>
      <c r="AH51" s="366" t="s">
        <v>317</v>
      </c>
      <c r="AI51" s="366" t="s">
        <v>318</v>
      </c>
      <c r="AJ51" s="366" t="s">
        <v>319</v>
      </c>
      <c r="AK51" s="366" t="s">
        <v>320</v>
      </c>
    </row>
    <row r="52" spans="1:37" ht="13.2">
      <c r="B52" s="1322"/>
      <c r="C52" s="1322"/>
      <c r="D52" s="1322"/>
      <c r="E52" s="1322"/>
      <c r="F52" s="1322"/>
      <c r="G52" s="1322"/>
      <c r="H52" s="1322"/>
      <c r="I52" s="1322"/>
      <c r="J52" s="209"/>
      <c r="L52" s="373"/>
      <c r="M52" s="373" t="s">
        <v>247</v>
      </c>
      <c r="N52" s="407">
        <f>720750357/1000</f>
        <v>720750.35699999996</v>
      </c>
      <c r="O52" s="373"/>
      <c r="P52" s="373"/>
      <c r="Q52" s="373"/>
      <c r="R52" s="306">
        <v>694281</v>
      </c>
      <c r="S52" s="373"/>
      <c r="T52" s="373"/>
      <c r="U52" s="373"/>
      <c r="W52" s="1322"/>
      <c r="X52" s="1322"/>
      <c r="Y52" s="1322"/>
      <c r="Z52" s="1322"/>
      <c r="AA52" s="1322"/>
      <c r="AB52" s="1322"/>
      <c r="AC52" s="1322"/>
      <c r="AD52" s="1322"/>
      <c r="AF52" s="367">
        <f>BS!G30</f>
        <v>440755.15676000004</v>
      </c>
      <c r="AG52" s="368">
        <f>G37</f>
        <v>0</v>
      </c>
      <c r="AH52" s="368">
        <f>AF52+AG52</f>
        <v>440755.15676000004</v>
      </c>
      <c r="AI52" s="370">
        <f>AH52/BS!G37*1000</f>
        <v>11.561311182934514</v>
      </c>
      <c r="AJ52" s="370">
        <f>BS!G41</f>
        <v>11.561311182934514</v>
      </c>
      <c r="AK52" s="370">
        <f>AI52-AJ52</f>
        <v>0</v>
      </c>
    </row>
    <row r="53" spans="1:37" ht="12" customHeight="1">
      <c r="B53" s="1322"/>
      <c r="C53" s="1322"/>
      <c r="D53" s="1322"/>
      <c r="E53" s="1322"/>
      <c r="F53" s="1322"/>
      <c r="G53" s="1322"/>
      <c r="H53" s="1322"/>
      <c r="I53" s="1322"/>
      <c r="J53" s="209"/>
      <c r="L53" s="373"/>
      <c r="M53" s="373" t="s">
        <v>248</v>
      </c>
      <c r="N53" s="407">
        <v>53247428.659999996</v>
      </c>
      <c r="O53" s="373"/>
      <c r="P53" s="373"/>
      <c r="Q53" s="373"/>
      <c r="R53" s="407">
        <v>53219502</v>
      </c>
      <c r="S53" s="373"/>
      <c r="T53" s="373"/>
      <c r="U53" s="373"/>
      <c r="W53" s="1322"/>
      <c r="X53" s="1322"/>
      <c r="Y53" s="1322"/>
      <c r="Z53" s="1322"/>
      <c r="AA53" s="1322"/>
      <c r="AB53" s="1322"/>
      <c r="AC53" s="1322"/>
      <c r="AD53" s="1322"/>
    </row>
    <row r="54" spans="1:37" ht="41.25" customHeight="1">
      <c r="B54" s="1322"/>
      <c r="C54" s="1322"/>
      <c r="D54" s="1322"/>
      <c r="E54" s="1322"/>
      <c r="F54" s="1322"/>
      <c r="G54" s="1322"/>
      <c r="H54" s="1322"/>
      <c r="I54" s="1322"/>
      <c r="J54" s="209"/>
      <c r="L54" s="373"/>
      <c r="M54" s="373" t="s">
        <v>249</v>
      </c>
      <c r="N54" s="407">
        <v>2558163</v>
      </c>
      <c r="O54" s="373"/>
      <c r="P54" s="373"/>
      <c r="Q54" s="373"/>
      <c r="R54" s="373"/>
      <c r="S54" s="373"/>
      <c r="T54" s="373"/>
      <c r="U54" s="373"/>
      <c r="W54" s="1322"/>
      <c r="X54" s="1322"/>
      <c r="Y54" s="1322"/>
      <c r="Z54" s="1322"/>
      <c r="AA54" s="1322"/>
      <c r="AB54" s="1322"/>
      <c r="AC54" s="1322"/>
      <c r="AD54" s="1322"/>
    </row>
    <row r="55" spans="1:37" ht="12.75" customHeight="1">
      <c r="B55" s="1142"/>
      <c r="C55" s="1142"/>
      <c r="D55" s="1142"/>
      <c r="E55" s="1142"/>
      <c r="F55" s="1142"/>
      <c r="G55" s="1142"/>
      <c r="H55" s="1142"/>
      <c r="I55" s="1142"/>
      <c r="J55" s="209"/>
      <c r="L55" s="1143"/>
      <c r="M55" s="1143"/>
      <c r="N55" s="407"/>
      <c r="O55" s="1143"/>
      <c r="P55" s="1143"/>
      <c r="Q55" s="1143"/>
      <c r="R55" s="1143"/>
      <c r="S55" s="1143"/>
      <c r="T55" s="1143"/>
      <c r="U55" s="1143"/>
      <c r="W55" s="1142"/>
      <c r="X55" s="1142"/>
      <c r="Y55" s="1142"/>
      <c r="Z55" s="1142"/>
      <c r="AA55" s="1142"/>
      <c r="AB55" s="1142"/>
      <c r="AC55" s="1142"/>
      <c r="AD55" s="1142"/>
    </row>
    <row r="56" spans="1:37" ht="12.75" customHeight="1">
      <c r="B56" s="1322" t="s">
        <v>718</v>
      </c>
      <c r="C56" s="1322"/>
      <c r="D56" s="1322"/>
      <c r="E56" s="1322"/>
      <c r="F56" s="1322"/>
      <c r="G56" s="1322"/>
      <c r="H56" s="1322"/>
      <c r="I56" s="1322"/>
      <c r="J56" s="209"/>
      <c r="L56" s="1143"/>
      <c r="M56" s="1143"/>
      <c r="N56" s="407"/>
      <c r="O56" s="1143"/>
      <c r="P56" s="1143"/>
      <c r="Q56" s="1143"/>
      <c r="R56" s="1143"/>
      <c r="S56" s="1143"/>
      <c r="T56" s="1143"/>
      <c r="U56" s="1143"/>
      <c r="W56" s="1142"/>
      <c r="X56" s="1142"/>
      <c r="Y56" s="1142"/>
      <c r="Z56" s="1142"/>
      <c r="AA56" s="1142"/>
      <c r="AB56" s="1142"/>
      <c r="AC56" s="1142"/>
      <c r="AD56" s="1142"/>
    </row>
    <row r="57" spans="1:37" ht="12.75" customHeight="1">
      <c r="B57" s="1322"/>
      <c r="C57" s="1322"/>
      <c r="D57" s="1322"/>
      <c r="E57" s="1322"/>
      <c r="F57" s="1322"/>
      <c r="G57" s="1322"/>
      <c r="H57" s="1322"/>
      <c r="I57" s="1322"/>
      <c r="J57" s="209"/>
      <c r="L57" s="1143"/>
      <c r="M57" s="1143"/>
      <c r="N57" s="407"/>
      <c r="O57" s="1143"/>
      <c r="P57" s="1143"/>
      <c r="Q57" s="1143"/>
      <c r="R57" s="1143"/>
      <c r="S57" s="1143"/>
      <c r="T57" s="1143"/>
      <c r="U57" s="1143"/>
      <c r="W57" s="1142"/>
      <c r="X57" s="1142"/>
      <c r="Y57" s="1142"/>
      <c r="Z57" s="1142"/>
      <c r="AA57" s="1142"/>
      <c r="AB57" s="1142"/>
      <c r="AC57" s="1142"/>
      <c r="AD57" s="1142"/>
    </row>
    <row r="58" spans="1:37" ht="12.75" customHeight="1">
      <c r="B58" s="1322"/>
      <c r="C58" s="1322"/>
      <c r="D58" s="1322"/>
      <c r="E58" s="1322"/>
      <c r="F58" s="1322"/>
      <c r="G58" s="1322"/>
      <c r="H58" s="1322"/>
      <c r="I58" s="1322"/>
      <c r="J58" s="209"/>
      <c r="L58" s="1143"/>
      <c r="M58" s="1143"/>
      <c r="N58" s="407"/>
      <c r="O58" s="1143"/>
      <c r="P58" s="1143"/>
      <c r="Q58" s="1143"/>
      <c r="R58" s="1143"/>
      <c r="S58" s="1143"/>
      <c r="T58" s="1143"/>
      <c r="U58" s="1143"/>
      <c r="W58" s="1142"/>
      <c r="X58" s="1142"/>
      <c r="Y58" s="1142"/>
      <c r="Z58" s="1142"/>
      <c r="AA58" s="1142"/>
      <c r="AB58" s="1142"/>
      <c r="AC58" s="1142"/>
      <c r="AD58" s="1142"/>
    </row>
    <row r="59" spans="1:37" ht="12.75" customHeight="1">
      <c r="B59" s="1142"/>
      <c r="C59" s="1142"/>
      <c r="D59" s="1142"/>
      <c r="E59" s="1142"/>
      <c r="F59" s="1142"/>
      <c r="G59" s="1142"/>
      <c r="H59" s="1142"/>
      <c r="I59" s="1142"/>
      <c r="J59" s="209"/>
      <c r="L59" s="1143"/>
      <c r="M59" s="1143"/>
      <c r="N59" s="407"/>
      <c r="O59" s="1143"/>
      <c r="P59" s="1143"/>
      <c r="Q59" s="1143"/>
      <c r="R59" s="1143"/>
      <c r="S59" s="1143"/>
      <c r="T59" s="1143"/>
      <c r="U59" s="1143"/>
      <c r="W59" s="1142"/>
      <c r="X59" s="1142"/>
      <c r="Y59" s="1142"/>
      <c r="Z59" s="1142"/>
      <c r="AA59" s="1142"/>
      <c r="AB59" s="1142"/>
      <c r="AC59" s="1142"/>
      <c r="AD59" s="1142"/>
    </row>
    <row r="60" spans="1:37" ht="12.75" customHeight="1">
      <c r="B60" s="1322" t="s">
        <v>719</v>
      </c>
      <c r="C60" s="1322"/>
      <c r="D60" s="1322"/>
      <c r="E60" s="1322"/>
      <c r="F60" s="1322"/>
      <c r="G60" s="1322"/>
      <c r="H60" s="1322"/>
      <c r="I60" s="1322"/>
      <c r="J60" s="209"/>
      <c r="L60" s="1143"/>
      <c r="M60" s="1143"/>
      <c r="N60" s="407"/>
      <c r="O60" s="1143"/>
      <c r="P60" s="1143"/>
      <c r="Q60" s="1143"/>
      <c r="R60" s="1143"/>
      <c r="S60" s="1143"/>
      <c r="T60" s="1143"/>
      <c r="U60" s="1143"/>
      <c r="W60" s="1142"/>
      <c r="X60" s="1142"/>
      <c r="Y60" s="1142"/>
      <c r="Z60" s="1142"/>
      <c r="AA60" s="1142"/>
      <c r="AB60" s="1142"/>
      <c r="AC60" s="1142"/>
      <c r="AD60" s="1142"/>
    </row>
    <row r="61" spans="1:37" ht="12.75" customHeight="1">
      <c r="B61" s="1142"/>
      <c r="C61" s="1142"/>
      <c r="D61" s="1142"/>
      <c r="E61" s="1142"/>
      <c r="F61" s="1142"/>
      <c r="G61" s="1142"/>
      <c r="H61" s="1142"/>
      <c r="I61" s="1142"/>
      <c r="J61" s="209"/>
      <c r="L61" s="1143"/>
      <c r="M61" s="1143"/>
      <c r="N61" s="407"/>
      <c r="O61" s="1143"/>
      <c r="P61" s="1143"/>
      <c r="Q61" s="1143"/>
      <c r="R61" s="1143"/>
      <c r="S61" s="1143"/>
      <c r="T61" s="1143"/>
      <c r="U61" s="1143"/>
      <c r="W61" s="1142"/>
      <c r="X61" s="1142"/>
      <c r="Y61" s="1142"/>
      <c r="Z61" s="1142"/>
      <c r="AA61" s="1142"/>
      <c r="AB61" s="1142"/>
      <c r="AC61" s="1142"/>
      <c r="AD61" s="1142"/>
    </row>
    <row r="62" spans="1:37" ht="20.25" customHeight="1">
      <c r="A62" s="135">
        <f>A49+0.1</f>
        <v>8.1999999999999993</v>
      </c>
      <c r="B62" s="1410" t="s">
        <v>229</v>
      </c>
      <c r="C62" s="1411"/>
      <c r="D62" s="1411"/>
      <c r="E62" s="1411"/>
      <c r="F62" s="92"/>
      <c r="G62" s="92"/>
      <c r="H62" s="92"/>
      <c r="I62" s="92"/>
      <c r="J62" s="209"/>
      <c r="L62" s="131">
        <v>42747</v>
      </c>
      <c r="M62" s="132" t="s">
        <v>250</v>
      </c>
      <c r="N62" s="133" t="e">
        <f>#REF!/N53</f>
        <v>#REF!</v>
      </c>
      <c r="O62" s="408"/>
      <c r="P62" s="132" t="s">
        <v>251</v>
      </c>
      <c r="Q62" s="409">
        <f>N54/N53</f>
        <v>4.8042939619387062E-2</v>
      </c>
      <c r="R62" s="408"/>
      <c r="S62" s="408"/>
      <c r="T62" s="408"/>
      <c r="U62" s="408"/>
      <c r="W62" s="1322" t="s">
        <v>252</v>
      </c>
      <c r="X62" s="1322"/>
      <c r="Y62" s="1322"/>
      <c r="Z62" s="1322"/>
      <c r="AA62" s="1322"/>
      <c r="AB62" s="1322"/>
      <c r="AC62" s="1322"/>
      <c r="AD62" s="1322"/>
    </row>
    <row r="63" spans="1:37" ht="6" customHeight="1">
      <c r="A63" s="135"/>
      <c r="B63" s="379"/>
      <c r="C63" s="380"/>
      <c r="D63" s="380"/>
      <c r="E63" s="380"/>
      <c r="F63" s="92"/>
      <c r="G63" s="92"/>
      <c r="H63" s="92"/>
      <c r="I63" s="92"/>
      <c r="J63" s="209"/>
      <c r="L63" s="131">
        <v>43100</v>
      </c>
      <c r="M63" s="410"/>
      <c r="N63" s="411" t="e">
        <f>#REF!/R53</f>
        <v>#REF!</v>
      </c>
      <c r="O63" s="408"/>
      <c r="P63" s="410"/>
      <c r="Q63" s="411">
        <f>N54/R53</f>
        <v>4.8068149904897647E-2</v>
      </c>
      <c r="R63" s="408"/>
      <c r="S63" s="408"/>
      <c r="T63" s="408"/>
      <c r="U63" s="408"/>
      <c r="W63" s="1322"/>
      <c r="X63" s="1322"/>
      <c r="Y63" s="1322"/>
      <c r="Z63" s="1322"/>
      <c r="AA63" s="1322"/>
      <c r="AB63" s="1322"/>
      <c r="AC63" s="1322"/>
      <c r="AD63" s="1322"/>
    </row>
    <row r="64" spans="1:37" ht="39.6">
      <c r="A64" s="134"/>
      <c r="B64" s="1322" t="s">
        <v>754</v>
      </c>
      <c r="C64" s="1322"/>
      <c r="D64" s="1322"/>
      <c r="E64" s="1322"/>
      <c r="F64" s="1322"/>
      <c r="G64" s="1322"/>
      <c r="H64" s="1322"/>
      <c r="I64" s="1322"/>
      <c r="J64" s="209"/>
      <c r="L64" s="1409"/>
      <c r="M64" s="1409"/>
      <c r="N64" s="1409"/>
      <c r="O64" s="1409"/>
      <c r="P64" s="1409"/>
      <c r="Q64" s="1409"/>
      <c r="R64" s="1409"/>
      <c r="S64" s="1409"/>
      <c r="T64" s="1409"/>
      <c r="U64" s="1409"/>
      <c r="W64" s="372"/>
      <c r="X64" s="372"/>
      <c r="Y64" s="372"/>
      <c r="Z64" s="372"/>
      <c r="AA64" s="372"/>
      <c r="AB64" s="372"/>
      <c r="AC64" s="372"/>
      <c r="AD64" s="372"/>
      <c r="AF64" s="365" t="s">
        <v>315</v>
      </c>
      <c r="AG64" s="365" t="s">
        <v>316</v>
      </c>
      <c r="AH64" s="366" t="s">
        <v>317</v>
      </c>
      <c r="AI64" s="366" t="s">
        <v>318</v>
      </c>
      <c r="AJ64" s="366" t="s">
        <v>319</v>
      </c>
      <c r="AK64" s="366" t="s">
        <v>320</v>
      </c>
    </row>
    <row r="65" spans="1:37" ht="12.75" customHeight="1">
      <c r="A65" s="134"/>
      <c r="B65" s="1322"/>
      <c r="C65" s="1322"/>
      <c r="D65" s="1322"/>
      <c r="E65" s="1322"/>
      <c r="F65" s="1322"/>
      <c r="G65" s="1322"/>
      <c r="H65" s="1322"/>
      <c r="I65" s="1322"/>
      <c r="J65" s="209"/>
      <c r="L65" s="1409"/>
      <c r="M65" s="1409"/>
      <c r="N65" s="1409"/>
      <c r="O65" s="1409"/>
      <c r="P65" s="1409"/>
      <c r="Q65" s="1409"/>
      <c r="R65" s="1409"/>
      <c r="S65" s="1409"/>
      <c r="T65" s="1409"/>
      <c r="U65" s="1409"/>
      <c r="W65" s="1322"/>
      <c r="X65" s="1322"/>
      <c r="Y65" s="1322"/>
      <c r="Z65" s="1322"/>
      <c r="AA65" s="1322"/>
      <c r="AB65" s="1322"/>
      <c r="AC65" s="1322"/>
      <c r="AD65" s="1322"/>
      <c r="AF65" s="367">
        <f>BS!G30</f>
        <v>440755.15676000004</v>
      </c>
      <c r="AG65" s="368">
        <f>'Note 5.5-6.2'!G39+'Note 5.5-6.2'!G40</f>
        <v>6264.9918700000007</v>
      </c>
      <c r="AH65" s="368">
        <f>AF65+AG65</f>
        <v>447020.14863000007</v>
      </c>
      <c r="AI65" s="369">
        <f>AH65/BS!G37*1000</f>
        <v>11.725646232579924</v>
      </c>
      <c r="AJ65" s="370">
        <f>BS!G41</f>
        <v>11.561311182934514</v>
      </c>
      <c r="AK65" s="370">
        <f>AI65-AJ65</f>
        <v>0.16433504964541079</v>
      </c>
    </row>
    <row r="66" spans="1:37" ht="7.5" customHeight="1">
      <c r="A66" s="97"/>
      <c r="B66" s="1322"/>
      <c r="C66" s="1322"/>
      <c r="D66" s="1322"/>
      <c r="E66" s="1322"/>
      <c r="F66" s="1322"/>
      <c r="G66" s="1322"/>
      <c r="H66" s="1322"/>
      <c r="I66" s="1322"/>
      <c r="J66" s="894"/>
      <c r="L66" s="1409"/>
      <c r="M66" s="1409"/>
      <c r="N66" s="1409"/>
      <c r="O66" s="1409"/>
      <c r="P66" s="1409"/>
      <c r="Q66" s="1409"/>
      <c r="R66" s="1409"/>
      <c r="S66" s="1409"/>
      <c r="T66" s="1409"/>
      <c r="U66" s="1409"/>
      <c r="W66" s="1322"/>
      <c r="X66" s="1322"/>
      <c r="Y66" s="1322"/>
      <c r="Z66" s="1322"/>
      <c r="AA66" s="1322"/>
      <c r="AB66" s="1322"/>
      <c r="AC66" s="1322"/>
      <c r="AD66" s="1322"/>
    </row>
    <row r="67" spans="1:37" ht="13.2" hidden="1">
      <c r="A67" s="97"/>
      <c r="B67" s="1322"/>
      <c r="C67" s="1322"/>
      <c r="D67" s="1322"/>
      <c r="E67" s="1322"/>
      <c r="F67" s="1322"/>
      <c r="G67" s="1322"/>
      <c r="H67" s="1322"/>
      <c r="I67" s="1322"/>
      <c r="J67" s="209"/>
      <c r="L67" s="1409"/>
      <c r="M67" s="1409"/>
      <c r="N67" s="1409"/>
      <c r="O67" s="1409"/>
      <c r="P67" s="1409"/>
      <c r="Q67" s="1409"/>
      <c r="R67" s="1409"/>
      <c r="S67" s="1409"/>
      <c r="T67" s="1409"/>
      <c r="U67" s="1409"/>
      <c r="W67" s="1322"/>
      <c r="X67" s="1322"/>
      <c r="Y67" s="1322"/>
      <c r="Z67" s="1322"/>
      <c r="AA67" s="1322"/>
      <c r="AB67" s="1322"/>
      <c r="AC67" s="1322"/>
      <c r="AD67" s="1322"/>
    </row>
    <row r="68" spans="1:37" ht="13.2" hidden="1">
      <c r="A68" s="97"/>
      <c r="B68" s="1322"/>
      <c r="C68" s="1322"/>
      <c r="D68" s="1322"/>
      <c r="E68" s="1322"/>
      <c r="F68" s="1322"/>
      <c r="G68" s="1322"/>
      <c r="H68" s="1322"/>
      <c r="I68" s="1322"/>
      <c r="J68" s="209"/>
      <c r="L68" s="1409"/>
      <c r="M68" s="1409"/>
      <c r="N68" s="1409"/>
      <c r="O68" s="1409"/>
      <c r="P68" s="1409"/>
      <c r="Q68" s="1409"/>
      <c r="R68" s="1409"/>
      <c r="S68" s="1409"/>
      <c r="T68" s="1409"/>
      <c r="U68" s="1409"/>
      <c r="W68" s="1322"/>
      <c r="X68" s="1322"/>
      <c r="Y68" s="1322"/>
      <c r="Z68" s="1322"/>
      <c r="AA68" s="1322"/>
      <c r="AB68" s="1322"/>
      <c r="AC68" s="1322"/>
      <c r="AD68" s="1322"/>
    </row>
    <row r="69" spans="1:37" ht="13.2">
      <c r="B69" s="372"/>
      <c r="C69" s="372"/>
      <c r="D69" s="372"/>
      <c r="E69" s="372"/>
      <c r="F69" s="372"/>
      <c r="G69" s="1034" t="s">
        <v>193</v>
      </c>
      <c r="H69" s="372"/>
      <c r="I69" s="202" t="s">
        <v>125</v>
      </c>
      <c r="J69" s="209"/>
      <c r="L69" s="1409"/>
      <c r="M69" s="1409"/>
      <c r="N69" s="1409"/>
      <c r="O69" s="1409"/>
      <c r="P69" s="1409"/>
      <c r="Q69" s="1409"/>
      <c r="R69" s="1409"/>
      <c r="S69" s="1409"/>
      <c r="T69" s="1409"/>
      <c r="U69" s="1409"/>
      <c r="W69" s="1322"/>
      <c r="X69" s="1322"/>
      <c r="Y69" s="1322"/>
      <c r="Z69" s="1322"/>
      <c r="AA69" s="1322"/>
      <c r="AB69" s="1322"/>
      <c r="AC69" s="1322"/>
      <c r="AD69" s="1322"/>
      <c r="AF69" s="414">
        <f>G37/AF46*1000</f>
        <v>0</v>
      </c>
    </row>
    <row r="70" spans="1:37" ht="13.2">
      <c r="A70" s="1099">
        <f>A35+1</f>
        <v>9</v>
      </c>
      <c r="B70" s="1088" t="s">
        <v>599</v>
      </c>
      <c r="C70" s="1089"/>
      <c r="F70" s="1095"/>
      <c r="G70" s="95" t="s">
        <v>571</v>
      </c>
      <c r="H70" s="1094"/>
      <c r="I70" s="1100" t="s">
        <v>127</v>
      </c>
      <c r="J70" s="209"/>
      <c r="L70" s="1409"/>
      <c r="M70" s="1409"/>
      <c r="N70" s="1409"/>
      <c r="O70" s="1409"/>
      <c r="P70" s="1409"/>
      <c r="Q70" s="1409"/>
      <c r="R70" s="1409"/>
      <c r="S70" s="1409"/>
      <c r="T70" s="1409"/>
      <c r="U70" s="1409"/>
      <c r="W70" s="91"/>
      <c r="X70" s="91"/>
      <c r="Y70" s="91"/>
      <c r="Z70" s="91"/>
      <c r="AA70" s="91"/>
      <c r="AB70" s="91"/>
      <c r="AC70" s="91"/>
      <c r="AD70" s="91"/>
    </row>
    <row r="71" spans="1:37" ht="12.75" customHeight="1">
      <c r="B71" s="1090" t="s">
        <v>600</v>
      </c>
      <c r="C71" s="1089"/>
      <c r="G71" s="94">
        <v>2021</v>
      </c>
      <c r="H71" s="1092">
        <v>2019</v>
      </c>
      <c r="I71" s="1093">
        <v>2021</v>
      </c>
      <c r="J71" s="209"/>
      <c r="L71" s="1409"/>
      <c r="M71" s="1409"/>
      <c r="N71" s="1409"/>
      <c r="O71" s="1409"/>
      <c r="P71" s="1409"/>
      <c r="Q71" s="1409"/>
      <c r="R71" s="1409"/>
      <c r="S71" s="1409"/>
      <c r="T71" s="1409"/>
      <c r="U71" s="1409"/>
      <c r="W71" s="1322"/>
      <c r="X71" s="1322"/>
      <c r="Y71" s="1322"/>
      <c r="Z71" s="1322"/>
      <c r="AA71" s="1322"/>
      <c r="AB71" s="1322"/>
      <c r="AC71" s="1322"/>
      <c r="AD71" s="1322"/>
      <c r="AF71" s="414">
        <f>G39/AF46*1000</f>
        <v>0.15403315661712089</v>
      </c>
    </row>
    <row r="72" spans="1:37" ht="13.2">
      <c r="B72" s="1089"/>
      <c r="C72" s="1089"/>
      <c r="G72" s="1412" t="s">
        <v>604</v>
      </c>
      <c r="H72" s="1412"/>
      <c r="I72" s="1412"/>
      <c r="J72" s="209"/>
      <c r="L72" s="1409"/>
      <c r="M72" s="1409"/>
      <c r="N72" s="1409"/>
      <c r="O72" s="1409"/>
      <c r="P72" s="1409"/>
      <c r="Q72" s="1409"/>
      <c r="R72" s="1409"/>
      <c r="S72" s="1409"/>
      <c r="T72" s="1409"/>
      <c r="U72" s="1409"/>
      <c r="W72" s="376"/>
      <c r="X72" s="376"/>
      <c r="Y72" s="376"/>
      <c r="Z72" s="376"/>
      <c r="AA72" s="376"/>
      <c r="AB72" s="376"/>
      <c r="AC72" s="376"/>
      <c r="AD72" s="376"/>
    </row>
    <row r="73" spans="1:37" ht="13.2">
      <c r="B73" s="1089"/>
      <c r="C73" s="1089"/>
      <c r="G73" s="1116"/>
      <c r="H73" s="1116"/>
      <c r="I73" s="1116"/>
      <c r="J73" s="209"/>
      <c r="L73" s="1409"/>
      <c r="M73" s="1409"/>
      <c r="N73" s="1409"/>
      <c r="O73" s="1409"/>
      <c r="P73" s="1409"/>
      <c r="Q73" s="1409"/>
      <c r="R73" s="1409"/>
      <c r="S73" s="1409"/>
      <c r="T73" s="1409"/>
      <c r="U73" s="1409"/>
      <c r="W73" s="1115"/>
      <c r="X73" s="1115"/>
      <c r="Y73" s="1115"/>
      <c r="Z73" s="1115"/>
      <c r="AA73" s="1115"/>
      <c r="AB73" s="1115"/>
      <c r="AC73" s="1115"/>
      <c r="AD73" s="1115"/>
      <c r="AF73" s="223">
        <f>+G39+G40</f>
        <v>6264.9918700000007</v>
      </c>
      <c r="AG73" s="223">
        <f>+AF73</f>
        <v>6264.9918700000007</v>
      </c>
    </row>
    <row r="74" spans="1:37" ht="12.75" customHeight="1">
      <c r="B74" s="1091" t="s">
        <v>601</v>
      </c>
      <c r="C74" s="1091"/>
      <c r="G74" s="1096">
        <f>-TB!F81</f>
        <v>1246.37102</v>
      </c>
      <c r="I74" s="995">
        <v>1186</v>
      </c>
      <c r="J74" s="209"/>
      <c r="L74" s="1409"/>
      <c r="M74" s="1409"/>
      <c r="N74" s="1409"/>
      <c r="O74" s="1409"/>
      <c r="P74" s="1409"/>
      <c r="Q74" s="1409"/>
      <c r="R74" s="1409"/>
      <c r="S74" s="1409"/>
      <c r="T74" s="1409"/>
      <c r="U74" s="1409"/>
      <c r="W74" s="373"/>
      <c r="X74" s="373"/>
      <c r="Y74" s="373"/>
      <c r="Z74" s="373"/>
      <c r="AA74" s="373"/>
      <c r="AB74" s="373"/>
      <c r="AC74" s="373"/>
      <c r="AD74" s="373"/>
      <c r="AF74" s="207">
        <f>+BS!G37</f>
        <v>38123284.615900002</v>
      </c>
      <c r="AG74" s="207">
        <f>+BS!I37</f>
        <v>38891084</v>
      </c>
    </row>
    <row r="75" spans="1:37" ht="13.2">
      <c r="B75" s="1091" t="s">
        <v>602</v>
      </c>
      <c r="C75" s="1091"/>
      <c r="G75" s="1096">
        <f>-TB!F83</f>
        <v>162.02886999999998</v>
      </c>
      <c r="I75" s="995">
        <v>154</v>
      </c>
      <c r="J75" s="209"/>
      <c r="L75" s="1409"/>
      <c r="M75" s="1409"/>
      <c r="N75" s="1409"/>
      <c r="O75" s="1409"/>
      <c r="P75" s="1409"/>
      <c r="Q75" s="1409"/>
      <c r="R75" s="1409"/>
      <c r="S75" s="1409"/>
      <c r="T75" s="1409"/>
      <c r="U75" s="1409"/>
      <c r="W75" s="1322" t="s">
        <v>253</v>
      </c>
      <c r="X75" s="1322"/>
      <c r="Y75" s="1322"/>
      <c r="Z75" s="1322"/>
      <c r="AA75" s="1322"/>
      <c r="AB75" s="1322"/>
      <c r="AC75" s="1322"/>
      <c r="AD75" s="1322"/>
      <c r="AF75" s="207">
        <f>+AF73*1000/AF74</f>
        <v>0.16433504964540943</v>
      </c>
      <c r="AG75" s="207">
        <f>+AG73*1000/AG74</f>
        <v>0.1610906980633402</v>
      </c>
    </row>
    <row r="76" spans="1:37" ht="13.2">
      <c r="B76" s="1091" t="s">
        <v>603</v>
      </c>
      <c r="C76" s="1091"/>
      <c r="G76" s="1096">
        <f>-TB!F107</f>
        <v>37.132400000000004</v>
      </c>
      <c r="I76" s="995">
        <v>39</v>
      </c>
      <c r="J76" s="209"/>
      <c r="L76" s="1409"/>
      <c r="M76" s="1409"/>
      <c r="N76" s="1409"/>
      <c r="O76" s="1409"/>
      <c r="P76" s="1409"/>
      <c r="Q76" s="1409"/>
      <c r="R76" s="1409"/>
      <c r="S76" s="1409"/>
      <c r="T76" s="1409"/>
      <c r="U76" s="1409"/>
      <c r="W76" s="1322"/>
      <c r="X76" s="1322"/>
      <c r="Y76" s="1322"/>
      <c r="Z76" s="1322"/>
      <c r="AA76" s="1322"/>
      <c r="AB76" s="1322"/>
      <c r="AC76" s="1322"/>
      <c r="AD76" s="1322"/>
    </row>
    <row r="77" spans="1:37" ht="13.8" thickBot="1">
      <c r="G77" s="1097">
        <f>SUM(G74:G76)</f>
        <v>1445.5322900000001</v>
      </c>
      <c r="I77" s="1098">
        <f>SUM(I74:I76)</f>
        <v>1379</v>
      </c>
      <c r="K77" s="220"/>
      <c r="L77" s="220"/>
      <c r="M77" s="220"/>
      <c r="O77" s="412"/>
      <c r="Q77" s="413"/>
      <c r="S77" s="414"/>
    </row>
    <row r="78" spans="1:37" ht="15.75" customHeight="1" thickTop="1">
      <c r="K78" s="220"/>
      <c r="L78" s="220"/>
      <c r="M78" s="220"/>
    </row>
    <row r="79" spans="1:37" ht="6.75" customHeight="1">
      <c r="K79" s="220"/>
      <c r="L79" s="220"/>
      <c r="M79" s="220"/>
    </row>
    <row r="80" spans="1:37" ht="6.75" customHeight="1">
      <c r="K80" s="220"/>
      <c r="L80" s="220"/>
      <c r="M80" s="220"/>
    </row>
    <row r="91" spans="1:5" ht="15" customHeight="1">
      <c r="A91" s="207"/>
    </row>
    <row r="92" spans="1:5" ht="15" customHeight="1">
      <c r="A92" s="207"/>
      <c r="B92" s="207"/>
      <c r="C92" s="207"/>
      <c r="D92" s="207"/>
    </row>
    <row r="93" spans="1:5" ht="15" customHeight="1">
      <c r="A93" s="207"/>
      <c r="B93" s="207"/>
      <c r="C93" s="207"/>
      <c r="D93" s="207"/>
    </row>
    <row r="94" spans="1:5" ht="15" customHeight="1">
      <c r="A94" s="207"/>
      <c r="B94" s="207"/>
      <c r="C94" s="207"/>
      <c r="D94" s="207"/>
      <c r="E94" s="329" t="s">
        <v>254</v>
      </c>
    </row>
    <row r="95" spans="1:5" ht="15" customHeight="1">
      <c r="A95" s="207"/>
      <c r="B95" s="207"/>
      <c r="C95" s="207"/>
      <c r="D95" s="207"/>
      <c r="E95" s="207" t="s">
        <v>255</v>
      </c>
    </row>
    <row r="96" spans="1:5" ht="15" customHeight="1">
      <c r="A96" s="207"/>
      <c r="B96" s="207"/>
      <c r="C96" s="207"/>
      <c r="D96" s="207"/>
    </row>
    <row r="97" spans="1:14" ht="15" customHeight="1">
      <c r="A97" s="207"/>
      <c r="B97" s="207"/>
      <c r="C97" s="207"/>
      <c r="D97" s="207"/>
    </row>
    <row r="98" spans="1:14" ht="15" customHeight="1">
      <c r="A98" s="207"/>
      <c r="B98" s="207"/>
      <c r="C98" s="207"/>
      <c r="D98" s="207"/>
    </row>
    <row r="99" spans="1:14" ht="15" customHeight="1">
      <c r="A99" s="97"/>
      <c r="B99" s="207"/>
      <c r="C99" s="207"/>
      <c r="D99" s="207"/>
    </row>
    <row r="100" spans="1:14" ht="15" customHeight="1">
      <c r="A100" s="136"/>
      <c r="B100" s="91"/>
      <c r="C100" s="91"/>
      <c r="D100" s="91"/>
      <c r="E100" s="91"/>
      <c r="F100" s="91"/>
      <c r="G100" s="91"/>
      <c r="H100" s="91"/>
      <c r="I100" s="91"/>
    </row>
    <row r="101" spans="1:14" ht="15" customHeight="1">
      <c r="B101" s="115"/>
      <c r="C101" s="329"/>
      <c r="D101" s="329"/>
      <c r="E101" s="329"/>
      <c r="F101" s="329"/>
      <c r="G101" s="204"/>
      <c r="H101" s="374"/>
    </row>
    <row r="102" spans="1:14" ht="15" customHeight="1">
      <c r="B102" s="207"/>
      <c r="C102" s="207"/>
      <c r="D102" s="207"/>
    </row>
    <row r="103" spans="1:14" ht="15" customHeight="1">
      <c r="B103" s="207"/>
      <c r="C103" s="207"/>
      <c r="D103" s="207"/>
    </row>
    <row r="104" spans="1:14" ht="15" customHeight="1">
      <c r="B104" s="207"/>
      <c r="C104" s="207"/>
      <c r="D104" s="207"/>
    </row>
    <row r="105" spans="1:14" ht="15" customHeight="1">
      <c r="B105" s="207"/>
      <c r="C105" s="207"/>
      <c r="D105" s="207"/>
    </row>
    <row r="106" spans="1:14" ht="15" customHeight="1">
      <c r="B106" s="207"/>
      <c r="C106" s="207"/>
      <c r="D106" s="207"/>
    </row>
    <row r="107" spans="1:14" ht="15" customHeight="1">
      <c r="B107" s="207"/>
      <c r="C107" s="207"/>
      <c r="D107" s="207"/>
    </row>
    <row r="108" spans="1:14" ht="13.2">
      <c r="B108" s="207"/>
      <c r="C108" s="207"/>
      <c r="D108" s="207"/>
    </row>
    <row r="109" spans="1:14" ht="9" customHeight="1">
      <c r="B109" s="207"/>
      <c r="C109" s="207"/>
      <c r="D109" s="207"/>
    </row>
    <row r="110" spans="1:14" ht="13.2">
      <c r="B110" s="207"/>
      <c r="C110" s="207"/>
      <c r="D110" s="207"/>
      <c r="N110" s="324">
        <v>0.435</v>
      </c>
    </row>
    <row r="111" spans="1:14" ht="13.2">
      <c r="B111" s="207"/>
      <c r="C111" s="207"/>
      <c r="D111" s="207"/>
      <c r="N111" s="324">
        <v>0.35899999999999999</v>
      </c>
    </row>
    <row r="112" spans="1:14" ht="13.2">
      <c r="B112" s="207"/>
      <c r="C112" s="207"/>
      <c r="D112" s="207"/>
      <c r="N112" s="324"/>
    </row>
    <row r="113" spans="2:24" ht="13.2">
      <c r="B113" s="207"/>
      <c r="C113" s="207"/>
      <c r="D113" s="207"/>
      <c r="N113" s="324">
        <f>SUM(N110:N111)</f>
        <v>0.79400000000000004</v>
      </c>
    </row>
    <row r="114" spans="2:24" ht="13.2">
      <c r="B114" s="207"/>
      <c r="C114" s="207"/>
      <c r="D114" s="207"/>
      <c r="N114" s="324"/>
    </row>
    <row r="115" spans="2:24" ht="13.2">
      <c r="N115" s="324"/>
      <c r="X115" s="207" t="s">
        <v>256</v>
      </c>
    </row>
    <row r="116" spans="2:24" ht="13.2">
      <c r="N116" s="324"/>
    </row>
    <row r="117" spans="2:24" ht="13.2">
      <c r="N117" s="324"/>
    </row>
    <row r="118" spans="2:24" ht="15" customHeight="1">
      <c r="N118" s="324" t="s">
        <v>257</v>
      </c>
      <c r="X118" s="207" t="str">
        <f>N118&amp;N119&amp;N120&amp;N121&amp;N122</f>
        <v>However, as per advice of legal counsel the stay granted to CIS remains intact and the constitutionpetitions filed by the CIS to challenge the WWF contribution have not been affected by the SHCjudgment. In view of the afore mentioned developments and uncertainties created by the decision ofSHC, management company, as a matter of abundant precaution, has decided to charge the entireprovision for WWF in these financial statements.</v>
      </c>
    </row>
    <row r="119" spans="2:24" ht="15" customHeight="1">
      <c r="N119" s="324" t="s">
        <v>258</v>
      </c>
      <c r="X119" s="207" t="s">
        <v>259</v>
      </c>
    </row>
    <row r="120" spans="2:24" ht="15" customHeight="1">
      <c r="N120" s="324" t="s">
        <v>260</v>
      </c>
    </row>
    <row r="121" spans="2:24" ht="15" customHeight="1">
      <c r="N121" s="324" t="s">
        <v>261</v>
      </c>
    </row>
    <row r="122" spans="2:24" ht="15" customHeight="1">
      <c r="N122" s="324" t="s">
        <v>262</v>
      </c>
    </row>
  </sheetData>
  <mergeCells count="19">
    <mergeCell ref="W49:AD54"/>
    <mergeCell ref="M49:P49"/>
    <mergeCell ref="G27:I27"/>
    <mergeCell ref="W62:AD63"/>
    <mergeCell ref="L64:U76"/>
    <mergeCell ref="W65:AD69"/>
    <mergeCell ref="W71:AD71"/>
    <mergeCell ref="W75:AD76"/>
    <mergeCell ref="B64:I68"/>
    <mergeCell ref="B62:E62"/>
    <mergeCell ref="Q49:T49"/>
    <mergeCell ref="G72:I72"/>
    <mergeCell ref="B56:I58"/>
    <mergeCell ref="B60:I60"/>
    <mergeCell ref="C5:F5"/>
    <mergeCell ref="G5:I5"/>
    <mergeCell ref="B51:I54"/>
    <mergeCell ref="C16:F16"/>
    <mergeCell ref="G16:I16"/>
  </mergeCells>
  <pageMargins left="0.68" right="0.33" top="0.48" bottom="0.27" header="0.25" footer="0.2"/>
  <pageSetup scale="63" fitToHeight="1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S362"/>
  <sheetViews>
    <sheetView showGridLines="0" view="pageBreakPreview" topLeftCell="A212" zoomScale="80" zoomScaleNormal="80" zoomScaleSheetLayoutView="80" workbookViewId="0">
      <selection activeCell="C29" sqref="C29"/>
    </sheetView>
  </sheetViews>
  <sheetFormatPr defaultColWidth="12.6640625" defaultRowHeight="13.2"/>
  <cols>
    <col min="1" max="1" width="6.44140625" style="325" customWidth="1"/>
    <col min="2" max="2" width="29.44140625" style="325" customWidth="1"/>
    <col min="3" max="3" width="12" style="200" customWidth="1"/>
    <col min="4" max="4" width="19.109375" style="200" customWidth="1"/>
    <col min="5" max="6" width="11.6640625" style="207" customWidth="1"/>
    <col min="7" max="7" width="7.44140625" style="207" customWidth="1"/>
    <col min="8" max="8" width="14.88671875" style="207" customWidth="1"/>
    <col min="9" max="9" width="12.88671875" style="207" customWidth="1"/>
    <col min="10" max="10" width="11.6640625" style="207" customWidth="1"/>
    <col min="11" max="11" width="0.88671875" style="207" customWidth="1"/>
    <col min="12" max="19" width="12.6640625" style="207" customWidth="1"/>
    <col min="20" max="20" width="17.33203125" style="207" bestFit="1" customWidth="1"/>
    <col min="21" max="16384" width="12.6640625" style="207"/>
  </cols>
  <sheetData>
    <row r="2" spans="1:18">
      <c r="A2" s="118" t="str">
        <f>CONCATENATE('Note 5.5-6.2'!A70+1,".")</f>
        <v>10.</v>
      </c>
      <c r="B2" s="118"/>
      <c r="C2" s="355" t="s">
        <v>263</v>
      </c>
      <c r="D2" s="356"/>
      <c r="E2" s="356"/>
      <c r="F2" s="356"/>
      <c r="G2" s="205"/>
      <c r="H2" s="357"/>
      <c r="I2" s="357"/>
      <c r="J2" s="358"/>
      <c r="L2" s="333"/>
      <c r="M2" s="881"/>
      <c r="N2" s="220"/>
      <c r="O2" s="220"/>
      <c r="P2" s="220"/>
      <c r="Q2" s="220"/>
      <c r="R2" s="220"/>
    </row>
    <row r="3" spans="1:18">
      <c r="A3" s="118"/>
      <c r="B3" s="118"/>
      <c r="C3" s="355"/>
      <c r="D3" s="356"/>
      <c r="E3" s="356"/>
      <c r="F3" s="356"/>
      <c r="G3" s="205"/>
      <c r="H3" s="357"/>
      <c r="I3" s="357"/>
      <c r="J3" s="358"/>
      <c r="L3" s="333"/>
      <c r="M3" s="881"/>
      <c r="N3" s="220"/>
      <c r="O3" s="220"/>
      <c r="P3" s="220"/>
      <c r="Q3" s="220"/>
      <c r="R3" s="220"/>
    </row>
    <row r="4" spans="1:18">
      <c r="A4" s="97"/>
      <c r="B4" s="97"/>
      <c r="C4" s="1427" t="s">
        <v>663</v>
      </c>
      <c r="D4" s="1427"/>
      <c r="E4" s="1427"/>
      <c r="F4" s="1427"/>
      <c r="G4" s="1427"/>
      <c r="H4" s="1427"/>
      <c r="I4" s="1427"/>
      <c r="J4" s="1427"/>
      <c r="L4" s="220"/>
      <c r="M4" s="881"/>
      <c r="N4" s="220"/>
      <c r="O4" s="220"/>
      <c r="P4" s="220"/>
      <c r="Q4" s="220"/>
      <c r="R4" s="220"/>
    </row>
    <row r="5" spans="1:18">
      <c r="A5" s="97"/>
      <c r="B5" s="97"/>
      <c r="C5" s="1427"/>
      <c r="D5" s="1427"/>
      <c r="E5" s="1427"/>
      <c r="F5" s="1427"/>
      <c r="G5" s="1427"/>
      <c r="H5" s="1427"/>
      <c r="I5" s="1427"/>
      <c r="J5" s="1427"/>
      <c r="L5" s="220"/>
      <c r="M5" s="881"/>
      <c r="N5" s="220"/>
      <c r="O5" s="220"/>
      <c r="P5" s="220"/>
      <c r="Q5" s="220"/>
      <c r="R5" s="220"/>
    </row>
    <row r="6" spans="1:18" ht="12.75" hidden="1" customHeight="1">
      <c r="A6" s="97"/>
      <c r="B6" s="97"/>
      <c r="C6" s="359"/>
      <c r="D6" s="359"/>
      <c r="E6" s="359"/>
      <c r="F6" s="359"/>
      <c r="G6" s="359"/>
      <c r="H6" s="359"/>
      <c r="I6" s="359"/>
      <c r="J6" s="358"/>
      <c r="L6" s="220"/>
      <c r="M6" s="220"/>
      <c r="N6" s="220"/>
      <c r="O6" s="220"/>
      <c r="P6" s="220"/>
      <c r="Q6" s="220"/>
      <c r="R6" s="220"/>
    </row>
    <row r="7" spans="1:18" hidden="1">
      <c r="A7" s="118" t="str">
        <f>CONCATENATE(A2+1,".")</f>
        <v>11.</v>
      </c>
      <c r="B7" s="118"/>
      <c r="C7" s="1428" t="s">
        <v>264</v>
      </c>
      <c r="D7" s="1428"/>
      <c r="E7" s="1428"/>
      <c r="F7" s="1428"/>
      <c r="G7" s="1428"/>
      <c r="H7" s="1428"/>
      <c r="I7" s="1428"/>
      <c r="L7" s="333"/>
      <c r="M7" s="220"/>
      <c r="N7" s="220"/>
      <c r="O7" s="220"/>
      <c r="P7" s="220"/>
      <c r="Q7" s="220"/>
      <c r="R7" s="220"/>
    </row>
    <row r="8" spans="1:18" ht="7.5" hidden="1" customHeight="1">
      <c r="A8" s="114"/>
      <c r="B8" s="114"/>
      <c r="C8" s="376"/>
      <c r="D8" s="376"/>
      <c r="E8" s="376"/>
      <c r="F8" s="376"/>
      <c r="G8" s="376"/>
      <c r="H8" s="376"/>
      <c r="L8" s="220"/>
      <c r="M8" s="220"/>
      <c r="N8" s="220"/>
      <c r="O8" s="220"/>
      <c r="P8" s="220"/>
      <c r="Q8" s="220"/>
      <c r="R8" s="220"/>
    </row>
    <row r="9" spans="1:18" ht="12.75" hidden="1" customHeight="1">
      <c r="A9" s="114"/>
      <c r="B9" s="114"/>
      <c r="C9" s="1322" t="s">
        <v>496</v>
      </c>
      <c r="D9" s="1322"/>
      <c r="E9" s="1322"/>
      <c r="F9" s="1322"/>
      <c r="G9" s="1322"/>
      <c r="H9" s="1322"/>
      <c r="I9" s="1322"/>
      <c r="J9" s="1322"/>
      <c r="K9" s="1322"/>
      <c r="L9" s="220"/>
      <c r="M9" s="220"/>
      <c r="N9" s="220"/>
      <c r="O9" s="220"/>
      <c r="P9" s="220"/>
      <c r="Q9" s="220"/>
      <c r="R9" s="220"/>
    </row>
    <row r="10" spans="1:18" hidden="1">
      <c r="A10" s="114"/>
      <c r="B10" s="114"/>
      <c r="C10" s="1322"/>
      <c r="D10" s="1322"/>
      <c r="E10" s="1322"/>
      <c r="F10" s="1322"/>
      <c r="G10" s="1322"/>
      <c r="H10" s="1322"/>
      <c r="I10" s="1322"/>
      <c r="J10" s="1322"/>
      <c r="K10" s="1322"/>
      <c r="L10" s="220"/>
      <c r="M10" s="220"/>
      <c r="N10" s="220"/>
      <c r="O10" s="220"/>
      <c r="P10" s="220"/>
      <c r="Q10" s="220"/>
      <c r="R10" s="220"/>
    </row>
    <row r="11" spans="1:18" hidden="1">
      <c r="A11" s="114"/>
      <c r="B11" s="114"/>
      <c r="C11" s="1322"/>
      <c r="D11" s="1322"/>
      <c r="E11" s="1322"/>
      <c r="F11" s="1322"/>
      <c r="G11" s="1322"/>
      <c r="H11" s="1322"/>
      <c r="I11" s="1322"/>
      <c r="J11" s="1322"/>
      <c r="K11" s="1322"/>
      <c r="L11" s="220"/>
      <c r="M11" s="220"/>
      <c r="N11" s="220"/>
      <c r="O11" s="220"/>
      <c r="P11" s="220"/>
      <c r="Q11" s="220"/>
      <c r="R11" s="220"/>
    </row>
    <row r="12" spans="1:18" hidden="1">
      <c r="A12" s="114"/>
      <c r="B12" s="114"/>
      <c r="C12" s="1322"/>
      <c r="D12" s="1322"/>
      <c r="E12" s="1322"/>
      <c r="F12" s="1322"/>
      <c r="G12" s="1322"/>
      <c r="H12" s="1322"/>
      <c r="I12" s="1322"/>
      <c r="J12" s="1322"/>
      <c r="K12" s="1322"/>
      <c r="L12" s="220"/>
      <c r="M12" s="220"/>
      <c r="N12" s="220"/>
      <c r="O12" s="220"/>
      <c r="P12" s="220"/>
      <c r="Q12" s="220"/>
      <c r="R12" s="220"/>
    </row>
    <row r="13" spans="1:18" ht="13.5" hidden="1" customHeight="1">
      <c r="A13" s="114"/>
      <c r="B13" s="114"/>
      <c r="C13" s="1322"/>
      <c r="D13" s="1322"/>
      <c r="E13" s="1322"/>
      <c r="F13" s="1322"/>
      <c r="G13" s="1322"/>
      <c r="H13" s="1322"/>
      <c r="I13" s="1322"/>
      <c r="J13" s="1322"/>
      <c r="K13" s="1322"/>
      <c r="L13" s="220"/>
      <c r="M13" s="220"/>
      <c r="N13" s="220"/>
      <c r="O13" s="220"/>
      <c r="P13" s="220"/>
      <c r="Q13" s="220"/>
      <c r="R13" s="220"/>
    </row>
    <row r="14" spans="1:18" ht="12.75" hidden="1" customHeight="1">
      <c r="A14" s="114"/>
      <c r="B14" s="114"/>
      <c r="C14" s="1322"/>
      <c r="D14" s="1322"/>
      <c r="E14" s="1322"/>
      <c r="F14" s="1322"/>
      <c r="G14" s="1322"/>
      <c r="H14" s="1322"/>
      <c r="I14" s="1322"/>
      <c r="J14" s="1322"/>
      <c r="K14" s="1322"/>
      <c r="L14" s="220"/>
      <c r="M14" s="882"/>
      <c r="N14" s="220"/>
      <c r="O14" s="220"/>
      <c r="P14" s="220"/>
      <c r="Q14" s="220"/>
      <c r="R14" s="220"/>
    </row>
    <row r="15" spans="1:18" hidden="1">
      <c r="A15" s="114"/>
      <c r="B15" s="114"/>
      <c r="C15" s="91"/>
      <c r="D15" s="91"/>
      <c r="E15" s="91"/>
      <c r="F15" s="91"/>
      <c r="G15" s="91"/>
      <c r="H15" s="91"/>
      <c r="I15" s="91"/>
      <c r="J15" s="91"/>
      <c r="L15" s="220"/>
      <c r="M15" s="882"/>
      <c r="N15" s="220"/>
      <c r="O15" s="220"/>
      <c r="P15" s="220"/>
      <c r="Q15" s="220"/>
      <c r="R15" s="220"/>
    </row>
    <row r="16" spans="1:18" ht="8.25" hidden="1" customHeight="1">
      <c r="L16" s="220"/>
      <c r="M16" s="220"/>
      <c r="N16" s="220"/>
      <c r="O16" s="220"/>
      <c r="P16" s="220"/>
      <c r="Q16" s="220"/>
      <c r="R16" s="220"/>
    </row>
    <row r="17" spans="1:19" hidden="1">
      <c r="A17" s="118" t="str">
        <f>CONCATENATE(A7+1,".")</f>
        <v>12.</v>
      </c>
      <c r="B17" s="118"/>
      <c r="C17" s="1428" t="s">
        <v>265</v>
      </c>
      <c r="D17" s="1428"/>
      <c r="E17" s="1428"/>
      <c r="F17" s="1428"/>
      <c r="G17" s="1428"/>
      <c r="H17" s="1428"/>
      <c r="I17" s="1428"/>
      <c r="L17" s="220"/>
      <c r="M17" s="220"/>
      <c r="N17" s="220"/>
      <c r="O17" s="883"/>
      <c r="P17" s="883"/>
      <c r="Q17" s="220"/>
      <c r="R17" s="220"/>
    </row>
    <row r="18" spans="1:19" hidden="1">
      <c r="A18" s="97"/>
      <c r="B18" s="97"/>
      <c r="C18" s="376"/>
      <c r="D18" s="376"/>
      <c r="E18" s="376"/>
      <c r="F18" s="376"/>
      <c r="G18" s="376"/>
      <c r="H18" s="376"/>
      <c r="L18" s="220"/>
      <c r="M18" s="220"/>
      <c r="N18" s="220"/>
      <c r="O18" s="220"/>
      <c r="P18" s="220"/>
      <c r="Q18" s="220"/>
      <c r="R18" s="220"/>
    </row>
    <row r="19" spans="1:19" hidden="1">
      <c r="A19" s="97"/>
      <c r="B19" s="97"/>
      <c r="C19" s="1322" t="s">
        <v>474</v>
      </c>
      <c r="D19" s="1322"/>
      <c r="E19" s="1322"/>
      <c r="F19" s="1322"/>
      <c r="G19" s="1322"/>
      <c r="H19" s="1322"/>
      <c r="I19" s="1322"/>
      <c r="J19" s="1322"/>
      <c r="K19" s="1322"/>
      <c r="L19" s="220"/>
      <c r="M19" s="220"/>
      <c r="N19" s="220"/>
      <c r="O19" s="220"/>
      <c r="P19" s="220"/>
      <c r="Q19" s="220"/>
      <c r="R19" s="220"/>
    </row>
    <row r="20" spans="1:19" hidden="1">
      <c r="A20" s="97"/>
      <c r="B20" s="97"/>
      <c r="C20" s="1322"/>
      <c r="D20" s="1322"/>
      <c r="E20" s="1322"/>
      <c r="F20" s="1322"/>
      <c r="G20" s="1322"/>
      <c r="H20" s="1322"/>
      <c r="I20" s="1322"/>
      <c r="J20" s="1322"/>
      <c r="K20" s="1322"/>
      <c r="L20" s="220"/>
      <c r="M20" s="220"/>
      <c r="N20" s="220"/>
      <c r="O20" s="323"/>
      <c r="P20" s="220"/>
      <c r="Q20" s="220"/>
      <c r="R20" s="220"/>
    </row>
    <row r="21" spans="1:19" ht="19.5" hidden="1" customHeight="1">
      <c r="A21" s="97"/>
      <c r="B21" s="97"/>
      <c r="C21" s="1322"/>
      <c r="D21" s="1322"/>
      <c r="E21" s="1322"/>
      <c r="F21" s="1322"/>
      <c r="G21" s="1322"/>
      <c r="H21" s="1322"/>
      <c r="I21" s="1322"/>
      <c r="J21" s="1322"/>
      <c r="K21" s="1322"/>
      <c r="L21" s="220"/>
      <c r="M21" s="220"/>
      <c r="N21" s="220"/>
      <c r="O21" s="301"/>
      <c r="P21" s="220"/>
      <c r="Q21" s="333"/>
      <c r="R21" s="220"/>
    </row>
    <row r="22" spans="1:19" ht="18.75" hidden="1" customHeight="1">
      <c r="A22" s="97"/>
      <c r="B22" s="97"/>
      <c r="C22" s="1322"/>
      <c r="D22" s="1322"/>
      <c r="E22" s="1322"/>
      <c r="F22" s="1322"/>
      <c r="G22" s="1322"/>
      <c r="H22" s="1322"/>
      <c r="I22" s="1322"/>
      <c r="J22" s="1322"/>
      <c r="K22" s="1322"/>
      <c r="L22" s="220"/>
      <c r="M22" s="220"/>
      <c r="N22" s="220"/>
      <c r="O22" s="326"/>
      <c r="P22" s="220"/>
      <c r="Q22" s="326"/>
      <c r="R22" s="220"/>
    </row>
    <row r="23" spans="1:19" hidden="1">
      <c r="A23" s="97"/>
      <c r="B23" s="97"/>
      <c r="C23" s="1322"/>
      <c r="D23" s="1322"/>
      <c r="E23" s="1322"/>
      <c r="F23" s="1322"/>
      <c r="G23" s="1322"/>
      <c r="H23" s="1322"/>
      <c r="I23" s="1322"/>
      <c r="J23" s="1322"/>
      <c r="K23" s="1322"/>
      <c r="L23" s="220"/>
      <c r="M23" s="220"/>
      <c r="N23" s="220"/>
      <c r="O23" s="220"/>
      <c r="P23" s="220"/>
      <c r="Q23" s="220"/>
      <c r="R23" s="220"/>
    </row>
    <row r="24" spans="1:19" ht="17.25" hidden="1" customHeight="1">
      <c r="L24" s="220"/>
      <c r="M24" s="220"/>
      <c r="N24" s="220"/>
      <c r="O24" s="326"/>
      <c r="P24" s="220"/>
      <c r="Q24" s="220"/>
      <c r="R24" s="220"/>
    </row>
    <row r="25" spans="1:19">
      <c r="A25" s="137">
        <f>A2+1</f>
        <v>11</v>
      </c>
      <c r="B25" s="137"/>
      <c r="C25" s="115" t="s">
        <v>381</v>
      </c>
      <c r="L25" s="220"/>
      <c r="M25" s="220"/>
      <c r="N25" s="220"/>
      <c r="O25" s="220"/>
      <c r="P25" s="220"/>
      <c r="Q25" s="220"/>
      <c r="R25" s="220"/>
    </row>
    <row r="26" spans="1:19">
      <c r="L26" s="220"/>
      <c r="M26" s="220"/>
      <c r="N26" s="220"/>
      <c r="O26" s="220"/>
      <c r="P26" s="220"/>
      <c r="Q26" s="220"/>
      <c r="R26" s="220"/>
    </row>
    <row r="27" spans="1:19" ht="12.75" customHeight="1">
      <c r="C27" s="1413" t="s">
        <v>755</v>
      </c>
      <c r="D27" s="1413"/>
      <c r="E27" s="1413"/>
      <c r="F27" s="1413"/>
      <c r="G27" s="1413"/>
      <c r="H27" s="1413"/>
      <c r="I27" s="1413"/>
      <c r="J27" s="1413"/>
      <c r="L27" s="1413" t="s">
        <v>587</v>
      </c>
      <c r="M27" s="1413"/>
      <c r="N27" s="1413"/>
      <c r="O27" s="1413"/>
      <c r="P27" s="1413"/>
      <c r="Q27" s="1413"/>
      <c r="R27" s="1413"/>
      <c r="S27" s="1413"/>
    </row>
    <row r="28" spans="1:19" ht="22.8" customHeight="1">
      <c r="C28" s="1413"/>
      <c r="D28" s="1413"/>
      <c r="E28" s="1413"/>
      <c r="F28" s="1413"/>
      <c r="G28" s="1413"/>
      <c r="H28" s="1413"/>
      <c r="I28" s="1413"/>
      <c r="J28" s="1413"/>
      <c r="L28" s="1413"/>
      <c r="M28" s="1413"/>
      <c r="N28" s="1413"/>
      <c r="O28" s="1413"/>
      <c r="P28" s="1413"/>
      <c r="Q28" s="1413"/>
      <c r="R28" s="1413"/>
      <c r="S28" s="1413"/>
    </row>
    <row r="29" spans="1:19">
      <c r="A29" s="97"/>
      <c r="B29" s="97"/>
      <c r="C29" s="1144"/>
      <c r="D29" s="1144"/>
      <c r="E29" s="1144"/>
      <c r="F29" s="1144"/>
      <c r="G29" s="1144"/>
      <c r="H29" s="1144"/>
      <c r="I29" s="1144"/>
      <c r="J29" s="1144"/>
      <c r="L29" s="220"/>
      <c r="M29" s="881">
        <f>5.11-4.64</f>
        <v>0.47000000000000064</v>
      </c>
      <c r="N29" s="220"/>
      <c r="O29" s="220"/>
      <c r="P29" s="220"/>
      <c r="Q29" s="220"/>
      <c r="R29" s="220"/>
    </row>
    <row r="30" spans="1:19">
      <c r="A30" s="137">
        <f>+A25+1</f>
        <v>12</v>
      </c>
      <c r="B30" s="97"/>
      <c r="C30" s="115" t="s">
        <v>720</v>
      </c>
      <c r="D30" s="1144"/>
      <c r="E30" s="1144"/>
      <c r="F30" s="1144"/>
      <c r="G30" s="1144"/>
      <c r="H30" s="1144"/>
      <c r="I30" s="1144"/>
      <c r="J30" s="1144"/>
      <c r="L30" s="220"/>
      <c r="M30" s="881"/>
      <c r="N30" s="220"/>
      <c r="O30" s="220"/>
      <c r="P30" s="220"/>
      <c r="Q30" s="220"/>
      <c r="R30" s="220"/>
    </row>
    <row r="31" spans="1:19">
      <c r="A31" s="97"/>
      <c r="B31" s="97"/>
      <c r="C31" s="1144"/>
      <c r="D31" s="1144"/>
      <c r="E31" s="1144"/>
      <c r="F31" s="1144"/>
      <c r="G31" s="1144"/>
      <c r="H31" s="1144"/>
      <c r="I31" s="1144"/>
      <c r="J31" s="1144"/>
      <c r="L31" s="220"/>
      <c r="M31" s="881"/>
      <c r="N31" s="220"/>
      <c r="O31" s="220"/>
      <c r="P31" s="220"/>
      <c r="Q31" s="220"/>
      <c r="R31" s="220"/>
    </row>
    <row r="32" spans="1:19" ht="12.75" customHeight="1">
      <c r="A32" s="97"/>
      <c r="B32" s="97"/>
      <c r="C32" s="1413" t="s">
        <v>721</v>
      </c>
      <c r="D32" s="1413"/>
      <c r="E32" s="1413"/>
      <c r="F32" s="1413"/>
      <c r="G32" s="1413"/>
      <c r="H32" s="1413"/>
      <c r="I32" s="1413"/>
      <c r="J32" s="1413"/>
      <c r="L32" s="220"/>
      <c r="M32" s="881"/>
      <c r="N32" s="220"/>
      <c r="O32" s="220"/>
      <c r="P32" s="220"/>
      <c r="Q32" s="220"/>
      <c r="R32" s="220"/>
    </row>
    <row r="33" spans="1:18">
      <c r="A33" s="97"/>
      <c r="B33" s="97"/>
      <c r="C33" s="1413"/>
      <c r="D33" s="1413"/>
      <c r="E33" s="1413"/>
      <c r="F33" s="1413"/>
      <c r="G33" s="1413"/>
      <c r="H33" s="1413"/>
      <c r="I33" s="1413"/>
      <c r="J33" s="1413"/>
      <c r="L33" s="220"/>
      <c r="M33" s="881"/>
      <c r="N33" s="220"/>
      <c r="O33" s="220"/>
      <c r="P33" s="220"/>
      <c r="Q33" s="220"/>
      <c r="R33" s="220"/>
    </row>
    <row r="34" spans="1:18" ht="5.25" customHeight="1">
      <c r="A34" s="97"/>
      <c r="B34" s="97"/>
      <c r="C34" s="1413"/>
      <c r="D34" s="1413"/>
      <c r="E34" s="1413"/>
      <c r="F34" s="1413"/>
      <c r="G34" s="1413"/>
      <c r="H34" s="1413"/>
      <c r="I34" s="1413"/>
      <c r="J34" s="1413"/>
      <c r="L34" s="220"/>
      <c r="M34" s="881"/>
      <c r="N34" s="220"/>
      <c r="O34" s="220"/>
      <c r="P34" s="220"/>
      <c r="Q34" s="220"/>
      <c r="R34" s="220"/>
    </row>
    <row r="35" spans="1:18" ht="10.5" customHeight="1">
      <c r="A35" s="97"/>
      <c r="B35" s="97"/>
      <c r="C35" s="1413"/>
      <c r="D35" s="1413"/>
      <c r="E35" s="1413"/>
      <c r="F35" s="1413"/>
      <c r="G35" s="1413"/>
      <c r="H35" s="1413"/>
      <c r="I35" s="1413"/>
      <c r="J35" s="1413"/>
      <c r="L35" s="220"/>
      <c r="M35" s="881"/>
      <c r="N35" s="220"/>
      <c r="O35" s="220"/>
      <c r="P35" s="220"/>
      <c r="Q35" s="220"/>
      <c r="R35" s="220"/>
    </row>
    <row r="36" spans="1:18">
      <c r="A36" s="97"/>
      <c r="B36" s="97"/>
      <c r="C36" s="906"/>
      <c r="D36" s="906"/>
      <c r="E36" s="906"/>
      <c r="F36" s="906"/>
      <c r="G36" s="906"/>
      <c r="H36" s="906"/>
      <c r="I36" s="906"/>
      <c r="J36" s="906"/>
      <c r="L36" s="220"/>
      <c r="M36" s="881"/>
      <c r="N36" s="220"/>
      <c r="O36" s="220"/>
      <c r="P36" s="220"/>
      <c r="Q36" s="220"/>
      <c r="R36" s="220"/>
    </row>
    <row r="37" spans="1:18">
      <c r="A37" s="97"/>
      <c r="B37" s="97"/>
      <c r="C37" s="1413" t="s">
        <v>722</v>
      </c>
      <c r="D37" s="1413"/>
      <c r="E37" s="1413"/>
      <c r="F37" s="1413"/>
      <c r="G37" s="1413"/>
      <c r="H37" s="1413"/>
      <c r="I37" s="1413"/>
      <c r="J37" s="1413"/>
      <c r="L37" s="220"/>
      <c r="M37" s="881"/>
      <c r="N37" s="220"/>
      <c r="O37" s="220"/>
      <c r="P37" s="220"/>
      <c r="Q37" s="220"/>
      <c r="R37" s="220"/>
    </row>
    <row r="38" spans="1:18" ht="8.25" customHeight="1">
      <c r="A38" s="97"/>
      <c r="B38" s="97"/>
      <c r="C38" s="1413"/>
      <c r="D38" s="1413"/>
      <c r="E38" s="1413"/>
      <c r="F38" s="1413"/>
      <c r="G38" s="1413"/>
      <c r="H38" s="1413"/>
      <c r="I38" s="1413"/>
      <c r="J38" s="1413"/>
      <c r="L38" s="220"/>
      <c r="M38" s="881"/>
      <c r="N38" s="220"/>
      <c r="O38" s="220"/>
      <c r="P38" s="220"/>
      <c r="Q38" s="220"/>
      <c r="R38" s="220"/>
    </row>
    <row r="39" spans="1:18" ht="10.5" customHeight="1">
      <c r="A39" s="97"/>
      <c r="B39" s="97"/>
      <c r="C39" s="1413"/>
      <c r="D39" s="1413"/>
      <c r="E39" s="1413"/>
      <c r="F39" s="1413"/>
      <c r="G39" s="1413"/>
      <c r="H39" s="1413"/>
      <c r="I39" s="1413"/>
      <c r="J39" s="1413"/>
      <c r="L39" s="220"/>
      <c r="M39" s="881"/>
      <c r="N39" s="220"/>
      <c r="O39" s="220"/>
      <c r="P39" s="220"/>
      <c r="Q39" s="220"/>
      <c r="R39" s="220"/>
    </row>
    <row r="40" spans="1:18" ht="12.75" hidden="1" customHeight="1">
      <c r="A40" s="97"/>
      <c r="B40" s="97"/>
      <c r="C40" s="1413"/>
      <c r="D40" s="1413"/>
      <c r="E40" s="1413"/>
      <c r="F40" s="1413"/>
      <c r="G40" s="1413"/>
      <c r="H40" s="1413"/>
      <c r="I40" s="1413"/>
      <c r="J40" s="1413"/>
      <c r="L40" s="220"/>
      <c r="M40" s="881"/>
      <c r="N40" s="220"/>
      <c r="O40" s="220"/>
      <c r="P40" s="220"/>
      <c r="Q40" s="220"/>
      <c r="R40" s="220"/>
    </row>
    <row r="41" spans="1:18">
      <c r="A41" s="97"/>
      <c r="B41" s="97"/>
      <c r="C41" s="1144"/>
      <c r="D41" s="1144"/>
      <c r="E41" s="1144"/>
      <c r="F41" s="1144"/>
      <c r="G41" s="1144"/>
      <c r="H41" s="1144"/>
      <c r="I41" s="1144"/>
      <c r="J41" s="1144"/>
      <c r="L41" s="220"/>
      <c r="M41" s="881"/>
      <c r="N41" s="220"/>
      <c r="O41" s="220"/>
      <c r="P41" s="220"/>
      <c r="Q41" s="220"/>
      <c r="R41" s="220"/>
    </row>
    <row r="42" spans="1:18">
      <c r="A42" s="97"/>
      <c r="B42" s="97"/>
      <c r="C42" s="1420" t="s">
        <v>723</v>
      </c>
      <c r="D42" s="1420"/>
      <c r="E42" s="1420"/>
      <c r="F42" s="1420"/>
      <c r="G42" s="1420"/>
      <c r="H42" s="1420"/>
      <c r="I42" s="1420"/>
      <c r="J42" s="1420"/>
      <c r="L42" s="220"/>
      <c r="M42" s="881"/>
      <c r="N42" s="220"/>
      <c r="O42" s="220"/>
      <c r="P42" s="220"/>
      <c r="Q42" s="220"/>
      <c r="R42" s="220"/>
    </row>
    <row r="43" spans="1:18">
      <c r="A43" s="97"/>
      <c r="B43" s="97"/>
      <c r="C43" s="1420"/>
      <c r="D43" s="1420"/>
      <c r="E43" s="1420"/>
      <c r="F43" s="1420"/>
      <c r="G43" s="1420"/>
      <c r="H43" s="1420"/>
      <c r="I43" s="1420"/>
      <c r="J43" s="1420"/>
      <c r="L43" s="220"/>
      <c r="M43" s="881"/>
      <c r="N43" s="220">
        <f>1.29/92*365</f>
        <v>5.1179347826086961</v>
      </c>
      <c r="O43" s="220"/>
      <c r="P43" s="220"/>
      <c r="Q43" s="220"/>
      <c r="R43" s="220"/>
    </row>
    <row r="44" spans="1:18" ht="5.25" customHeight="1">
      <c r="A44" s="97"/>
      <c r="B44" s="97"/>
      <c r="C44" s="1420"/>
      <c r="D44" s="1420"/>
      <c r="E44" s="1420"/>
      <c r="F44" s="1420"/>
      <c r="G44" s="1420"/>
      <c r="H44" s="1420"/>
      <c r="I44" s="1420"/>
      <c r="J44" s="1420"/>
      <c r="L44" s="220"/>
      <c r="M44" s="881"/>
      <c r="N44" s="220"/>
      <c r="O44" s="220"/>
      <c r="P44" s="220"/>
      <c r="Q44" s="220"/>
      <c r="R44" s="220"/>
    </row>
    <row r="45" spans="1:18" ht="9.75" customHeight="1">
      <c r="A45" s="97"/>
      <c r="B45" s="97"/>
      <c r="C45" s="1420"/>
      <c r="D45" s="1420"/>
      <c r="E45" s="1420"/>
      <c r="F45" s="1420"/>
      <c r="G45" s="1420"/>
      <c r="H45" s="1420"/>
      <c r="I45" s="1420"/>
      <c r="J45" s="1420"/>
      <c r="L45" s="220"/>
      <c r="M45" s="881"/>
      <c r="N45" s="220"/>
      <c r="O45" s="220"/>
      <c r="P45" s="220"/>
      <c r="Q45" s="220"/>
      <c r="R45" s="220"/>
    </row>
    <row r="46" spans="1:18">
      <c r="A46" s="97"/>
      <c r="B46" s="97"/>
      <c r="C46" s="1144"/>
      <c r="D46" s="1144"/>
      <c r="E46" s="1144"/>
      <c r="F46" s="1144"/>
      <c r="G46" s="1144"/>
      <c r="H46" s="1144"/>
      <c r="I46" s="1144"/>
      <c r="J46" s="1144"/>
      <c r="L46" s="220"/>
      <c r="M46" s="881"/>
      <c r="N46" s="220"/>
      <c r="O46" s="220"/>
      <c r="P46" s="220"/>
      <c r="Q46" s="220"/>
      <c r="R46" s="220"/>
    </row>
    <row r="47" spans="1:18">
      <c r="A47" s="97"/>
      <c r="B47" s="97"/>
      <c r="C47" s="115" t="s">
        <v>724</v>
      </c>
      <c r="D47" s="1144"/>
      <c r="E47" s="1144"/>
      <c r="F47" s="1144"/>
      <c r="G47" s="1144"/>
      <c r="H47" s="1144"/>
      <c r="I47" s="1144"/>
      <c r="J47" s="1144"/>
      <c r="L47" s="220"/>
      <c r="M47" s="881"/>
      <c r="N47" s="220"/>
      <c r="O47" s="220"/>
      <c r="P47" s="220"/>
      <c r="Q47" s="220"/>
      <c r="R47" s="220"/>
    </row>
    <row r="48" spans="1:18">
      <c r="A48" s="97"/>
      <c r="B48" s="97"/>
      <c r="C48" s="1144"/>
      <c r="D48" s="1144"/>
      <c r="E48" s="1144"/>
      <c r="F48" s="1144"/>
      <c r="G48" s="1144"/>
      <c r="H48" s="1144"/>
      <c r="I48" s="1144"/>
      <c r="J48" s="1144"/>
      <c r="L48" s="220"/>
      <c r="M48" s="881"/>
      <c r="N48" s="220"/>
      <c r="O48" s="220"/>
      <c r="P48" s="220"/>
      <c r="Q48" s="220"/>
      <c r="R48" s="220"/>
    </row>
    <row r="49" spans="1:18">
      <c r="A49" s="97"/>
      <c r="B49" s="97"/>
      <c r="C49" s="1420" t="s">
        <v>725</v>
      </c>
      <c r="D49" s="1420"/>
      <c r="E49" s="1420"/>
      <c r="F49" s="1420"/>
      <c r="G49" s="1420"/>
      <c r="H49" s="1420"/>
      <c r="I49" s="1420"/>
      <c r="J49" s="1420"/>
      <c r="L49" s="220"/>
      <c r="M49" s="881"/>
      <c r="N49" s="220"/>
      <c r="O49" s="220"/>
      <c r="P49" s="220"/>
      <c r="Q49" s="220"/>
      <c r="R49" s="220"/>
    </row>
    <row r="50" spans="1:18">
      <c r="A50" s="97"/>
      <c r="B50" s="97"/>
      <c r="C50" s="1420"/>
      <c r="D50" s="1420"/>
      <c r="E50" s="1420"/>
      <c r="F50" s="1420"/>
      <c r="G50" s="1420"/>
      <c r="H50" s="1420"/>
      <c r="I50" s="1420"/>
      <c r="J50" s="1420"/>
      <c r="L50" s="220"/>
      <c r="M50" s="881"/>
      <c r="N50" s="220"/>
      <c r="O50" s="220"/>
      <c r="P50" s="220"/>
      <c r="Q50" s="220"/>
      <c r="R50" s="220"/>
    </row>
    <row r="51" spans="1:18">
      <c r="A51" s="97"/>
      <c r="B51" s="97"/>
      <c r="C51" s="1420"/>
      <c r="D51" s="1420"/>
      <c r="E51" s="1420"/>
      <c r="F51" s="1420"/>
      <c r="G51" s="1420"/>
      <c r="H51" s="1420"/>
      <c r="I51" s="1420"/>
      <c r="J51" s="1420"/>
      <c r="L51" s="220"/>
      <c r="M51" s="881"/>
      <c r="N51" s="220"/>
      <c r="O51" s="220"/>
      <c r="P51" s="220"/>
      <c r="Q51" s="220"/>
      <c r="R51" s="220"/>
    </row>
    <row r="52" spans="1:18">
      <c r="A52" s="97"/>
      <c r="B52" s="97"/>
      <c r="C52" s="1144"/>
      <c r="D52" s="1144"/>
      <c r="E52" s="1144"/>
      <c r="F52" s="1144"/>
      <c r="G52" s="1144"/>
      <c r="H52" s="1144"/>
      <c r="I52" s="1144"/>
      <c r="J52" s="1144"/>
      <c r="L52" s="220"/>
      <c r="M52" s="881"/>
      <c r="N52" s="220"/>
      <c r="O52" s="220"/>
      <c r="P52" s="220"/>
      <c r="Q52" s="220"/>
      <c r="R52" s="220"/>
    </row>
    <row r="53" spans="1:18">
      <c r="A53" s="97"/>
      <c r="B53" s="97"/>
      <c r="C53" s="1413" t="s">
        <v>726</v>
      </c>
      <c r="D53" s="1413"/>
      <c r="E53" s="1413"/>
      <c r="F53" s="1413"/>
      <c r="G53" s="1413"/>
      <c r="H53" s="1413"/>
      <c r="I53" s="1413"/>
      <c r="J53" s="1413"/>
      <c r="L53" s="220"/>
      <c r="M53" s="881"/>
      <c r="N53" s="220"/>
      <c r="O53" s="220"/>
      <c r="P53" s="220"/>
      <c r="Q53" s="220"/>
      <c r="R53" s="220"/>
    </row>
    <row r="54" spans="1:18">
      <c r="A54" s="97"/>
      <c r="B54" s="97"/>
      <c r="C54" s="1144"/>
      <c r="D54" s="1144"/>
      <c r="E54" s="1144"/>
      <c r="F54" s="1144"/>
      <c r="G54" s="1144"/>
      <c r="H54" s="1144"/>
      <c r="I54" s="1144"/>
      <c r="J54" s="1144"/>
      <c r="L54" s="220"/>
      <c r="M54" s="881"/>
      <c r="N54" s="220"/>
      <c r="O54" s="220"/>
      <c r="P54" s="220"/>
      <c r="Q54" s="220"/>
      <c r="R54" s="220"/>
    </row>
    <row r="55" spans="1:18">
      <c r="A55" s="97"/>
      <c r="B55" s="97"/>
      <c r="C55" s="1420" t="s">
        <v>727</v>
      </c>
      <c r="D55" s="1413"/>
      <c r="E55" s="1413"/>
      <c r="F55" s="1413"/>
      <c r="G55" s="1413"/>
      <c r="H55" s="1413"/>
      <c r="I55" s="1413"/>
      <c r="J55" s="1413"/>
      <c r="L55" s="220"/>
      <c r="M55" s="881"/>
      <c r="N55" s="220"/>
      <c r="O55" s="220"/>
      <c r="P55" s="220"/>
      <c r="Q55" s="220"/>
      <c r="R55" s="220"/>
    </row>
    <row r="56" spans="1:18">
      <c r="A56" s="97"/>
      <c r="B56" s="97"/>
      <c r="C56" s="1413"/>
      <c r="D56" s="1413"/>
      <c r="E56" s="1413"/>
      <c r="F56" s="1413"/>
      <c r="G56" s="1413"/>
      <c r="H56" s="1413"/>
      <c r="I56" s="1413"/>
      <c r="J56" s="1413"/>
      <c r="L56" s="220"/>
      <c r="M56" s="881"/>
      <c r="N56" s="220"/>
      <c r="O56" s="220"/>
      <c r="P56" s="220"/>
      <c r="Q56" s="220"/>
      <c r="R56" s="220"/>
    </row>
    <row r="57" spans="1:18">
      <c r="A57" s="97"/>
      <c r="B57" s="97"/>
      <c r="C57" s="1144"/>
      <c r="D57" s="1144"/>
      <c r="E57" s="1144"/>
      <c r="F57" s="1144"/>
      <c r="G57" s="1144"/>
      <c r="H57" s="1144"/>
      <c r="I57" s="1144"/>
      <c r="J57" s="1144"/>
      <c r="L57" s="220"/>
      <c r="M57" s="881"/>
      <c r="N57" s="220"/>
      <c r="O57" s="220"/>
      <c r="P57" s="220"/>
      <c r="Q57" s="220"/>
      <c r="R57" s="220"/>
    </row>
    <row r="58" spans="1:18">
      <c r="A58" s="97"/>
      <c r="B58" s="97"/>
      <c r="C58" s="1420" t="s">
        <v>728</v>
      </c>
      <c r="D58" s="1420"/>
      <c r="E58" s="1420"/>
      <c r="F58" s="1420"/>
      <c r="G58" s="1420"/>
      <c r="H58" s="1420"/>
      <c r="I58" s="1420"/>
      <c r="J58" s="1420"/>
      <c r="L58" s="220"/>
      <c r="M58" s="881"/>
      <c r="N58" s="220"/>
      <c r="O58" s="220"/>
      <c r="P58" s="220"/>
      <c r="Q58" s="220"/>
      <c r="R58" s="220"/>
    </row>
    <row r="59" spans="1:18">
      <c r="A59" s="97"/>
      <c r="B59" s="97"/>
      <c r="C59" s="1144"/>
      <c r="D59" s="1144"/>
      <c r="E59" s="1144"/>
      <c r="F59" s="1144"/>
      <c r="G59" s="1144"/>
      <c r="H59" s="1144"/>
      <c r="I59" s="1144"/>
      <c r="J59" s="1144"/>
      <c r="L59" s="220"/>
      <c r="M59" s="881"/>
      <c r="N59" s="220"/>
      <c r="O59" s="220"/>
      <c r="P59" s="220"/>
      <c r="Q59" s="220"/>
      <c r="R59" s="220"/>
    </row>
    <row r="60" spans="1:18">
      <c r="A60" s="137">
        <f>+A30+1</f>
        <v>13</v>
      </c>
      <c r="B60" s="97"/>
      <c r="C60" s="115" t="s">
        <v>729</v>
      </c>
      <c r="D60" s="1144"/>
      <c r="E60" s="1144"/>
      <c r="F60" s="1144"/>
      <c r="G60" s="1144"/>
      <c r="H60" s="1144"/>
      <c r="I60" s="1144"/>
      <c r="J60" s="1144"/>
      <c r="L60" s="220"/>
      <c r="M60" s="881"/>
      <c r="N60" s="220"/>
      <c r="O60" s="220"/>
      <c r="P60" s="220"/>
      <c r="Q60" s="220"/>
      <c r="R60" s="220"/>
    </row>
    <row r="61" spans="1:18">
      <c r="A61" s="97"/>
      <c r="B61" s="97"/>
      <c r="C61" s="1144"/>
      <c r="D61" s="1144"/>
      <c r="E61" s="1144"/>
      <c r="F61" s="1144"/>
      <c r="G61" s="1144"/>
      <c r="H61" s="1144"/>
      <c r="I61" s="1144"/>
      <c r="J61" s="1144"/>
      <c r="L61" s="220"/>
      <c r="M61" s="881"/>
      <c r="N61" s="220"/>
      <c r="O61" s="220"/>
      <c r="P61" s="220"/>
      <c r="Q61" s="220"/>
      <c r="R61" s="220"/>
    </row>
    <row r="62" spans="1:18">
      <c r="A62" s="97"/>
      <c r="B62" s="97"/>
      <c r="C62" s="1420" t="s">
        <v>730</v>
      </c>
      <c r="D62" s="1413"/>
      <c r="E62" s="1413"/>
      <c r="F62" s="1413"/>
      <c r="G62" s="1413"/>
      <c r="H62" s="1413"/>
      <c r="I62" s="1413"/>
      <c r="J62" s="1413"/>
      <c r="L62" s="220"/>
      <c r="M62" s="881"/>
      <c r="N62" s="220"/>
      <c r="O62" s="220"/>
      <c r="P62" s="220"/>
      <c r="Q62" s="220"/>
      <c r="R62" s="220"/>
    </row>
    <row r="63" spans="1:18">
      <c r="A63" s="97"/>
      <c r="B63" s="97"/>
      <c r="C63" s="1413"/>
      <c r="D63" s="1413"/>
      <c r="E63" s="1413"/>
      <c r="F63" s="1413"/>
      <c r="G63" s="1413"/>
      <c r="H63" s="1413"/>
      <c r="I63" s="1413"/>
      <c r="J63" s="1413"/>
      <c r="L63" s="220"/>
      <c r="M63" s="881"/>
      <c r="N63" s="220"/>
      <c r="O63" s="220"/>
      <c r="P63" s="220"/>
      <c r="Q63" s="220"/>
      <c r="R63" s="220"/>
    </row>
    <row r="64" spans="1:18">
      <c r="A64" s="97"/>
      <c r="B64" s="97"/>
      <c r="C64" s="1413"/>
      <c r="D64" s="1413"/>
      <c r="E64" s="1413"/>
      <c r="F64" s="1413"/>
      <c r="G64" s="1413"/>
      <c r="H64" s="1413"/>
      <c r="I64" s="1413"/>
      <c r="J64" s="1413"/>
      <c r="L64" s="220"/>
      <c r="M64" s="881"/>
      <c r="N64" s="220"/>
      <c r="O64" s="220"/>
      <c r="P64" s="220"/>
      <c r="Q64" s="220"/>
      <c r="R64" s="220"/>
    </row>
    <row r="65" spans="1:18" ht="41.25" customHeight="1">
      <c r="A65" s="97"/>
      <c r="B65" s="97"/>
      <c r="C65" s="1413"/>
      <c r="D65" s="1413"/>
      <c r="E65" s="1413"/>
      <c r="F65" s="1413"/>
      <c r="G65" s="1413"/>
      <c r="H65" s="1413"/>
      <c r="I65" s="1413"/>
      <c r="J65" s="1413"/>
      <c r="L65" s="220"/>
      <c r="M65" s="881"/>
      <c r="N65" s="220"/>
      <c r="O65" s="220"/>
      <c r="P65" s="220"/>
      <c r="Q65" s="220"/>
      <c r="R65" s="220"/>
    </row>
    <row r="66" spans="1:18" ht="37.5" customHeight="1">
      <c r="A66" s="97"/>
      <c r="B66" s="97"/>
      <c r="C66" s="1413"/>
      <c r="D66" s="1413"/>
      <c r="E66" s="1413"/>
      <c r="F66" s="1413"/>
      <c r="G66" s="1413"/>
      <c r="H66" s="1413"/>
      <c r="I66" s="1413"/>
      <c r="J66" s="1413"/>
      <c r="L66" s="220"/>
      <c r="M66" s="881"/>
      <c r="N66" s="220"/>
      <c r="O66" s="220"/>
      <c r="P66" s="220"/>
      <c r="Q66" s="220"/>
      <c r="R66" s="220"/>
    </row>
    <row r="67" spans="1:18">
      <c r="A67" s="97"/>
      <c r="B67" s="97"/>
      <c r="C67" s="1144"/>
      <c r="D67" s="1144"/>
      <c r="E67" s="1144"/>
      <c r="F67" s="1144"/>
      <c r="G67" s="1144"/>
      <c r="H67" s="1144"/>
      <c r="I67" s="1144"/>
      <c r="J67" s="1144"/>
      <c r="L67" s="220"/>
      <c r="M67" s="881"/>
      <c r="N67" s="220"/>
      <c r="O67" s="220"/>
      <c r="P67" s="220"/>
      <c r="Q67" s="220"/>
      <c r="R67" s="220"/>
    </row>
    <row r="68" spans="1:18">
      <c r="A68" s="137">
        <f>+A60+1</f>
        <v>14</v>
      </c>
      <c r="B68" s="137"/>
      <c r="C68" s="115" t="s">
        <v>266</v>
      </c>
    </row>
    <row r="69" spans="1:18">
      <c r="A69" s="207"/>
      <c r="B69" s="207"/>
      <c r="C69" s="218"/>
    </row>
    <row r="70" spans="1:18" ht="18.75" customHeight="1">
      <c r="A70" s="137"/>
      <c r="B70" s="137"/>
      <c r="C70" s="1429" t="s">
        <v>646</v>
      </c>
      <c r="D70" s="1429"/>
      <c r="E70" s="1429"/>
      <c r="F70" s="1429"/>
      <c r="G70" s="1429"/>
      <c r="H70" s="1429"/>
      <c r="I70" s="1429"/>
      <c r="J70" s="1429"/>
      <c r="K70" s="1429"/>
    </row>
    <row r="71" spans="1:18">
      <c r="A71" s="207"/>
      <c r="B71" s="207"/>
      <c r="C71" s="1429"/>
      <c r="D71" s="1429"/>
      <c r="E71" s="1429"/>
      <c r="F71" s="1429"/>
      <c r="G71" s="1429"/>
      <c r="H71" s="1429"/>
      <c r="I71" s="1429"/>
      <c r="J71" s="1429"/>
      <c r="K71" s="1429"/>
      <c r="O71" s="207" t="e">
        <f>#REF!/92*365</f>
        <v>#REF!</v>
      </c>
    </row>
    <row r="72" spans="1:18">
      <c r="A72" s="207"/>
      <c r="B72" s="207"/>
      <c r="C72" s="1429"/>
      <c r="D72" s="1429"/>
      <c r="E72" s="1429"/>
      <c r="F72" s="1429"/>
      <c r="G72" s="1429"/>
      <c r="H72" s="1429"/>
      <c r="I72" s="1429"/>
      <c r="J72" s="1429"/>
      <c r="K72" s="1429"/>
    </row>
    <row r="73" spans="1:18">
      <c r="A73" s="207"/>
      <c r="B73" s="207"/>
      <c r="C73" s="1429"/>
      <c r="D73" s="1429"/>
      <c r="E73" s="1429"/>
      <c r="F73" s="1429"/>
      <c r="G73" s="1429"/>
      <c r="H73" s="1429"/>
      <c r="I73" s="1429"/>
      <c r="J73" s="1429"/>
      <c r="K73" s="1429"/>
    </row>
    <row r="74" spans="1:18">
      <c r="A74" s="207"/>
      <c r="B74" s="207"/>
      <c r="C74" s="1429"/>
      <c r="D74" s="1429"/>
      <c r="E74" s="1429"/>
      <c r="F74" s="1429"/>
      <c r="G74" s="1429"/>
      <c r="H74" s="1429"/>
      <c r="I74" s="1429"/>
      <c r="J74" s="1429"/>
      <c r="K74" s="1429"/>
      <c r="M74" s="207">
        <f>5.11-4.64</f>
        <v>0.47000000000000064</v>
      </c>
    </row>
    <row r="75" spans="1:18">
      <c r="A75" s="207"/>
      <c r="B75" s="207"/>
      <c r="C75" s="1429"/>
      <c r="D75" s="1429"/>
      <c r="E75" s="1429"/>
      <c r="F75" s="1429"/>
      <c r="G75" s="1429"/>
      <c r="H75" s="1429"/>
      <c r="I75" s="1429"/>
      <c r="J75" s="1429"/>
      <c r="K75" s="1429"/>
    </row>
    <row r="76" spans="1:18" ht="49.5" customHeight="1">
      <c r="A76" s="207"/>
      <c r="B76" s="207"/>
      <c r="C76" s="1429"/>
      <c r="D76" s="1429"/>
      <c r="E76" s="1429"/>
      <c r="F76" s="1429"/>
      <c r="G76" s="1429"/>
      <c r="H76" s="1429"/>
      <c r="I76" s="1429"/>
      <c r="J76" s="1429"/>
      <c r="K76" s="1429"/>
    </row>
    <row r="77" spans="1:18">
      <c r="A77" s="137" t="str">
        <f>+A68+1&amp;"."</f>
        <v>15.</v>
      </c>
      <c r="B77" s="137"/>
      <c r="C77" s="48" t="s">
        <v>652</v>
      </c>
      <c r="D77" s="327"/>
      <c r="I77" s="328"/>
      <c r="J77" s="329"/>
    </row>
    <row r="78" spans="1:18" ht="12" customHeight="1">
      <c r="A78" s="207"/>
      <c r="B78" s="207"/>
      <c r="C78" s="327"/>
      <c r="D78" s="327"/>
      <c r="I78" s="328"/>
      <c r="J78" s="329"/>
    </row>
    <row r="79" spans="1:18">
      <c r="A79" s="207"/>
      <c r="B79" s="207"/>
      <c r="C79" s="1429" t="s">
        <v>570</v>
      </c>
      <c r="D79" s="1429"/>
      <c r="E79" s="1429"/>
      <c r="F79" s="1429"/>
      <c r="G79" s="1429"/>
      <c r="H79" s="1429"/>
      <c r="I79" s="1429"/>
      <c r="J79" s="1429"/>
    </row>
    <row r="80" spans="1:18" ht="16.5" customHeight="1">
      <c r="A80" s="207"/>
      <c r="B80" s="207"/>
      <c r="C80" s="1429"/>
      <c r="D80" s="1429"/>
      <c r="E80" s="1429"/>
      <c r="F80" s="1429"/>
      <c r="G80" s="1429"/>
      <c r="H80" s="1429"/>
      <c r="I80" s="1429"/>
      <c r="J80" s="1429"/>
    </row>
    <row r="81" spans="1:11">
      <c r="A81" s="137" t="str">
        <f>+A77+1&amp;"."</f>
        <v>16.</v>
      </c>
      <c r="B81" s="137"/>
      <c r="C81" s="115" t="s">
        <v>267</v>
      </c>
      <c r="D81" s="115"/>
      <c r="E81" s="115"/>
      <c r="F81" s="218"/>
      <c r="J81" s="628"/>
    </row>
    <row r="82" spans="1:11">
      <c r="C82" s="218"/>
      <c r="D82" s="218"/>
      <c r="E82" s="218"/>
      <c r="F82" s="218"/>
      <c r="H82" s="738"/>
    </row>
    <row r="83" spans="1:11" ht="12" customHeight="1">
      <c r="C83" s="1413" t="s">
        <v>550</v>
      </c>
      <c r="D83" s="1413"/>
      <c r="E83" s="1413"/>
      <c r="F83" s="1413"/>
      <c r="G83" s="1413"/>
      <c r="H83" s="1413"/>
      <c r="I83" s="1413"/>
      <c r="J83" s="1413"/>
      <c r="K83" s="1413"/>
    </row>
    <row r="84" spans="1:11" ht="12" customHeight="1">
      <c r="C84" s="1413"/>
      <c r="D84" s="1413"/>
      <c r="E84" s="1413"/>
      <c r="F84" s="1413"/>
      <c r="G84" s="1413"/>
      <c r="H84" s="1413"/>
      <c r="I84" s="1413"/>
      <c r="J84" s="1413"/>
      <c r="K84" s="1413"/>
    </row>
    <row r="85" spans="1:11">
      <c r="C85" s="1413"/>
      <c r="D85" s="1413"/>
      <c r="E85" s="1413"/>
      <c r="F85" s="1413"/>
      <c r="G85" s="1413"/>
      <c r="H85" s="1413"/>
      <c r="I85" s="1413"/>
      <c r="J85" s="1413"/>
      <c r="K85" s="1413"/>
    </row>
    <row r="86" spans="1:11" ht="20.25" customHeight="1">
      <c r="C86" s="1413"/>
      <c r="D86" s="1413"/>
      <c r="E86" s="1413"/>
      <c r="F86" s="1413"/>
      <c r="G86" s="1413"/>
      <c r="H86" s="1413"/>
      <c r="I86" s="1413"/>
      <c r="J86" s="1413"/>
      <c r="K86" s="1413"/>
    </row>
    <row r="87" spans="1:11">
      <c r="C87" s="695"/>
      <c r="D87" s="695"/>
      <c r="E87" s="695"/>
      <c r="F87" s="695"/>
      <c r="G87" s="695"/>
      <c r="H87" s="695"/>
      <c r="I87" s="695"/>
      <c r="J87" s="695"/>
      <c r="K87" s="695"/>
    </row>
    <row r="88" spans="1:11">
      <c r="C88" s="1416" t="s">
        <v>551</v>
      </c>
      <c r="D88" s="1416"/>
      <c r="E88" s="1416"/>
      <c r="F88" s="1416"/>
      <c r="G88" s="1416"/>
      <c r="H88" s="1416"/>
      <c r="I88" s="1416"/>
      <c r="J88" s="1416"/>
      <c r="K88" s="905"/>
    </row>
    <row r="89" spans="1:11">
      <c r="C89" s="1416"/>
      <c r="D89" s="1416"/>
      <c r="E89" s="1416"/>
      <c r="F89" s="1416"/>
      <c r="G89" s="1416"/>
      <c r="H89" s="1416"/>
      <c r="I89" s="1416"/>
      <c r="J89" s="1416"/>
      <c r="K89" s="905"/>
    </row>
    <row r="90" spans="1:11">
      <c r="C90" s="906"/>
      <c r="D90" s="906"/>
      <c r="E90" s="906"/>
      <c r="F90" s="906"/>
      <c r="G90" s="906"/>
      <c r="H90" s="906"/>
      <c r="I90" s="906"/>
      <c r="J90" s="906"/>
      <c r="K90" s="905"/>
    </row>
    <row r="91" spans="1:11">
      <c r="C91" s="1416" t="s">
        <v>552</v>
      </c>
      <c r="D91" s="1416"/>
      <c r="E91" s="1416"/>
      <c r="F91" s="1416"/>
      <c r="G91" s="1416"/>
      <c r="H91" s="1416"/>
      <c r="I91" s="1416"/>
      <c r="J91" s="1416"/>
      <c r="K91" s="905"/>
    </row>
    <row r="92" spans="1:11">
      <c r="C92" s="1416"/>
      <c r="D92" s="1416"/>
      <c r="E92" s="1416"/>
      <c r="F92" s="1416"/>
      <c r="G92" s="1416"/>
      <c r="H92" s="1416"/>
      <c r="I92" s="1416"/>
      <c r="J92" s="1416"/>
      <c r="K92" s="905"/>
    </row>
    <row r="93" spans="1:11">
      <c r="C93" s="906"/>
      <c r="D93" s="906"/>
      <c r="E93" s="906"/>
      <c r="F93" s="906"/>
      <c r="G93" s="906"/>
      <c r="H93" s="906"/>
      <c r="I93" s="906"/>
      <c r="J93" s="906"/>
      <c r="K93" s="905"/>
    </row>
    <row r="94" spans="1:11" s="331" customFormat="1">
      <c r="A94" s="637"/>
      <c r="B94" s="637"/>
      <c r="C94" s="1430" t="s">
        <v>553</v>
      </c>
      <c r="D94" s="1430"/>
      <c r="E94" s="1430"/>
      <c r="F94" s="1430"/>
      <c r="G94" s="1430"/>
      <c r="H94" s="1430"/>
      <c r="I94" s="1430"/>
      <c r="J94" s="1430"/>
      <c r="K94" s="1322"/>
    </row>
    <row r="95" spans="1:11" s="331" customFormat="1">
      <c r="A95" s="637"/>
      <c r="B95" s="637"/>
      <c r="C95" s="1430"/>
      <c r="D95" s="1430"/>
      <c r="E95" s="1430"/>
      <c r="F95" s="1430"/>
      <c r="G95" s="1430"/>
      <c r="H95" s="1430"/>
      <c r="I95" s="1430"/>
      <c r="J95" s="1430"/>
      <c r="K95" s="1322"/>
    </row>
    <row r="96" spans="1:11" s="331" customFormat="1">
      <c r="A96" s="637"/>
      <c r="B96" s="637"/>
      <c r="C96" s="1430"/>
      <c r="D96" s="1430"/>
      <c r="E96" s="1430"/>
      <c r="F96" s="1430"/>
      <c r="G96" s="1430"/>
      <c r="H96" s="1430"/>
      <c r="I96" s="1430"/>
      <c r="J96" s="1430"/>
      <c r="K96" s="1322"/>
    </row>
    <row r="97" spans="1:11" ht="15.75" customHeight="1">
      <c r="C97" s="629"/>
      <c r="D97" s="629"/>
      <c r="E97" s="629"/>
      <c r="F97" s="629"/>
      <c r="G97" s="629"/>
      <c r="H97" s="629"/>
      <c r="I97" s="629"/>
      <c r="J97" s="629"/>
      <c r="K97" s="330"/>
    </row>
    <row r="98" spans="1:11">
      <c r="A98" s="638">
        <f>+A81+0.1</f>
        <v>16.100000000000001</v>
      </c>
      <c r="B98" s="638"/>
      <c r="C98" s="119" t="s">
        <v>268</v>
      </c>
      <c r="D98" s="629"/>
      <c r="E98" s="629"/>
      <c r="F98" s="629"/>
      <c r="G98" s="629"/>
      <c r="H98" s="629"/>
      <c r="I98" s="629"/>
      <c r="J98" s="629"/>
      <c r="K98" s="330"/>
    </row>
    <row r="99" spans="1:11">
      <c r="C99" s="639" t="s">
        <v>269</v>
      </c>
      <c r="D99" s="629"/>
      <c r="E99" s="640"/>
      <c r="F99" s="640"/>
      <c r="G99" s="629"/>
      <c r="H99" s="629"/>
      <c r="I99" s="1419" t="s">
        <v>193</v>
      </c>
      <c r="J99" s="1419"/>
      <c r="K99" s="330"/>
    </row>
    <row r="100" spans="1:11" ht="12.75" customHeight="1">
      <c r="A100" s="137"/>
      <c r="B100" s="137"/>
      <c r="C100" s="207"/>
      <c r="E100" s="641"/>
      <c r="F100" s="641"/>
      <c r="G100" s="220"/>
      <c r="I100" s="1417" t="s">
        <v>605</v>
      </c>
      <c r="J100" s="1417"/>
      <c r="K100" s="138"/>
    </row>
    <row r="101" spans="1:11">
      <c r="A101" s="207"/>
      <c r="B101" s="207"/>
      <c r="C101" s="207"/>
      <c r="E101" s="642"/>
      <c r="F101" s="643"/>
      <c r="G101" s="220"/>
      <c r="I101" s="1418" t="s">
        <v>571</v>
      </c>
      <c r="J101" s="1418"/>
      <c r="K101" s="644"/>
    </row>
    <row r="102" spans="1:11">
      <c r="A102" s="207"/>
      <c r="B102" s="207"/>
      <c r="C102" s="207"/>
      <c r="E102" s="28"/>
      <c r="F102" s="645"/>
      <c r="G102" s="139"/>
      <c r="I102" s="628">
        <v>2021</v>
      </c>
      <c r="J102" s="907">
        <v>2020</v>
      </c>
    </row>
    <row r="103" spans="1:11">
      <c r="E103" s="646"/>
      <c r="F103" s="647"/>
      <c r="G103" s="648"/>
      <c r="I103" s="649" t="s">
        <v>384</v>
      </c>
      <c r="J103" s="648"/>
    </row>
    <row r="104" spans="1:11" ht="12.75" customHeight="1">
      <c r="C104" s="1423" t="s">
        <v>271</v>
      </c>
      <c r="D104" s="1423"/>
      <c r="E104" s="220"/>
      <c r="F104" s="220"/>
    </row>
    <row r="105" spans="1:11" ht="12.75" customHeight="1">
      <c r="C105" s="1424" t="s">
        <v>272</v>
      </c>
      <c r="D105" s="1424"/>
      <c r="E105" s="220"/>
      <c r="F105" s="220"/>
    </row>
    <row r="106" spans="1:11">
      <c r="A106" s="207"/>
      <c r="B106" s="207"/>
      <c r="C106" s="650" t="s">
        <v>273</v>
      </c>
      <c r="E106" s="651"/>
      <c r="F106" s="652"/>
      <c r="G106" s="652"/>
      <c r="I106" s="651">
        <f>IS!E22+IS!E24</f>
        <v>4415.3653899999999</v>
      </c>
      <c r="J106" s="652">
        <v>2647.9516000000003</v>
      </c>
    </row>
    <row r="107" spans="1:11">
      <c r="A107" s="207"/>
      <c r="B107" s="207"/>
      <c r="C107" s="650" t="s">
        <v>170</v>
      </c>
      <c r="E107" s="651"/>
      <c r="F107" s="652"/>
      <c r="G107" s="652"/>
      <c r="I107" s="651">
        <f>IS!E29</f>
        <v>116.62619000000001</v>
      </c>
      <c r="J107" s="652">
        <v>117.15779000000001</v>
      </c>
    </row>
    <row r="108" spans="1:11">
      <c r="A108" s="207"/>
      <c r="B108" s="207"/>
      <c r="C108" s="650" t="s">
        <v>558</v>
      </c>
      <c r="E108" s="651"/>
      <c r="F108" s="652"/>
      <c r="G108" s="652"/>
      <c r="I108" s="651">
        <f>IS!E30</f>
        <v>0</v>
      </c>
      <c r="J108" s="652">
        <v>1581.63012</v>
      </c>
    </row>
    <row r="109" spans="1:11" ht="11.25" customHeight="1">
      <c r="A109" s="207"/>
      <c r="B109" s="207"/>
      <c r="C109" s="650"/>
      <c r="E109" s="651"/>
      <c r="F109" s="652"/>
      <c r="G109" s="652"/>
      <c r="H109" s="651"/>
      <c r="I109" s="652"/>
      <c r="J109" s="652"/>
    </row>
    <row r="110" spans="1:11" ht="11.25" customHeight="1">
      <c r="A110" s="207"/>
      <c r="B110" s="207"/>
      <c r="C110" s="650"/>
      <c r="E110" s="651"/>
      <c r="F110" s="652"/>
      <c r="G110" s="652"/>
      <c r="H110" s="651"/>
      <c r="I110" s="652"/>
      <c r="J110" s="652"/>
    </row>
    <row r="111" spans="1:11" ht="11.25" customHeight="1">
      <c r="A111" s="207"/>
      <c r="B111" s="207"/>
      <c r="C111" s="650"/>
      <c r="E111" s="220"/>
      <c r="F111" s="220"/>
    </row>
    <row r="112" spans="1:11">
      <c r="A112" s="207"/>
      <c r="B112" s="207"/>
      <c r="C112" s="653" t="s">
        <v>274</v>
      </c>
      <c r="E112" s="651"/>
      <c r="F112" s="652"/>
      <c r="G112" s="652"/>
      <c r="H112" s="651"/>
      <c r="I112" s="1102"/>
      <c r="J112" s="652"/>
    </row>
    <row r="113" spans="1:10">
      <c r="A113" s="207"/>
      <c r="B113" s="207"/>
      <c r="C113" s="650" t="s">
        <v>275</v>
      </c>
      <c r="E113" s="651"/>
      <c r="F113" s="652"/>
      <c r="G113" s="652"/>
      <c r="H113" s="651"/>
      <c r="I113" s="1102">
        <v>4</v>
      </c>
      <c r="J113" s="652">
        <v>15</v>
      </c>
    </row>
    <row r="114" spans="1:10">
      <c r="A114" s="207"/>
      <c r="B114" s="207"/>
      <c r="C114" s="650"/>
      <c r="E114" s="651"/>
      <c r="F114" s="652"/>
      <c r="G114" s="652"/>
      <c r="H114" s="651"/>
      <c r="I114" s="1102"/>
      <c r="J114" s="652"/>
    </row>
    <row r="115" spans="1:10">
      <c r="A115" s="207"/>
      <c r="B115" s="207"/>
      <c r="C115" s="650"/>
      <c r="E115" s="651"/>
      <c r="F115" s="652"/>
      <c r="G115" s="652"/>
      <c r="H115" s="651"/>
      <c r="I115" s="1102"/>
      <c r="J115" s="652"/>
    </row>
    <row r="116" spans="1:10">
      <c r="A116" s="207"/>
      <c r="B116" s="207"/>
      <c r="C116" s="653" t="s">
        <v>276</v>
      </c>
      <c r="E116" s="651"/>
      <c r="F116" s="652"/>
      <c r="G116" s="652"/>
      <c r="H116" s="651"/>
      <c r="I116" s="1102"/>
      <c r="J116" s="652"/>
    </row>
    <row r="117" spans="1:10">
      <c r="A117" s="207"/>
      <c r="B117" s="207"/>
      <c r="C117" s="664" t="s">
        <v>277</v>
      </c>
      <c r="E117" s="651"/>
      <c r="F117" s="652"/>
      <c r="G117" s="652"/>
      <c r="H117" s="651"/>
      <c r="I117" s="651">
        <f>TB!F166</f>
        <v>5.141</v>
      </c>
      <c r="J117" s="652">
        <v>4.1500000000000004</v>
      </c>
    </row>
    <row r="118" spans="1:10">
      <c r="A118" s="207"/>
      <c r="B118" s="207"/>
      <c r="C118" s="664" t="s">
        <v>574</v>
      </c>
      <c r="E118" s="651"/>
      <c r="F118" s="652"/>
      <c r="G118" s="652"/>
      <c r="H118" s="651"/>
      <c r="I118" s="1102">
        <f>-TB!F122</f>
        <v>3.1640000000000001</v>
      </c>
      <c r="J118" s="652">
        <v>5.5869999999999997</v>
      </c>
    </row>
    <row r="119" spans="1:10">
      <c r="A119" s="207"/>
      <c r="B119" s="207"/>
      <c r="C119" s="650" t="s">
        <v>711</v>
      </c>
      <c r="E119" s="651"/>
      <c r="F119" s="652"/>
      <c r="G119" s="652"/>
      <c r="H119" s="651"/>
      <c r="I119" s="1102">
        <v>0</v>
      </c>
      <c r="J119" s="652">
        <v>4656</v>
      </c>
    </row>
    <row r="120" spans="1:10">
      <c r="A120" s="207"/>
      <c r="B120" s="207"/>
      <c r="C120" s="650" t="s">
        <v>712</v>
      </c>
      <c r="E120" s="651"/>
      <c r="F120" s="652"/>
      <c r="G120" s="652"/>
      <c r="H120" s="651"/>
      <c r="I120" s="1102">
        <v>0</v>
      </c>
      <c r="J120" s="652">
        <v>13846</v>
      </c>
    </row>
    <row r="121" spans="1:10" ht="13.5" customHeight="1">
      <c r="A121" s="207"/>
      <c r="B121" s="207"/>
      <c r="C121" s="650"/>
      <c r="E121" s="651"/>
      <c r="F121" s="652"/>
      <c r="G121" s="652"/>
      <c r="H121" s="651"/>
      <c r="I121" s="1102"/>
      <c r="J121" s="652"/>
    </row>
    <row r="122" spans="1:10">
      <c r="A122" s="207"/>
      <c r="B122" s="207"/>
      <c r="C122" s="1139" t="s">
        <v>744</v>
      </c>
      <c r="E122" s="651"/>
      <c r="F122" s="652"/>
      <c r="G122" s="652"/>
      <c r="H122" s="651"/>
      <c r="I122" s="1102"/>
      <c r="J122" s="652"/>
    </row>
    <row r="123" spans="1:10">
      <c r="A123" s="207"/>
      <c r="B123" s="207"/>
      <c r="C123" s="650" t="s">
        <v>743</v>
      </c>
      <c r="E123" s="651"/>
      <c r="F123" s="652"/>
      <c r="G123" s="652"/>
      <c r="H123" s="651"/>
      <c r="I123" s="1102">
        <v>139</v>
      </c>
      <c r="J123" s="652">
        <v>0</v>
      </c>
    </row>
    <row r="124" spans="1:10">
      <c r="A124" s="207"/>
      <c r="B124" s="207"/>
      <c r="C124" s="650"/>
      <c r="E124" s="651"/>
      <c r="F124" s="652"/>
      <c r="G124" s="652"/>
      <c r="H124" s="651"/>
      <c r="I124" s="1102"/>
      <c r="J124" s="652"/>
    </row>
    <row r="125" spans="1:10">
      <c r="A125" s="207"/>
      <c r="B125" s="207"/>
      <c r="C125" s="1139" t="s">
        <v>610</v>
      </c>
      <c r="E125" s="651"/>
      <c r="F125" s="652"/>
      <c r="G125" s="652"/>
      <c r="H125" s="651"/>
      <c r="I125" s="1102"/>
      <c r="J125" s="652"/>
    </row>
    <row r="126" spans="1:10">
      <c r="A126" s="207"/>
      <c r="B126" s="207"/>
      <c r="C126" s="650" t="s">
        <v>707</v>
      </c>
      <c r="E126" s="651"/>
      <c r="F126" s="652"/>
      <c r="G126" s="652"/>
      <c r="H126" s="651"/>
      <c r="I126" s="1102">
        <v>0</v>
      </c>
      <c r="J126" s="652">
        <v>3999</v>
      </c>
    </row>
    <row r="127" spans="1:10">
      <c r="A127" s="207"/>
      <c r="B127" s="207"/>
      <c r="C127" s="650"/>
      <c r="E127" s="651"/>
      <c r="F127" s="652"/>
      <c r="G127" s="652"/>
      <c r="H127" s="651"/>
      <c r="I127" s="1102"/>
      <c r="J127" s="652"/>
    </row>
    <row r="128" spans="1:10">
      <c r="A128" s="207"/>
      <c r="B128" s="207"/>
      <c r="C128" s="1139" t="s">
        <v>641</v>
      </c>
      <c r="E128" s="651"/>
      <c r="F128" s="652"/>
      <c r="G128" s="652"/>
      <c r="H128" s="651"/>
      <c r="I128" s="1102"/>
      <c r="J128" s="652"/>
    </row>
    <row r="129" spans="1:13">
      <c r="A129" s="207"/>
      <c r="B129" s="207"/>
      <c r="C129" s="650" t="s">
        <v>713</v>
      </c>
      <c r="E129" s="651"/>
      <c r="F129" s="652"/>
      <c r="G129" s="652"/>
      <c r="H129" s="651"/>
      <c r="I129" s="1102">
        <v>0</v>
      </c>
      <c r="J129" s="652">
        <v>14155</v>
      </c>
    </row>
    <row r="130" spans="1:13">
      <c r="A130" s="207"/>
      <c r="B130" s="207"/>
      <c r="C130" s="650" t="s">
        <v>714</v>
      </c>
      <c r="E130" s="651"/>
      <c r="F130" s="652"/>
      <c r="G130" s="652"/>
      <c r="H130" s="651"/>
      <c r="I130" s="1102">
        <v>3359.9430139999999</v>
      </c>
      <c r="J130" s="652">
        <v>4869</v>
      </c>
    </row>
    <row r="131" spans="1:13">
      <c r="A131" s="207"/>
      <c r="B131" s="207"/>
      <c r="C131" s="650"/>
      <c r="E131" s="651"/>
      <c r="F131" s="652"/>
      <c r="G131" s="652"/>
      <c r="H131" s="651"/>
      <c r="I131" s="1102"/>
      <c r="J131" s="652"/>
    </row>
    <row r="132" spans="1:13">
      <c r="A132" s="207"/>
      <c r="B132" s="207"/>
      <c r="C132" s="1139" t="s">
        <v>700</v>
      </c>
      <c r="E132" s="651"/>
      <c r="F132" s="652"/>
      <c r="G132" s="652"/>
      <c r="H132" s="651"/>
      <c r="I132" s="1102"/>
      <c r="J132" s="652"/>
    </row>
    <row r="133" spans="1:13">
      <c r="A133" s="207"/>
      <c r="B133" s="207"/>
      <c r="C133" s="650" t="s">
        <v>715</v>
      </c>
      <c r="E133" s="651"/>
      <c r="F133" s="652"/>
      <c r="G133" s="652"/>
      <c r="H133" s="651"/>
      <c r="I133" s="1102">
        <v>4140</v>
      </c>
      <c r="J133" s="652">
        <v>0</v>
      </c>
    </row>
    <row r="134" spans="1:13">
      <c r="A134" s="207"/>
      <c r="B134" s="207"/>
      <c r="C134" s="650"/>
      <c r="E134" s="651"/>
      <c r="F134" s="652"/>
      <c r="G134" s="652"/>
      <c r="H134" s="651"/>
      <c r="I134" s="652"/>
      <c r="J134" s="652"/>
      <c r="M134" s="207">
        <f>132-45</f>
        <v>87</v>
      </c>
    </row>
    <row r="135" spans="1:13">
      <c r="A135" s="207"/>
      <c r="B135" s="207"/>
      <c r="C135" s="650"/>
      <c r="E135" s="651"/>
      <c r="F135" s="652"/>
      <c r="G135" s="652"/>
      <c r="H135" s="651"/>
      <c r="I135" s="652"/>
      <c r="J135" s="652"/>
    </row>
    <row r="136" spans="1:13">
      <c r="A136" s="207"/>
      <c r="B136" s="207"/>
      <c r="C136" s="650"/>
      <c r="E136" s="651"/>
      <c r="F136" s="652"/>
      <c r="G136" s="652"/>
      <c r="H136" s="651"/>
      <c r="I136" s="1419" t="s">
        <v>193</v>
      </c>
      <c r="J136" s="1419"/>
    </row>
    <row r="137" spans="1:13" ht="12.75" customHeight="1">
      <c r="A137" s="207"/>
      <c r="B137" s="207"/>
      <c r="C137" s="650"/>
      <c r="E137" s="651"/>
      <c r="F137" s="652"/>
      <c r="G137" s="220"/>
      <c r="I137" s="1417" t="str">
        <f>I100</f>
        <v>For the Quarter Ended</v>
      </c>
      <c r="J137" s="1417"/>
    </row>
    <row r="138" spans="1:13">
      <c r="A138" s="207"/>
      <c r="B138" s="207"/>
      <c r="C138" s="650"/>
      <c r="E138" s="651"/>
      <c r="F138" s="652"/>
      <c r="G138" s="220"/>
      <c r="I138" s="1418" t="s">
        <v>571</v>
      </c>
      <c r="J138" s="1418"/>
    </row>
    <row r="139" spans="1:13" ht="20.25" customHeight="1">
      <c r="A139" s="207"/>
      <c r="B139" s="207"/>
      <c r="C139" s="650"/>
      <c r="E139" s="651"/>
      <c r="F139" s="652"/>
      <c r="G139" s="139"/>
      <c r="I139" s="688">
        <v>2021</v>
      </c>
      <c r="J139" s="946">
        <v>2020</v>
      </c>
    </row>
    <row r="140" spans="1:13">
      <c r="A140" s="207"/>
      <c r="B140" s="207"/>
      <c r="C140" s="650"/>
      <c r="E140" s="651"/>
      <c r="F140" s="652"/>
      <c r="G140" s="648"/>
      <c r="I140" s="649" t="s">
        <v>524</v>
      </c>
      <c r="J140" s="648"/>
    </row>
    <row r="141" spans="1:13" ht="9.75" customHeight="1">
      <c r="A141" s="207"/>
      <c r="B141" s="207"/>
      <c r="C141" s="650"/>
      <c r="E141" s="651"/>
      <c r="F141" s="652"/>
      <c r="G141" s="652"/>
      <c r="I141" s="651"/>
      <c r="J141" s="652"/>
    </row>
    <row r="142" spans="1:13">
      <c r="C142" s="27" t="s">
        <v>278</v>
      </c>
      <c r="E142" s="651"/>
      <c r="F142" s="652"/>
      <c r="G142" s="652"/>
      <c r="I142" s="651"/>
      <c r="J142" s="652"/>
    </row>
    <row r="143" spans="1:13">
      <c r="C143" s="653" t="s">
        <v>279</v>
      </c>
      <c r="E143" s="651"/>
      <c r="F143" s="652"/>
      <c r="G143" s="223"/>
      <c r="I143" s="654"/>
      <c r="J143" s="655"/>
    </row>
    <row r="144" spans="1:13">
      <c r="C144" s="653"/>
      <c r="E144" s="651"/>
      <c r="F144" s="652"/>
      <c r="G144" s="223"/>
      <c r="I144" s="654"/>
      <c r="J144" s="655"/>
    </row>
    <row r="145" spans="1:11">
      <c r="A145" s="207"/>
      <c r="B145" s="207"/>
      <c r="C145" s="650" t="s">
        <v>280</v>
      </c>
      <c r="E145" s="656"/>
      <c r="F145" s="657"/>
      <c r="G145" s="657"/>
      <c r="I145" s="656">
        <f>IS!E26+IS!E27</f>
        <v>263.63</v>
      </c>
      <c r="J145" s="657">
        <v>264.82</v>
      </c>
    </row>
    <row r="146" spans="1:11">
      <c r="A146" s="207"/>
      <c r="B146" s="207"/>
      <c r="C146" s="650" t="s">
        <v>281</v>
      </c>
      <c r="E146" s="651"/>
      <c r="F146" s="652"/>
      <c r="G146" s="333"/>
      <c r="I146" s="651">
        <f>TB!F153</f>
        <v>5.8209999999999997</v>
      </c>
      <c r="J146" s="652">
        <v>22.588000000000001</v>
      </c>
    </row>
    <row r="147" spans="1:11" ht="4.5" customHeight="1">
      <c r="A147" s="207"/>
      <c r="B147" s="207"/>
      <c r="C147" s="650"/>
      <c r="E147" s="220"/>
      <c r="F147" s="220"/>
    </row>
    <row r="148" spans="1:11">
      <c r="A148" s="207"/>
      <c r="B148" s="207"/>
      <c r="C148" s="1422" t="s">
        <v>483</v>
      </c>
      <c r="D148" s="1422"/>
      <c r="E148" s="1422"/>
      <c r="F148" s="1422"/>
      <c r="G148" s="1422"/>
      <c r="H148" s="1422"/>
      <c r="I148" s="1422"/>
      <c r="J148" s="1422"/>
    </row>
    <row r="149" spans="1:11">
      <c r="A149" s="207"/>
      <c r="B149" s="207"/>
      <c r="C149" s="1422"/>
      <c r="D149" s="1422"/>
      <c r="E149" s="1422"/>
      <c r="F149" s="1422"/>
      <c r="G149" s="1422"/>
      <c r="H149" s="1422"/>
      <c r="I149" s="1422"/>
      <c r="J149" s="1422"/>
    </row>
    <row r="150" spans="1:11">
      <c r="A150" s="207"/>
      <c r="B150" s="207"/>
      <c r="C150" s="1422"/>
      <c r="D150" s="1422"/>
      <c r="E150" s="1422"/>
      <c r="F150" s="1422"/>
      <c r="G150" s="1422"/>
      <c r="H150" s="1422"/>
      <c r="I150" s="1422"/>
      <c r="J150" s="1422"/>
    </row>
    <row r="151" spans="1:11" ht="6.75" customHeight="1">
      <c r="A151" s="207"/>
      <c r="B151" s="207"/>
      <c r="C151" s="738"/>
      <c r="D151" s="738"/>
      <c r="E151" s="738"/>
      <c r="F151" s="738"/>
      <c r="G151" s="738"/>
      <c r="H151" s="738"/>
      <c r="I151" s="738"/>
      <c r="J151" s="738"/>
    </row>
    <row r="152" spans="1:11">
      <c r="A152" s="207"/>
      <c r="B152" s="207"/>
      <c r="C152" s="207"/>
      <c r="D152" s="207"/>
      <c r="I152" s="28" t="s">
        <v>193</v>
      </c>
      <c r="J152" s="645" t="s">
        <v>125</v>
      </c>
      <c r="K152" s="220"/>
    </row>
    <row r="153" spans="1:11">
      <c r="C153" s="207"/>
      <c r="D153" s="207"/>
      <c r="I153" s="140" t="s">
        <v>571</v>
      </c>
      <c r="J153" s="658" t="s">
        <v>127</v>
      </c>
      <c r="K153" s="220"/>
    </row>
    <row r="154" spans="1:11">
      <c r="C154" s="207"/>
      <c r="D154" s="207"/>
      <c r="I154" s="8">
        <v>2021</v>
      </c>
      <c r="J154" s="334">
        <v>2021</v>
      </c>
      <c r="K154" s="220"/>
    </row>
    <row r="155" spans="1:11">
      <c r="C155" s="659"/>
      <c r="D155" s="222"/>
      <c r="E155" s="139"/>
      <c r="F155" s="219"/>
      <c r="G155" s="660"/>
      <c r="I155" s="957" t="s">
        <v>282</v>
      </c>
      <c r="J155" s="26"/>
      <c r="K155" s="220"/>
    </row>
    <row r="156" spans="1:11">
      <c r="A156" s="638">
        <f>+A98+0.1</f>
        <v>16.200000000000003</v>
      </c>
      <c r="B156" s="638"/>
      <c r="C156" s="141" t="s">
        <v>283</v>
      </c>
      <c r="D156" s="222"/>
      <c r="E156" s="139"/>
      <c r="F156" s="219"/>
      <c r="G156" s="660"/>
      <c r="H156" s="661"/>
      <c r="I156" s="630"/>
      <c r="J156" s="630"/>
      <c r="K156" s="220"/>
    </row>
    <row r="157" spans="1:11">
      <c r="C157" s="659"/>
      <c r="D157" s="222"/>
      <c r="E157" s="139"/>
      <c r="F157" s="219"/>
      <c r="G157" s="660"/>
      <c r="H157" s="661"/>
      <c r="I157" s="630"/>
      <c r="J157" s="630"/>
      <c r="K157" s="220"/>
    </row>
    <row r="158" spans="1:11">
      <c r="C158" s="1423" t="s">
        <v>271</v>
      </c>
      <c r="D158" s="1423"/>
      <c r="E158" s="141"/>
      <c r="F158" s="141"/>
      <c r="G158" s="139"/>
      <c r="H158" s="220"/>
      <c r="I158" s="220"/>
      <c r="J158" s="220"/>
      <c r="K158" s="220"/>
    </row>
    <row r="159" spans="1:11">
      <c r="A159" s="142"/>
      <c r="B159" s="142"/>
      <c r="C159" s="1424" t="s">
        <v>272</v>
      </c>
      <c r="D159" s="1424"/>
      <c r="E159" s="662"/>
      <c r="F159" s="141"/>
      <c r="G159" s="139"/>
      <c r="H159" s="220"/>
      <c r="I159" s="220"/>
      <c r="J159" s="220"/>
      <c r="K159" s="220"/>
    </row>
    <row r="160" spans="1:11" ht="6" customHeight="1">
      <c r="A160" s="142"/>
      <c r="B160" s="142"/>
      <c r="C160" s="696"/>
      <c r="D160" s="696"/>
      <c r="E160" s="662"/>
      <c r="F160" s="141"/>
      <c r="G160" s="139"/>
      <c r="H160" s="220"/>
      <c r="I160" s="220"/>
      <c r="J160" s="220"/>
      <c r="K160" s="220"/>
    </row>
    <row r="161" spans="1:12">
      <c r="A161" s="142"/>
      <c r="B161" s="142"/>
      <c r="C161" s="944" t="s">
        <v>497</v>
      </c>
      <c r="D161" s="336"/>
      <c r="E161" s="336"/>
      <c r="F161" s="336"/>
      <c r="G161" s="220"/>
      <c r="H161" s="47"/>
      <c r="I161" s="337">
        <f>'Note 5.5-6.2'!G74</f>
        <v>1246.37102</v>
      </c>
      <c r="J161" s="549">
        <v>1186</v>
      </c>
      <c r="K161" s="220"/>
      <c r="L161" s="338">
        <f>TB!G75</f>
        <v>-5872.2498700000006</v>
      </c>
    </row>
    <row r="162" spans="1:12">
      <c r="A162" s="142"/>
      <c r="B162" s="142"/>
      <c r="C162" s="944" t="s">
        <v>285</v>
      </c>
      <c r="D162" s="336"/>
      <c r="E162" s="336"/>
      <c r="F162" s="336"/>
      <c r="G162" s="220"/>
      <c r="H162" s="47"/>
      <c r="I162" s="337">
        <f>'Note 5.5-6.2'!G75</f>
        <v>162.02886999999998</v>
      </c>
      <c r="J162" s="549">
        <v>154</v>
      </c>
      <c r="K162" s="220"/>
      <c r="L162" s="338">
        <f>-L161</f>
        <v>5872.2498700000006</v>
      </c>
    </row>
    <row r="163" spans="1:12">
      <c r="A163" s="142"/>
      <c r="B163" s="142"/>
      <c r="C163" s="944" t="s">
        <v>286</v>
      </c>
      <c r="D163" s="336"/>
      <c r="E163" s="336"/>
      <c r="F163" s="336"/>
      <c r="G163" s="220"/>
      <c r="H163" s="47"/>
      <c r="I163" s="337">
        <v>0</v>
      </c>
      <c r="J163" s="549">
        <v>39</v>
      </c>
      <c r="K163" s="220"/>
      <c r="L163" s="338">
        <f>L162+I161+I162</f>
        <v>7280.6497600000002</v>
      </c>
    </row>
    <row r="164" spans="1:12">
      <c r="A164" s="142"/>
      <c r="B164" s="142"/>
      <c r="C164" s="944" t="s">
        <v>498</v>
      </c>
      <c r="D164" s="336"/>
      <c r="E164" s="336"/>
      <c r="F164" s="336"/>
      <c r="G164" s="220"/>
      <c r="H164" s="47"/>
      <c r="I164" s="337">
        <f>'Note 5.5-6.2'!G76</f>
        <v>37.132400000000004</v>
      </c>
      <c r="J164" s="549">
        <v>0</v>
      </c>
      <c r="K164" s="220"/>
      <c r="L164" s="223" t="e">
        <f>#REF!+I164</f>
        <v>#REF!</v>
      </c>
    </row>
    <row r="165" spans="1:12">
      <c r="A165" s="339"/>
      <c r="B165" s="339"/>
      <c r="C165" s="944"/>
      <c r="D165" s="336"/>
      <c r="E165" s="336"/>
      <c r="F165" s="336"/>
      <c r="G165" s="220"/>
      <c r="H165" s="47"/>
      <c r="I165" s="337"/>
      <c r="J165" s="337"/>
      <c r="K165" s="220"/>
    </row>
    <row r="166" spans="1:12">
      <c r="A166" s="339"/>
      <c r="B166" s="339"/>
      <c r="C166" s="141" t="s">
        <v>287</v>
      </c>
      <c r="D166" s="141"/>
      <c r="E166" s="141"/>
      <c r="F166" s="141"/>
      <c r="G166" s="220"/>
      <c r="H166" s="47"/>
      <c r="I166" s="337"/>
      <c r="J166" s="337"/>
      <c r="K166" s="220"/>
    </row>
    <row r="167" spans="1:12" ht="6" customHeight="1">
      <c r="A167" s="339"/>
      <c r="B167" s="339"/>
      <c r="C167" s="141"/>
      <c r="D167" s="141"/>
      <c r="E167" s="141"/>
      <c r="F167" s="141"/>
      <c r="G167" s="220"/>
      <c r="H167" s="47"/>
      <c r="I167" s="337"/>
      <c r="J167" s="337"/>
      <c r="K167" s="220"/>
    </row>
    <row r="168" spans="1:12">
      <c r="A168" s="339"/>
      <c r="B168" s="339"/>
      <c r="C168" s="335" t="s">
        <v>288</v>
      </c>
      <c r="D168" s="207"/>
      <c r="E168" s="336"/>
      <c r="F168" s="336"/>
      <c r="G168" s="220"/>
      <c r="H168" s="47"/>
      <c r="I168" s="337">
        <f>TB!F57</f>
        <v>300</v>
      </c>
      <c r="J168" s="1018">
        <v>300</v>
      </c>
      <c r="K168" s="220"/>
    </row>
    <row r="169" spans="1:12">
      <c r="A169" s="339"/>
      <c r="B169" s="339"/>
      <c r="C169" s="335" t="s">
        <v>284</v>
      </c>
      <c r="D169" s="336"/>
      <c r="E169" s="336"/>
      <c r="F169" s="336"/>
      <c r="G169" s="220"/>
      <c r="H169" s="47"/>
      <c r="I169" s="337">
        <f>-TB!G85</f>
        <v>74.616160000000008</v>
      </c>
      <c r="J169" s="1018">
        <v>79</v>
      </c>
      <c r="K169" s="220"/>
    </row>
    <row r="170" spans="1:12">
      <c r="A170" s="339"/>
      <c r="B170" s="339"/>
      <c r="C170" s="335" t="s">
        <v>289</v>
      </c>
      <c r="D170" s="336"/>
      <c r="E170" s="336"/>
      <c r="F170" s="336"/>
      <c r="G170" s="220"/>
      <c r="H170" s="47"/>
      <c r="I170" s="337">
        <f>-TB!F85</f>
        <v>9.7200000000000006</v>
      </c>
      <c r="J170" s="1018">
        <v>10</v>
      </c>
      <c r="K170" s="220"/>
    </row>
    <row r="171" spans="1:12">
      <c r="A171" s="339"/>
      <c r="B171" s="339"/>
      <c r="C171" s="336"/>
      <c r="D171" s="336"/>
      <c r="E171" s="336"/>
      <c r="F171" s="336"/>
      <c r="G171" s="220"/>
      <c r="H171" s="47"/>
      <c r="I171" s="337"/>
      <c r="J171" s="337"/>
      <c r="K171" s="220"/>
    </row>
    <row r="172" spans="1:12">
      <c r="A172" s="339"/>
      <c r="B172" s="339"/>
      <c r="C172" s="141" t="s">
        <v>276</v>
      </c>
      <c r="D172" s="141"/>
      <c r="E172" s="141"/>
      <c r="F172" s="141"/>
      <c r="G172" s="220"/>
      <c r="H172" s="57"/>
      <c r="I172" s="57"/>
      <c r="J172" s="1019"/>
      <c r="K172" s="220"/>
    </row>
    <row r="173" spans="1:12" ht="6" customHeight="1">
      <c r="A173" s="339"/>
      <c r="B173" s="339"/>
      <c r="C173" s="141"/>
      <c r="D173" s="141"/>
      <c r="E173" s="141"/>
      <c r="F173" s="141"/>
      <c r="G173" s="220"/>
      <c r="H173" s="57"/>
      <c r="I173" s="57"/>
      <c r="J173" s="1019"/>
      <c r="K173" s="220"/>
    </row>
    <row r="174" spans="1:12">
      <c r="A174" s="339"/>
      <c r="B174" s="339"/>
      <c r="C174" s="335" t="s">
        <v>290</v>
      </c>
      <c r="D174" s="336"/>
      <c r="E174" s="336"/>
      <c r="F174" s="336"/>
      <c r="G174" s="220"/>
      <c r="H174" s="47"/>
      <c r="I174" s="337">
        <f>TB!F6+TB!F7+TB!F13</f>
        <v>2099.05386</v>
      </c>
      <c r="J174" s="1020">
        <v>3218</v>
      </c>
      <c r="K174" s="220"/>
    </row>
    <row r="175" spans="1:12">
      <c r="A175" s="339"/>
      <c r="B175" s="339"/>
      <c r="C175" s="335" t="s">
        <v>291</v>
      </c>
      <c r="D175" s="336"/>
      <c r="E175" s="336"/>
      <c r="F175" s="336"/>
      <c r="G175" s="220"/>
      <c r="H175" s="47"/>
      <c r="I175" s="337">
        <f>TB!F42</f>
        <v>35.430190000000003</v>
      </c>
      <c r="J175" s="1020">
        <v>35</v>
      </c>
    </row>
    <row r="176" spans="1:12" ht="9.75" customHeight="1">
      <c r="A176" s="339"/>
      <c r="B176" s="339"/>
      <c r="C176" s="335"/>
      <c r="D176" s="336"/>
      <c r="E176" s="336"/>
      <c r="F176" s="336"/>
      <c r="G176" s="220"/>
      <c r="H176" s="47"/>
      <c r="I176" s="337"/>
      <c r="J176" s="337"/>
    </row>
    <row r="177" spans="1:11">
      <c r="A177" s="339"/>
      <c r="B177" s="339"/>
      <c r="C177" s="141" t="s">
        <v>292</v>
      </c>
      <c r="D177" s="336"/>
      <c r="E177" s="336"/>
      <c r="F177" s="336"/>
      <c r="G177" s="220"/>
      <c r="H177" s="47"/>
      <c r="I177" s="337"/>
      <c r="J177" s="337"/>
      <c r="K177" s="220"/>
    </row>
    <row r="178" spans="1:11" ht="6" customHeight="1">
      <c r="A178" s="339"/>
      <c r="B178" s="339"/>
      <c r="C178" s="141"/>
      <c r="D178" s="336"/>
      <c r="E178" s="336"/>
      <c r="F178" s="336"/>
      <c r="G178" s="220"/>
      <c r="H178" s="47"/>
      <c r="I178" s="337"/>
      <c r="J178" s="337"/>
      <c r="K178" s="220"/>
    </row>
    <row r="179" spans="1:11">
      <c r="A179" s="339"/>
      <c r="B179" s="339"/>
      <c r="C179" s="335" t="s">
        <v>293</v>
      </c>
      <c r="D179" s="336"/>
      <c r="E179" s="336"/>
      <c r="F179" s="336"/>
      <c r="G179" s="220"/>
      <c r="H179" s="47"/>
      <c r="I179" s="337">
        <v>4</v>
      </c>
      <c r="J179" s="337">
        <v>12</v>
      </c>
      <c r="K179" s="220"/>
    </row>
    <row r="180" spans="1:11" ht="9.75" customHeight="1">
      <c r="A180" s="339"/>
      <c r="B180" s="339"/>
      <c r="C180" s="335"/>
      <c r="D180" s="336"/>
      <c r="E180" s="336"/>
      <c r="F180" s="336"/>
      <c r="G180" s="220"/>
      <c r="H180" s="47"/>
      <c r="I180" s="337"/>
      <c r="J180" s="337"/>
      <c r="K180" s="220"/>
    </row>
    <row r="181" spans="1:11" ht="9.75" customHeight="1">
      <c r="A181" s="339"/>
      <c r="B181" s="339"/>
      <c r="C181" s="335"/>
      <c r="D181" s="336"/>
      <c r="E181" s="336"/>
      <c r="F181" s="336"/>
      <c r="G181" s="220"/>
      <c r="H181" s="47"/>
      <c r="I181" s="337"/>
      <c r="J181" s="337"/>
      <c r="K181" s="220"/>
    </row>
    <row r="182" spans="1:11">
      <c r="A182" s="339"/>
      <c r="B182" s="339"/>
      <c r="C182" s="1140" t="s">
        <v>700</v>
      </c>
      <c r="D182" s="336"/>
      <c r="E182" s="336"/>
      <c r="F182" s="336"/>
      <c r="G182" s="220"/>
      <c r="H182" s="47"/>
      <c r="I182" s="337"/>
      <c r="J182" s="337"/>
      <c r="K182" s="220"/>
    </row>
    <row r="183" spans="1:11">
      <c r="A183" s="339"/>
      <c r="B183" s="339"/>
      <c r="C183" s="1110" t="s">
        <v>716</v>
      </c>
      <c r="D183" s="336"/>
      <c r="E183" s="336"/>
      <c r="F183" s="336"/>
      <c r="G183" s="220"/>
      <c r="H183" s="47"/>
      <c r="I183" s="337">
        <v>0</v>
      </c>
      <c r="J183" s="337">
        <v>4325</v>
      </c>
      <c r="K183" s="220"/>
    </row>
    <row r="184" spans="1:11">
      <c r="A184" s="339"/>
      <c r="B184" s="339"/>
      <c r="C184" s="1109"/>
      <c r="D184" s="336"/>
      <c r="E184" s="336"/>
      <c r="F184" s="336"/>
      <c r="G184" s="220"/>
      <c r="H184" s="47"/>
      <c r="I184" s="337"/>
      <c r="J184" s="337"/>
      <c r="K184" s="220"/>
    </row>
    <row r="185" spans="1:11">
      <c r="A185" s="339"/>
      <c r="B185" s="339"/>
      <c r="C185" s="1002" t="s">
        <v>744</v>
      </c>
      <c r="D185" s="336"/>
      <c r="E185" s="336"/>
      <c r="F185" s="336"/>
      <c r="G185" s="220"/>
      <c r="H185" s="47"/>
      <c r="I185" s="337"/>
      <c r="J185" s="337"/>
      <c r="K185" s="220"/>
    </row>
    <row r="186" spans="1:11">
      <c r="A186" s="339"/>
      <c r="B186" s="339"/>
      <c r="C186" s="1110" t="s">
        <v>745</v>
      </c>
      <c r="D186" s="336"/>
      <c r="E186" s="336"/>
      <c r="F186" s="336"/>
      <c r="G186" s="220"/>
      <c r="H186" s="47"/>
      <c r="I186" s="337">
        <v>4963</v>
      </c>
      <c r="J186" s="337">
        <v>0</v>
      </c>
      <c r="K186" s="220"/>
    </row>
    <row r="187" spans="1:11">
      <c r="A187" s="339"/>
      <c r="B187" s="339"/>
      <c r="C187" s="1109"/>
      <c r="D187" s="336"/>
      <c r="E187" s="336"/>
      <c r="F187" s="336"/>
      <c r="G187" s="220"/>
      <c r="H187" s="47"/>
      <c r="I187" s="337"/>
      <c r="J187" s="337"/>
      <c r="K187" s="220"/>
    </row>
    <row r="188" spans="1:11">
      <c r="A188" s="339"/>
      <c r="B188" s="339"/>
      <c r="C188" s="1002" t="s">
        <v>641</v>
      </c>
      <c r="D188" s="336"/>
      <c r="E188" s="336"/>
      <c r="F188" s="336"/>
      <c r="G188" s="220"/>
      <c r="H188" s="47"/>
      <c r="I188" s="337"/>
      <c r="J188" s="337"/>
      <c r="K188" s="220"/>
    </row>
    <row r="189" spans="1:11">
      <c r="A189" s="339"/>
      <c r="B189" s="339"/>
      <c r="C189" s="1110" t="s">
        <v>708</v>
      </c>
      <c r="D189" s="336"/>
      <c r="E189" s="336"/>
      <c r="F189" s="336"/>
      <c r="G189" s="220"/>
      <c r="H189" s="47"/>
      <c r="I189" s="337">
        <v>0</v>
      </c>
      <c r="J189" s="337">
        <v>4481</v>
      </c>
      <c r="K189" s="220"/>
    </row>
    <row r="190" spans="1:11">
      <c r="A190" s="339"/>
      <c r="B190" s="339"/>
      <c r="C190" s="1109"/>
      <c r="D190" s="336"/>
      <c r="E190" s="336"/>
      <c r="F190" s="336"/>
      <c r="G190" s="220"/>
      <c r="H190" s="47"/>
      <c r="I190" s="337"/>
      <c r="J190" s="337"/>
      <c r="K190" s="220"/>
    </row>
    <row r="191" spans="1:11">
      <c r="A191" s="339"/>
      <c r="B191" s="339"/>
      <c r="C191" s="944"/>
      <c r="D191" s="336"/>
      <c r="E191" s="336"/>
      <c r="F191" s="336"/>
      <c r="G191" s="220"/>
      <c r="H191" s="47"/>
      <c r="I191" s="337"/>
      <c r="J191" s="337"/>
      <c r="K191" s="220"/>
    </row>
    <row r="192" spans="1:11">
      <c r="A192" s="339"/>
      <c r="B192" s="339"/>
      <c r="C192" s="945"/>
      <c r="D192" s="336"/>
      <c r="E192" s="336"/>
      <c r="F192" s="336"/>
      <c r="G192" s="220"/>
      <c r="H192" s="47"/>
      <c r="I192" s="337"/>
      <c r="J192" s="337"/>
      <c r="K192" s="220"/>
    </row>
    <row r="193" spans="1:14">
      <c r="A193" s="339"/>
      <c r="B193" s="339"/>
      <c r="C193" s="945"/>
      <c r="D193" s="336"/>
      <c r="E193" s="336"/>
      <c r="F193" s="336"/>
      <c r="G193" s="220"/>
      <c r="H193" s="47"/>
      <c r="I193" s="337"/>
      <c r="J193" s="337"/>
      <c r="K193" s="220"/>
    </row>
    <row r="194" spans="1:14">
      <c r="A194" s="1011">
        <f>A156+0.1</f>
        <v>16.300000000000004</v>
      </c>
      <c r="B194" s="339"/>
      <c r="C194" s="141" t="s">
        <v>569</v>
      </c>
      <c r="D194" s="336"/>
      <c r="E194" s="336"/>
      <c r="F194" s="336"/>
      <c r="G194" s="220"/>
      <c r="H194" s="47"/>
      <c r="I194" s="337"/>
      <c r="J194" s="337"/>
      <c r="K194" s="220"/>
    </row>
    <row r="195" spans="1:14">
      <c r="A195" s="1069"/>
      <c r="B195" s="1069"/>
      <c r="C195" s="1425" t="s">
        <v>680</v>
      </c>
      <c r="D195" s="1425"/>
      <c r="E195" s="1425"/>
      <c r="F195" s="1425"/>
      <c r="G195" s="1425"/>
      <c r="H195" s="1425"/>
      <c r="I195" s="1425"/>
      <c r="J195" s="1425"/>
      <c r="K195" s="220"/>
    </row>
    <row r="196" spans="1:14" ht="12.75" customHeight="1">
      <c r="A196" s="1069"/>
      <c r="B196" s="1069"/>
      <c r="C196" s="1426" t="s">
        <v>660</v>
      </c>
      <c r="D196" s="1414" t="s">
        <v>516</v>
      </c>
      <c r="E196" s="1414" t="s">
        <v>517</v>
      </c>
      <c r="F196" s="1414" t="s">
        <v>661</v>
      </c>
      <c r="G196" s="1426" t="s">
        <v>660</v>
      </c>
      <c r="H196" s="1414" t="s">
        <v>518</v>
      </c>
      <c r="I196" s="1414" t="s">
        <v>517</v>
      </c>
      <c r="J196" s="1414" t="s">
        <v>662</v>
      </c>
      <c r="K196" s="220"/>
    </row>
    <row r="197" spans="1:14">
      <c r="A197" s="1069"/>
      <c r="B197" s="1069"/>
      <c r="C197" s="1426"/>
      <c r="D197" s="1414"/>
      <c r="E197" s="1414"/>
      <c r="F197" s="1414"/>
      <c r="G197" s="1426"/>
      <c r="H197" s="1414"/>
      <c r="I197" s="1414"/>
      <c r="J197" s="1414"/>
      <c r="K197" s="220"/>
    </row>
    <row r="198" spans="1:14" ht="12.75" customHeight="1">
      <c r="A198" s="1069"/>
      <c r="B198" s="1069"/>
      <c r="C198" s="1426"/>
      <c r="D198" s="1414"/>
      <c r="E198" s="1414"/>
      <c r="F198" s="1414"/>
      <c r="G198" s="1426"/>
      <c r="H198" s="1414"/>
      <c r="I198" s="1414"/>
      <c r="J198" s="1414"/>
      <c r="K198" s="220"/>
    </row>
    <row r="199" spans="1:14">
      <c r="A199" s="1069"/>
      <c r="B199" s="1069"/>
      <c r="C199" s="1426"/>
      <c r="D199" s="1414"/>
      <c r="E199" s="1414"/>
      <c r="F199" s="1414"/>
      <c r="G199" s="1426"/>
      <c r="H199" s="1414"/>
      <c r="I199" s="1414"/>
      <c r="J199" s="1414"/>
      <c r="K199" s="220"/>
    </row>
    <row r="200" spans="1:14">
      <c r="A200" s="1069"/>
      <c r="B200" s="1069"/>
      <c r="C200" s="1426"/>
      <c r="D200" s="1414"/>
      <c r="E200" s="1414"/>
      <c r="F200" s="1414"/>
      <c r="G200" s="1426"/>
      <c r="H200" s="1414"/>
      <c r="I200" s="1414"/>
      <c r="J200" s="1414"/>
      <c r="K200" s="220"/>
    </row>
    <row r="201" spans="1:14">
      <c r="A201" s="1069"/>
      <c r="B201" s="1069"/>
      <c r="C201" s="1415" t="s">
        <v>520</v>
      </c>
      <c r="D201" s="1415"/>
      <c r="E201" s="1415"/>
      <c r="F201" s="1415"/>
      <c r="G201" s="1070"/>
      <c r="H201" s="1415" t="s">
        <v>521</v>
      </c>
      <c r="I201" s="1415"/>
      <c r="J201" s="1415"/>
      <c r="K201" s="1415"/>
    </row>
    <row r="202" spans="1:14">
      <c r="A202" s="207"/>
      <c r="B202" s="1069"/>
      <c r="C202" s="1076"/>
      <c r="D202" s="1076"/>
      <c r="E202" s="1076"/>
      <c r="F202" s="1076"/>
      <c r="G202" s="1077"/>
      <c r="H202" s="1077"/>
      <c r="I202" s="1077"/>
      <c r="J202" s="1077"/>
      <c r="K202" s="1070"/>
    </row>
    <row r="203" spans="1:14">
      <c r="A203" s="364" t="s">
        <v>522</v>
      </c>
      <c r="B203" s="1072"/>
      <c r="C203" s="1078"/>
      <c r="D203" s="1078"/>
      <c r="E203" s="1078"/>
      <c r="F203" s="1077"/>
      <c r="G203" s="1077"/>
      <c r="H203" s="1077"/>
      <c r="I203" s="1077"/>
      <c r="J203" s="1077"/>
      <c r="K203" s="1073"/>
    </row>
    <row r="204" spans="1:14" ht="13.8" thickBot="1">
      <c r="A204" s="530" t="s">
        <v>523</v>
      </c>
      <c r="B204" s="1074"/>
      <c r="C204" s="1141">
        <v>7.6263999999999994</v>
      </c>
      <c r="D204" s="1082">
        <v>0</v>
      </c>
      <c r="E204" s="1082">
        <v>0</v>
      </c>
      <c r="F204" s="1077">
        <f>C204+D204-E204</f>
        <v>7.6263999999999994</v>
      </c>
      <c r="G204" s="1077">
        <v>1</v>
      </c>
      <c r="H204" s="1077">
        <v>0</v>
      </c>
      <c r="I204" s="1077">
        <v>0</v>
      </c>
      <c r="J204" s="1077">
        <v>1</v>
      </c>
      <c r="K204" s="1075">
        <v>0.94799999999999995</v>
      </c>
    </row>
    <row r="205" spans="1:14" ht="13.8" thickTop="1">
      <c r="A205" s="339"/>
      <c r="B205" s="339"/>
      <c r="C205" s="945"/>
      <c r="D205" s="336"/>
      <c r="E205" s="336"/>
      <c r="F205" s="336"/>
      <c r="G205" s="220"/>
      <c r="H205" s="47"/>
      <c r="I205" s="337"/>
      <c r="J205" s="337"/>
      <c r="K205" s="220"/>
    </row>
    <row r="206" spans="1:14">
      <c r="A206" s="339"/>
      <c r="B206" s="339"/>
      <c r="C206" s="945"/>
      <c r="D206" s="336"/>
      <c r="E206" s="336"/>
      <c r="F206" s="336"/>
      <c r="G206" s="220"/>
      <c r="H206" s="47"/>
      <c r="I206" s="337"/>
      <c r="J206" s="337"/>
      <c r="K206" s="220"/>
      <c r="N206" s="207">
        <v>52</v>
      </c>
    </row>
    <row r="207" spans="1:14" ht="12.75" customHeight="1">
      <c r="A207" s="1069"/>
      <c r="B207" s="1069"/>
      <c r="C207" s="1425" t="s">
        <v>611</v>
      </c>
      <c r="D207" s="1425"/>
      <c r="E207" s="1425"/>
      <c r="F207" s="1425"/>
      <c r="G207" s="1425"/>
      <c r="H207" s="1425"/>
      <c r="I207" s="1425"/>
      <c r="J207" s="1425"/>
      <c r="K207" s="1425"/>
    </row>
    <row r="208" spans="1:14" ht="12.75" customHeight="1">
      <c r="A208" s="1069"/>
      <c r="B208" s="1069"/>
      <c r="C208" s="1426" t="s">
        <v>612</v>
      </c>
      <c r="D208" s="1414" t="s">
        <v>516</v>
      </c>
      <c r="E208" s="1414" t="s">
        <v>517</v>
      </c>
      <c r="F208" s="1414" t="s">
        <v>613</v>
      </c>
      <c r="G208" s="1426" t="s">
        <v>612</v>
      </c>
      <c r="H208" s="1414" t="s">
        <v>518</v>
      </c>
      <c r="I208" s="1414" t="s">
        <v>517</v>
      </c>
      <c r="J208" s="1414" t="s">
        <v>614</v>
      </c>
      <c r="K208" s="1414" t="s">
        <v>519</v>
      </c>
    </row>
    <row r="209" spans="1:12">
      <c r="A209" s="1069"/>
      <c r="B209" s="1069"/>
      <c r="C209" s="1426"/>
      <c r="D209" s="1414"/>
      <c r="E209" s="1414"/>
      <c r="F209" s="1414"/>
      <c r="G209" s="1426"/>
      <c r="H209" s="1414"/>
      <c r="I209" s="1414"/>
      <c r="J209" s="1414"/>
      <c r="K209" s="1414"/>
    </row>
    <row r="210" spans="1:12">
      <c r="A210" s="1069"/>
      <c r="B210" s="1069"/>
      <c r="C210" s="1426"/>
      <c r="D210" s="1414"/>
      <c r="E210" s="1414"/>
      <c r="F210" s="1414"/>
      <c r="G210" s="1426"/>
      <c r="H210" s="1414"/>
      <c r="I210" s="1414"/>
      <c r="J210" s="1414"/>
      <c r="K210" s="1414"/>
    </row>
    <row r="211" spans="1:12">
      <c r="A211" s="1069"/>
      <c r="B211" s="1069"/>
      <c r="C211" s="1426"/>
      <c r="D211" s="1414"/>
      <c r="E211" s="1414"/>
      <c r="F211" s="1414"/>
      <c r="G211" s="1426"/>
      <c r="H211" s="1414"/>
      <c r="I211" s="1414"/>
      <c r="J211" s="1414"/>
      <c r="K211" s="1414"/>
    </row>
    <row r="212" spans="1:12">
      <c r="A212" s="1069"/>
      <c r="B212" s="1069"/>
      <c r="C212" s="1426"/>
      <c r="D212" s="1414"/>
      <c r="E212" s="1414"/>
      <c r="F212" s="1414"/>
      <c r="G212" s="1426"/>
      <c r="H212" s="1414"/>
      <c r="I212" s="1414"/>
      <c r="J212" s="1414"/>
      <c r="K212" s="1414"/>
    </row>
    <row r="213" spans="1:12">
      <c r="A213" s="1069"/>
      <c r="B213" s="1069"/>
      <c r="C213" s="1415" t="s">
        <v>520</v>
      </c>
      <c r="D213" s="1415"/>
      <c r="E213" s="1415"/>
      <c r="F213" s="1415"/>
      <c r="G213" s="1070"/>
      <c r="H213" s="1415" t="s">
        <v>521</v>
      </c>
      <c r="I213" s="1415"/>
      <c r="J213" s="1415"/>
      <c r="K213" s="1415"/>
    </row>
    <row r="214" spans="1:12">
      <c r="A214" s="207"/>
      <c r="B214" s="1071" t="s">
        <v>556</v>
      </c>
      <c r="C214" s="1076"/>
      <c r="D214" s="1076"/>
      <c r="E214" s="1076"/>
      <c r="F214" s="1076"/>
      <c r="G214" s="1076"/>
      <c r="H214" s="1076"/>
      <c r="I214" s="1076"/>
      <c r="J214" s="1076"/>
      <c r="K214" s="1080"/>
      <c r="L214" s="220"/>
    </row>
    <row r="215" spans="1:12">
      <c r="A215" s="207"/>
      <c r="B215" s="1069" t="s">
        <v>557</v>
      </c>
      <c r="C215" s="1077">
        <v>26988</v>
      </c>
      <c r="D215" s="1077">
        <v>0</v>
      </c>
      <c r="E215" s="1077">
        <v>0</v>
      </c>
      <c r="F215" s="1077">
        <v>26988</v>
      </c>
      <c r="G215" s="1077">
        <v>274</v>
      </c>
      <c r="H215" s="1077">
        <v>0</v>
      </c>
      <c r="I215" s="1077">
        <v>0</v>
      </c>
      <c r="J215" s="1077">
        <v>305.8318488573417</v>
      </c>
      <c r="K215" s="1079">
        <v>949</v>
      </c>
      <c r="L215" s="220"/>
    </row>
    <row r="216" spans="1:12">
      <c r="A216" s="207"/>
      <c r="B216" s="1069"/>
      <c r="C216" s="1076"/>
      <c r="D216" s="1076"/>
      <c r="E216" s="1076"/>
      <c r="F216" s="1076"/>
      <c r="G216" s="1076"/>
      <c r="H216" s="1076"/>
      <c r="I216" s="1076"/>
      <c r="J216" s="1076"/>
      <c r="K216" s="220"/>
      <c r="L216" s="220"/>
    </row>
    <row r="217" spans="1:12">
      <c r="A217" s="364" t="s">
        <v>522</v>
      </c>
      <c r="B217" s="1072"/>
      <c r="C217" s="1078"/>
      <c r="D217" s="1078"/>
      <c r="E217" s="1078"/>
      <c r="F217" s="1078"/>
      <c r="G217" s="1078"/>
      <c r="H217" s="1078"/>
      <c r="I217" s="1078"/>
      <c r="J217" s="1078"/>
      <c r="K217" s="220"/>
      <c r="L217" s="220"/>
    </row>
    <row r="218" spans="1:12">
      <c r="A218" s="530" t="s">
        <v>523</v>
      </c>
      <c r="B218" s="1074"/>
      <c r="C218" s="1079">
        <v>4312</v>
      </c>
      <c r="D218" s="1079">
        <v>0</v>
      </c>
      <c r="E218" s="1079">
        <v>4280</v>
      </c>
      <c r="F218" s="1079">
        <v>32</v>
      </c>
      <c r="G218" s="1079">
        <v>44</v>
      </c>
      <c r="H218" s="1079">
        <v>0</v>
      </c>
      <c r="I218" s="1079">
        <v>50</v>
      </c>
      <c r="J218" s="1079">
        <v>1</v>
      </c>
      <c r="K218" s="220"/>
      <c r="L218" s="220"/>
    </row>
    <row r="219" spans="1:12">
      <c r="A219" s="339"/>
      <c r="B219" s="339"/>
      <c r="C219" s="945"/>
      <c r="D219" s="336"/>
      <c r="E219" s="336"/>
      <c r="F219" s="336"/>
      <c r="G219" s="220"/>
      <c r="H219" s="47"/>
      <c r="I219" s="337"/>
      <c r="J219" s="337"/>
      <c r="K219" s="220"/>
      <c r="L219" s="220"/>
    </row>
    <row r="220" spans="1:12">
      <c r="A220" s="1011" t="s">
        <v>588</v>
      </c>
      <c r="B220" s="339"/>
      <c r="C220" s="1081">
        <v>0</v>
      </c>
      <c r="D220" s="1082">
        <v>21</v>
      </c>
      <c r="E220" s="1082">
        <v>21</v>
      </c>
      <c r="F220" s="1083">
        <v>0</v>
      </c>
      <c r="G220" s="994">
        <v>0</v>
      </c>
      <c r="H220" s="1081">
        <v>1</v>
      </c>
      <c r="I220" s="1084">
        <v>1</v>
      </c>
      <c r="J220" s="1084">
        <v>0</v>
      </c>
      <c r="K220" s="220"/>
      <c r="L220" s="220"/>
    </row>
    <row r="221" spans="1:12">
      <c r="A221" s="339"/>
      <c r="B221" s="339"/>
      <c r="C221" s="945"/>
      <c r="D221" s="336"/>
      <c r="E221" s="336"/>
      <c r="F221" s="336"/>
      <c r="G221" s="220"/>
      <c r="H221" s="47"/>
      <c r="I221" s="337"/>
      <c r="J221" s="337"/>
      <c r="K221" s="220"/>
    </row>
    <row r="222" spans="1:12">
      <c r="A222" s="339"/>
      <c r="B222" s="339"/>
      <c r="C222" s="945"/>
      <c r="D222" s="336"/>
      <c r="E222" s="336"/>
      <c r="F222" s="336"/>
      <c r="G222" s="220"/>
      <c r="H222" s="47"/>
      <c r="I222" s="337"/>
      <c r="J222" s="337"/>
      <c r="K222" s="220"/>
    </row>
    <row r="223" spans="1:12">
      <c r="A223" s="895">
        <f>A81+1</f>
        <v>17</v>
      </c>
      <c r="B223" s="119" t="s">
        <v>482</v>
      </c>
      <c r="C223" s="336"/>
      <c r="D223" s="336"/>
      <c r="E223" s="336"/>
      <c r="F223" s="220"/>
      <c r="G223" s="47"/>
      <c r="H223" s="337"/>
      <c r="I223" s="337"/>
      <c r="K223" s="220"/>
    </row>
    <row r="224" spans="1:12">
      <c r="A224" s="339"/>
      <c r="B224" s="27"/>
      <c r="C224" s="336"/>
      <c r="D224" s="336"/>
      <c r="E224" s="336"/>
      <c r="F224" s="220"/>
      <c r="G224" s="47"/>
      <c r="H224" s="337"/>
      <c r="I224" s="337"/>
      <c r="K224" s="220"/>
    </row>
    <row r="225" spans="1:11" ht="12.75" customHeight="1">
      <c r="A225" s="1011">
        <f>A223+0.1</f>
        <v>17.100000000000001</v>
      </c>
      <c r="B225" s="1010" t="s">
        <v>554</v>
      </c>
      <c r="C225" s="1009"/>
      <c r="D225" s="1009"/>
      <c r="E225" s="1009"/>
      <c r="F225" s="1009"/>
      <c r="G225" s="1009"/>
      <c r="H225" s="1009"/>
      <c r="I225" s="1009"/>
      <c r="J225" s="1009"/>
      <c r="K225" s="220"/>
    </row>
    <row r="226" spans="1:11">
      <c r="A226" s="1011"/>
      <c r="B226" s="1009"/>
      <c r="C226" s="1009"/>
      <c r="D226" s="1009"/>
      <c r="E226" s="1009"/>
      <c r="F226" s="1009"/>
      <c r="G226" s="1009"/>
      <c r="H226" s="1009"/>
      <c r="I226" s="1009"/>
      <c r="J226" s="1009"/>
      <c r="K226" s="220"/>
    </row>
    <row r="227" spans="1:11" ht="15" customHeight="1">
      <c r="A227" s="1011">
        <f>A225+0.1</f>
        <v>17.200000000000003</v>
      </c>
      <c r="B227" s="1432" t="s">
        <v>555</v>
      </c>
      <c r="C227" s="1432"/>
      <c r="D227" s="1432"/>
      <c r="E227" s="1432"/>
      <c r="F227" s="1432"/>
      <c r="G227" s="1432"/>
      <c r="H227" s="1432"/>
      <c r="I227" s="1432"/>
      <c r="J227" s="1432"/>
      <c r="K227" s="1432"/>
    </row>
    <row r="228" spans="1:11" ht="23.25" customHeight="1">
      <c r="A228" s="339"/>
      <c r="B228" s="1432"/>
      <c r="C228" s="1432"/>
      <c r="D228" s="1432"/>
      <c r="E228" s="1432"/>
      <c r="F228" s="1432"/>
      <c r="G228" s="1432"/>
      <c r="H228" s="1432"/>
      <c r="I228" s="1432"/>
      <c r="J228" s="1432"/>
      <c r="K228" s="1432"/>
    </row>
    <row r="229" spans="1:11" ht="3.75" customHeight="1">
      <c r="A229" s="339"/>
      <c r="B229" s="1001"/>
      <c r="C229" s="1001"/>
      <c r="D229" s="1001"/>
      <c r="E229" s="1001"/>
      <c r="F229" s="1001"/>
      <c r="G229" s="1001"/>
      <c r="H229" s="1001"/>
      <c r="I229" s="1001"/>
      <c r="K229" s="220"/>
    </row>
    <row r="230" spans="1:11">
      <c r="A230" s="339"/>
      <c r="B230" s="27"/>
      <c r="C230" s="336"/>
      <c r="D230" s="336"/>
      <c r="E230" s="336"/>
      <c r="F230" s="220"/>
      <c r="G230" s="47"/>
      <c r="H230" s="337"/>
      <c r="I230" s="337"/>
      <c r="K230" s="220"/>
    </row>
    <row r="231" spans="1:11" ht="15.75" customHeight="1">
      <c r="A231" s="137">
        <f>A223+1</f>
        <v>18</v>
      </c>
      <c r="B231" s="119" t="s">
        <v>294</v>
      </c>
      <c r="C231" s="115"/>
      <c r="D231" s="143"/>
      <c r="G231" s="220"/>
      <c r="H231" s="337"/>
      <c r="I231" s="337"/>
      <c r="K231" s="220"/>
    </row>
    <row r="232" spans="1:11">
      <c r="A232" s="137"/>
      <c r="B232" s="115"/>
      <c r="C232" s="115"/>
      <c r="D232" s="207"/>
      <c r="G232" s="220"/>
      <c r="H232" s="337"/>
      <c r="I232" s="337"/>
      <c r="K232" s="220"/>
    </row>
    <row r="233" spans="1:11" ht="12.75" customHeight="1">
      <c r="A233" s="137">
        <f>A231+0.1</f>
        <v>18.100000000000001</v>
      </c>
      <c r="B233" s="1431" t="s">
        <v>615</v>
      </c>
      <c r="C233" s="1431"/>
      <c r="D233" s="1431"/>
      <c r="E233" s="1431"/>
      <c r="F233" s="1431"/>
      <c r="G233" s="1431"/>
      <c r="H233" s="1431"/>
      <c r="I233" s="1431"/>
      <c r="J233" s="1431"/>
      <c r="K233" s="220"/>
    </row>
    <row r="234" spans="1:11">
      <c r="A234" s="137"/>
      <c r="B234" s="1431"/>
      <c r="C234" s="1431"/>
      <c r="D234" s="1431"/>
      <c r="E234" s="1431"/>
      <c r="F234" s="1431"/>
      <c r="G234" s="1431"/>
      <c r="H234" s="1431"/>
      <c r="I234" s="1431"/>
      <c r="J234" s="1431"/>
      <c r="K234" s="220"/>
    </row>
    <row r="235" spans="1:11">
      <c r="A235" s="137"/>
      <c r="B235" s="137"/>
      <c r="C235" s="340"/>
      <c r="D235" s="340"/>
      <c r="E235" s="340"/>
      <c r="F235" s="340"/>
      <c r="G235" s="340"/>
      <c r="H235" s="340"/>
      <c r="I235" s="341"/>
      <c r="J235" s="342"/>
    </row>
    <row r="236" spans="1:11">
      <c r="A236" s="343"/>
      <c r="B236" s="343"/>
      <c r="C236" s="218"/>
      <c r="D236" s="218"/>
      <c r="F236" s="344"/>
      <c r="G236" s="344"/>
      <c r="H236" s="344"/>
      <c r="I236" s="341"/>
      <c r="J236" s="342"/>
    </row>
    <row r="237" spans="1:11">
      <c r="A237" s="1301"/>
      <c r="B237" s="1301"/>
      <c r="C237" s="1301"/>
      <c r="D237" s="1301"/>
      <c r="E237" s="1301"/>
      <c r="F237" s="1301"/>
      <c r="G237" s="1301"/>
      <c r="H237" s="1301"/>
      <c r="I237" s="1301"/>
      <c r="J237" s="1301"/>
    </row>
    <row r="238" spans="1:11">
      <c r="A238" s="1301"/>
      <c r="B238" s="1301"/>
      <c r="C238" s="1301"/>
      <c r="D238" s="1301"/>
      <c r="E238" s="1301"/>
      <c r="F238" s="1301"/>
      <c r="G238" s="1301"/>
      <c r="H238" s="1301"/>
      <c r="I238" s="1301"/>
      <c r="J238" s="1301"/>
    </row>
    <row r="239" spans="1:11">
      <c r="A239" s="188"/>
      <c r="B239" s="951"/>
      <c r="C239" s="188"/>
      <c r="D239" s="188"/>
      <c r="E239" s="188"/>
      <c r="F239" s="188"/>
      <c r="G239" s="188"/>
      <c r="H239" s="188"/>
      <c r="I239" s="341"/>
      <c r="J239" s="342"/>
    </row>
    <row r="240" spans="1:11">
      <c r="A240" s="188"/>
      <c r="B240" s="951"/>
      <c r="C240" s="188"/>
      <c r="D240" s="188"/>
      <c r="E240" s="188"/>
      <c r="F240" s="188"/>
      <c r="G240" s="188"/>
      <c r="H240" s="188"/>
      <c r="I240" s="341"/>
      <c r="J240" s="342"/>
    </row>
    <row r="241" spans="1:11">
      <c r="A241" s="188"/>
      <c r="B241" s="951"/>
      <c r="C241" s="188"/>
      <c r="D241" s="1033"/>
      <c r="E241" s="188"/>
      <c r="F241" s="188"/>
      <c r="G241" s="188"/>
      <c r="H241" s="188"/>
      <c r="I241" s="341"/>
      <c r="J241" s="342"/>
    </row>
    <row r="242" spans="1:11">
      <c r="A242" s="686"/>
      <c r="B242" s="951"/>
      <c r="C242" s="686"/>
      <c r="D242" s="1033"/>
      <c r="E242" s="686"/>
      <c r="F242" s="686"/>
      <c r="G242" s="686"/>
      <c r="H242" s="686"/>
      <c r="I242" s="341"/>
      <c r="J242" s="342"/>
    </row>
    <row r="243" spans="1:11">
      <c r="A243" s="188"/>
      <c r="B243" s="951"/>
      <c r="C243" s="188"/>
      <c r="D243" s="1033"/>
      <c r="E243" s="188"/>
      <c r="F243" s="188"/>
      <c r="G243" s="188"/>
      <c r="H243" s="188"/>
      <c r="I243" s="341"/>
      <c r="J243" s="342"/>
    </row>
    <row r="244" spans="1:11">
      <c r="A244" s="207"/>
      <c r="B244" s="207"/>
      <c r="C244" s="218"/>
      <c r="D244" s="218"/>
      <c r="I244" s="341"/>
      <c r="J244" s="342"/>
    </row>
    <row r="245" spans="1:11">
      <c r="A245" s="27"/>
      <c r="B245" s="27"/>
      <c r="C245" s="28"/>
      <c r="D245" s="26"/>
      <c r="E245" s="190"/>
      <c r="F245" s="144"/>
      <c r="G245" s="28"/>
      <c r="H245" s="220"/>
      <c r="I245" s="341"/>
      <c r="J245" s="342"/>
    </row>
    <row r="246" spans="1:11">
      <c r="A246" s="1299"/>
      <c r="B246" s="1299"/>
      <c r="C246" s="1299"/>
      <c r="D246" s="1299"/>
      <c r="E246" s="1299"/>
      <c r="F246" s="1299"/>
      <c r="G246" s="1299"/>
      <c r="H246" s="1299"/>
      <c r="I246" s="1299"/>
      <c r="J246" s="1299"/>
      <c r="K246" s="685"/>
    </row>
    <row r="247" spans="1:11">
      <c r="A247" s="207"/>
      <c r="B247" s="207"/>
      <c r="C247" s="345"/>
      <c r="E247" s="145"/>
      <c r="F247" s="342"/>
      <c r="G247" s="346"/>
      <c r="H247" s="146"/>
      <c r="I247" s="341"/>
      <c r="J247" s="342"/>
    </row>
    <row r="248" spans="1:11">
      <c r="A248" s="207"/>
      <c r="B248" s="207"/>
      <c r="C248" s="345"/>
      <c r="E248" s="145"/>
      <c r="F248" s="342"/>
      <c r="G248" s="346"/>
      <c r="H248" s="146"/>
      <c r="I248" s="341"/>
      <c r="J248" s="342"/>
    </row>
    <row r="249" spans="1:11">
      <c r="A249" s="207"/>
      <c r="B249" s="207"/>
      <c r="C249" s="345"/>
      <c r="E249" s="145"/>
      <c r="F249" s="342"/>
      <c r="G249" s="346"/>
      <c r="H249" s="146"/>
      <c r="I249" s="341"/>
      <c r="J249" s="342"/>
    </row>
    <row r="250" spans="1:11">
      <c r="A250" s="207"/>
      <c r="B250" s="207"/>
      <c r="C250" s="345"/>
      <c r="E250" s="145"/>
      <c r="F250" s="342"/>
      <c r="G250" s="346"/>
      <c r="H250" s="146"/>
      <c r="I250" s="341"/>
      <c r="J250" s="342"/>
    </row>
    <row r="251" spans="1:11">
      <c r="A251" s="207"/>
      <c r="B251" s="207"/>
      <c r="C251" s="345"/>
      <c r="E251" s="145"/>
      <c r="F251" s="342"/>
      <c r="G251" s="346"/>
      <c r="H251" s="146"/>
      <c r="I251" s="341"/>
      <c r="J251" s="342"/>
    </row>
    <row r="252" spans="1:11">
      <c r="A252" s="207"/>
      <c r="B252" s="207"/>
      <c r="C252" s="345"/>
      <c r="E252" s="145"/>
      <c r="F252" s="342"/>
      <c r="G252" s="346"/>
      <c r="H252" s="146"/>
      <c r="I252" s="341"/>
      <c r="J252" s="342"/>
    </row>
    <row r="253" spans="1:11">
      <c r="A253" s="207"/>
      <c r="B253" s="207"/>
      <c r="C253" s="345"/>
      <c r="E253" s="145"/>
      <c r="F253" s="342"/>
      <c r="G253" s="346"/>
      <c r="H253" s="146"/>
      <c r="I253" s="341"/>
      <c r="J253" s="342"/>
    </row>
    <row r="254" spans="1:11">
      <c r="A254" s="207"/>
      <c r="B254" s="207"/>
      <c r="C254" s="345"/>
      <c r="E254" s="145"/>
      <c r="F254" s="342"/>
      <c r="G254" s="346"/>
      <c r="H254" s="146"/>
      <c r="I254" s="341"/>
      <c r="J254" s="342"/>
    </row>
    <row r="255" spans="1:11">
      <c r="A255" s="207"/>
      <c r="B255" s="207"/>
      <c r="C255" s="345"/>
      <c r="E255" s="145"/>
      <c r="F255" s="342"/>
      <c r="G255" s="346"/>
      <c r="H255" s="146"/>
      <c r="I255" s="341"/>
      <c r="J255" s="342"/>
    </row>
    <row r="256" spans="1:11">
      <c r="A256" s="207"/>
      <c r="B256" s="207"/>
      <c r="C256" s="345"/>
      <c r="E256" s="145"/>
      <c r="F256" s="342"/>
      <c r="G256" s="346"/>
      <c r="H256" s="146"/>
      <c r="I256" s="341"/>
      <c r="J256" s="342"/>
    </row>
    <row r="257" spans="1:11">
      <c r="A257" s="207"/>
      <c r="B257" s="207"/>
      <c r="C257" s="345"/>
      <c r="E257" s="145"/>
      <c r="F257" s="342"/>
      <c r="G257" s="346"/>
      <c r="H257" s="146"/>
      <c r="I257" s="341"/>
      <c r="J257" s="342"/>
    </row>
    <row r="258" spans="1:11">
      <c r="A258" s="207"/>
      <c r="B258" s="207"/>
      <c r="C258" s="345"/>
      <c r="E258" s="145"/>
      <c r="F258" s="342"/>
      <c r="G258" s="346"/>
      <c r="H258" s="146"/>
      <c r="I258" s="341"/>
      <c r="J258" s="342"/>
    </row>
    <row r="259" spans="1:11">
      <c r="C259" s="345"/>
      <c r="E259" s="145"/>
      <c r="F259" s="342"/>
      <c r="G259" s="346"/>
      <c r="H259" s="146"/>
      <c r="I259" s="341"/>
      <c r="J259" s="342"/>
    </row>
    <row r="260" spans="1:11">
      <c r="A260" s="142"/>
      <c r="B260" s="142"/>
      <c r="C260" s="141"/>
      <c r="D260" s="336"/>
      <c r="E260" s="139"/>
      <c r="F260" s="8"/>
      <c r="G260" s="347"/>
      <c r="H260" s="139"/>
      <c r="I260" s="334"/>
      <c r="J260" s="219"/>
      <c r="K260" s="220"/>
    </row>
    <row r="261" spans="1:11">
      <c r="A261" s="339"/>
      <c r="B261" s="339"/>
      <c r="C261" s="336"/>
      <c r="D261" s="336"/>
      <c r="E261" s="139"/>
      <c r="F261" s="195"/>
      <c r="G261" s="334"/>
      <c r="H261" s="139"/>
      <c r="I261" s="334"/>
      <c r="J261" s="219"/>
      <c r="K261" s="220"/>
    </row>
    <row r="262" spans="1:11">
      <c r="A262" s="339"/>
      <c r="B262" s="339"/>
      <c r="C262" s="336"/>
      <c r="D262" s="141"/>
      <c r="E262" s="139"/>
      <c r="F262" s="1421"/>
      <c r="G262" s="1421"/>
      <c r="H262" s="139"/>
      <c r="I262" s="334"/>
      <c r="J262" s="219"/>
      <c r="K262" s="220"/>
    </row>
    <row r="263" spans="1:11">
      <c r="A263" s="339"/>
      <c r="B263" s="339"/>
      <c r="C263" s="336"/>
      <c r="D263" s="141"/>
      <c r="E263" s="139"/>
      <c r="F263" s="190"/>
      <c r="G263" s="190"/>
      <c r="H263" s="147"/>
      <c r="I263" s="341"/>
      <c r="J263" s="348"/>
      <c r="K263" s="220"/>
    </row>
    <row r="264" spans="1:11">
      <c r="A264" s="339"/>
      <c r="B264" s="339"/>
      <c r="C264" s="141"/>
      <c r="D264" s="141"/>
      <c r="E264" s="139"/>
      <c r="F264" s="220"/>
      <c r="G264" s="220"/>
      <c r="H264" s="148"/>
      <c r="I264" s="333"/>
      <c r="J264" s="333"/>
      <c r="K264" s="220"/>
    </row>
    <row r="265" spans="1:11" ht="9" customHeight="1">
      <c r="A265" s="339"/>
      <c r="B265" s="339"/>
      <c r="C265" s="141"/>
      <c r="D265" s="141"/>
      <c r="E265" s="139"/>
      <c r="F265" s="220"/>
      <c r="G265" s="220"/>
      <c r="H265" s="148"/>
      <c r="I265" s="333"/>
      <c r="J265" s="333"/>
      <c r="K265" s="220"/>
    </row>
    <row r="266" spans="1:11">
      <c r="A266" s="339"/>
      <c r="B266" s="339"/>
      <c r="C266" s="141"/>
      <c r="D266" s="141"/>
      <c r="E266" s="139"/>
      <c r="F266" s="220"/>
      <c r="G266" s="220"/>
      <c r="H266" s="146"/>
      <c r="I266" s="341"/>
      <c r="J266" s="348"/>
      <c r="K266" s="220"/>
    </row>
    <row r="267" spans="1:11" ht="9" customHeight="1">
      <c r="A267" s="339"/>
      <c r="B267" s="339"/>
      <c r="C267" s="336"/>
      <c r="D267" s="336"/>
      <c r="E267" s="220"/>
      <c r="F267" s="342"/>
      <c r="G267" s="342"/>
      <c r="H267" s="146"/>
      <c r="I267" s="341"/>
      <c r="J267" s="348"/>
      <c r="K267" s="220"/>
    </row>
    <row r="268" spans="1:11">
      <c r="A268" s="339"/>
      <c r="B268" s="339"/>
      <c r="C268" s="336"/>
      <c r="D268" s="336"/>
      <c r="E268" s="220"/>
      <c r="F268" s="342"/>
      <c r="G268" s="342"/>
      <c r="H268" s="146"/>
      <c r="I268" s="341"/>
      <c r="J268" s="342"/>
      <c r="K268" s="220"/>
    </row>
    <row r="269" spans="1:11">
      <c r="A269" s="339"/>
      <c r="B269" s="339"/>
      <c r="C269" s="141"/>
      <c r="D269" s="336"/>
      <c r="E269" s="220"/>
      <c r="F269" s="342"/>
      <c r="G269" s="342"/>
      <c r="H269" s="146"/>
      <c r="I269" s="341"/>
      <c r="J269" s="342"/>
      <c r="K269" s="220"/>
    </row>
    <row r="270" spans="1:11">
      <c r="A270" s="339"/>
      <c r="B270" s="339"/>
      <c r="C270" s="141"/>
      <c r="D270" s="336"/>
      <c r="E270" s="220"/>
      <c r="F270" s="342"/>
      <c r="G270" s="342"/>
      <c r="H270" s="147"/>
      <c r="I270" s="341"/>
      <c r="J270" s="348"/>
      <c r="K270" s="220"/>
    </row>
    <row r="271" spans="1:11">
      <c r="A271" s="339"/>
      <c r="B271" s="339"/>
      <c r="C271" s="336"/>
      <c r="D271" s="336"/>
      <c r="E271" s="220"/>
      <c r="F271" s="342"/>
      <c r="G271" s="342"/>
      <c r="H271" s="146"/>
      <c r="I271" s="341"/>
      <c r="J271" s="349"/>
      <c r="K271" s="220"/>
    </row>
    <row r="272" spans="1:11">
      <c r="A272" s="339"/>
      <c r="B272" s="339"/>
      <c r="C272" s="336"/>
      <c r="D272" s="336"/>
      <c r="E272" s="220"/>
      <c r="F272" s="342"/>
      <c r="G272" s="342"/>
      <c r="H272" s="350"/>
      <c r="I272" s="341"/>
      <c r="J272" s="349"/>
      <c r="K272" s="220"/>
    </row>
    <row r="273" spans="1:11">
      <c r="A273" s="339"/>
      <c r="B273" s="339"/>
      <c r="C273" s="336"/>
      <c r="D273" s="336"/>
      <c r="E273" s="220"/>
      <c r="F273" s="342"/>
      <c r="G273" s="342"/>
      <c r="H273" s="350"/>
      <c r="I273" s="341"/>
      <c r="J273" s="349"/>
      <c r="K273" s="220"/>
    </row>
    <row r="274" spans="1:11">
      <c r="A274" s="339"/>
      <c r="B274" s="339"/>
      <c r="C274" s="336"/>
      <c r="D274" s="336"/>
      <c r="E274" s="220"/>
      <c r="F274" s="342"/>
      <c r="G274" s="342"/>
      <c r="H274" s="350"/>
      <c r="I274" s="341"/>
      <c r="J274" s="349"/>
      <c r="K274" s="220"/>
    </row>
    <row r="275" spans="1:11">
      <c r="A275" s="339"/>
      <c r="B275" s="339"/>
      <c r="C275" s="141"/>
      <c r="D275" s="141"/>
      <c r="E275" s="220"/>
      <c r="F275" s="341"/>
      <c r="G275" s="351"/>
      <c r="H275" s="350"/>
      <c r="I275" s="341"/>
      <c r="J275" s="349"/>
      <c r="K275" s="220"/>
    </row>
    <row r="276" spans="1:11">
      <c r="A276" s="339"/>
      <c r="B276" s="339"/>
      <c r="C276" s="141"/>
      <c r="D276" s="141"/>
      <c r="E276" s="220"/>
      <c r="F276" s="341"/>
      <c r="G276" s="351"/>
      <c r="H276" s="350"/>
      <c r="I276" s="341"/>
      <c r="J276" s="349"/>
      <c r="K276" s="220"/>
    </row>
    <row r="277" spans="1:11">
      <c r="A277" s="339"/>
      <c r="B277" s="339"/>
      <c r="C277" s="336"/>
      <c r="D277" s="336"/>
      <c r="E277" s="220"/>
      <c r="F277" s="342"/>
      <c r="G277" s="342"/>
      <c r="H277" s="350"/>
      <c r="I277" s="341"/>
      <c r="J277" s="349"/>
      <c r="K277" s="220"/>
    </row>
    <row r="278" spans="1:11">
      <c r="A278" s="339"/>
      <c r="B278" s="339"/>
      <c r="C278" s="336"/>
      <c r="D278" s="336"/>
      <c r="E278" s="220"/>
      <c r="F278" s="342"/>
      <c r="G278" s="342"/>
      <c r="H278" s="350"/>
      <c r="I278" s="341"/>
      <c r="J278" s="349"/>
      <c r="K278" s="220"/>
    </row>
    <row r="279" spans="1:11">
      <c r="A279" s="339"/>
      <c r="B279" s="339"/>
      <c r="C279" s="336"/>
      <c r="D279" s="336"/>
      <c r="E279" s="220"/>
      <c r="F279" s="342"/>
      <c r="G279" s="342"/>
      <c r="H279" s="350"/>
      <c r="I279" s="341"/>
      <c r="J279" s="349"/>
      <c r="K279" s="220"/>
    </row>
    <row r="280" spans="1:11">
      <c r="A280" s="339"/>
      <c r="B280" s="339"/>
      <c r="C280" s="336"/>
      <c r="D280" s="336"/>
      <c r="E280" s="220"/>
      <c r="F280" s="342"/>
      <c r="G280" s="342"/>
      <c r="H280" s="350"/>
      <c r="I280" s="341"/>
      <c r="J280" s="349"/>
      <c r="K280" s="220"/>
    </row>
    <row r="281" spans="1:11">
      <c r="A281" s="339"/>
      <c r="B281" s="339"/>
      <c r="C281" s="336"/>
      <c r="D281" s="336"/>
      <c r="E281" s="220"/>
      <c r="F281" s="342"/>
      <c r="G281" s="342"/>
      <c r="H281" s="350"/>
      <c r="I281" s="341"/>
      <c r="J281" s="349"/>
      <c r="K281" s="220"/>
    </row>
    <row r="282" spans="1:11">
      <c r="A282" s="339"/>
      <c r="B282" s="339"/>
      <c r="C282" s="141"/>
      <c r="D282" s="141"/>
      <c r="E282" s="220"/>
      <c r="F282" s="341"/>
      <c r="G282" s="351"/>
      <c r="H282" s="350"/>
      <c r="I282" s="341"/>
      <c r="J282" s="349"/>
      <c r="K282" s="220"/>
    </row>
    <row r="283" spans="1:11">
      <c r="A283" s="339"/>
      <c r="B283" s="339"/>
      <c r="C283" s="141"/>
      <c r="D283" s="141"/>
      <c r="E283" s="220"/>
      <c r="F283" s="341"/>
      <c r="G283" s="351"/>
      <c r="H283" s="219"/>
      <c r="I283" s="334"/>
      <c r="J283" s="219"/>
      <c r="K283" s="220"/>
    </row>
    <row r="284" spans="1:11">
      <c r="A284" s="339"/>
      <c r="B284" s="339"/>
      <c r="C284" s="336"/>
      <c r="D284" s="336"/>
      <c r="E284" s="220"/>
      <c r="F284" s="342"/>
      <c r="G284" s="342"/>
      <c r="H284" s="149"/>
      <c r="I284" s="150"/>
      <c r="J284" s="352"/>
      <c r="K284" s="220"/>
    </row>
    <row r="285" spans="1:11">
      <c r="A285" s="339"/>
      <c r="B285" s="339"/>
      <c r="C285" s="336"/>
      <c r="D285" s="336"/>
      <c r="E285" s="220"/>
      <c r="F285" s="342"/>
      <c r="G285" s="342"/>
      <c r="H285" s="220"/>
      <c r="I285" s="220"/>
      <c r="J285" s="220"/>
      <c r="K285" s="220"/>
    </row>
    <row r="286" spans="1:11">
      <c r="A286" s="339"/>
      <c r="B286" s="339"/>
      <c r="C286" s="336"/>
      <c r="D286" s="336"/>
      <c r="E286" s="220"/>
      <c r="F286" s="342"/>
      <c r="G286" s="342"/>
      <c r="H286" s="220"/>
      <c r="I286" s="220"/>
      <c r="J286" s="220"/>
      <c r="K286" s="220"/>
    </row>
    <row r="287" spans="1:11">
      <c r="A287" s="339"/>
      <c r="B287" s="339"/>
      <c r="C287" s="336"/>
      <c r="D287" s="336"/>
      <c r="E287" s="220"/>
      <c r="F287" s="342"/>
      <c r="G287" s="342"/>
      <c r="H287" s="220"/>
      <c r="I287" s="220"/>
      <c r="J287" s="220"/>
      <c r="K287" s="220"/>
    </row>
    <row r="288" spans="1:11">
      <c r="A288" s="339"/>
      <c r="B288" s="339"/>
      <c r="C288" s="336"/>
      <c r="D288" s="336"/>
      <c r="E288" s="220"/>
      <c r="F288" s="342"/>
      <c r="G288" s="342"/>
      <c r="H288" s="220"/>
      <c r="I288" s="220"/>
      <c r="J288" s="220"/>
      <c r="K288" s="220"/>
    </row>
    <row r="289" spans="1:11">
      <c r="A289" s="142"/>
      <c r="B289" s="142"/>
      <c r="C289" s="336"/>
      <c r="D289" s="353"/>
      <c r="E289" s="353"/>
      <c r="F289" s="353"/>
      <c r="G289" s="353"/>
      <c r="H289" s="220"/>
      <c r="I289" s="220"/>
      <c r="J289" s="220"/>
      <c r="K289" s="220"/>
    </row>
    <row r="290" spans="1:11">
      <c r="A290" s="339"/>
      <c r="B290" s="339"/>
      <c r="C290" s="336"/>
      <c r="D290" s="353"/>
      <c r="E290" s="353"/>
      <c r="F290" s="353"/>
      <c r="G290" s="353"/>
      <c r="H290" s="220"/>
      <c r="I290" s="220"/>
      <c r="J290" s="220"/>
      <c r="K290" s="220"/>
    </row>
    <row r="291" spans="1:11">
      <c r="A291" s="339"/>
      <c r="B291" s="339"/>
      <c r="C291" s="336"/>
      <c r="D291" s="336"/>
      <c r="E291" s="220"/>
      <c r="F291" s="342"/>
      <c r="G291" s="342"/>
      <c r="H291" s="220"/>
      <c r="I291" s="220"/>
      <c r="J291" s="220"/>
      <c r="K291" s="220"/>
    </row>
    <row r="292" spans="1:11">
      <c r="A292" s="339"/>
      <c r="B292" s="339"/>
      <c r="C292" s="222"/>
      <c r="D292" s="222"/>
      <c r="E292" s="220"/>
      <c r="F292" s="220"/>
      <c r="G292" s="220"/>
      <c r="H292" s="220"/>
      <c r="I292" s="220"/>
      <c r="J292" s="220"/>
      <c r="K292" s="220"/>
    </row>
    <row r="293" spans="1:11">
      <c r="A293" s="339"/>
      <c r="B293" s="339"/>
      <c r="C293" s="222"/>
      <c r="D293" s="222"/>
      <c r="E293" s="220"/>
      <c r="F293" s="220"/>
      <c r="G293" s="220"/>
      <c r="H293" s="220"/>
      <c r="I293" s="220"/>
      <c r="J293" s="220"/>
      <c r="K293" s="220"/>
    </row>
    <row r="362" spans="1:4">
      <c r="A362" s="207"/>
      <c r="B362" s="207"/>
      <c r="C362" s="119"/>
      <c r="D362" s="119"/>
    </row>
  </sheetData>
  <mergeCells count="61">
    <mergeCell ref="A238:J238"/>
    <mergeCell ref="I137:J137"/>
    <mergeCell ref="I138:J138"/>
    <mergeCell ref="B233:J234"/>
    <mergeCell ref="B227:K228"/>
    <mergeCell ref="G208:G212"/>
    <mergeCell ref="C201:F201"/>
    <mergeCell ref="H201:K201"/>
    <mergeCell ref="C207:K207"/>
    <mergeCell ref="C208:C212"/>
    <mergeCell ref="D208:D212"/>
    <mergeCell ref="E208:E212"/>
    <mergeCell ref="F208:F212"/>
    <mergeCell ref="G196:G200"/>
    <mergeCell ref="C4:J5"/>
    <mergeCell ref="C9:K14"/>
    <mergeCell ref="C104:D104"/>
    <mergeCell ref="C105:D105"/>
    <mergeCell ref="C7:I7"/>
    <mergeCell ref="C17:I17"/>
    <mergeCell ref="C19:K23"/>
    <mergeCell ref="C27:J28"/>
    <mergeCell ref="C70:K76"/>
    <mergeCell ref="C79:J80"/>
    <mergeCell ref="C83:K86"/>
    <mergeCell ref="C94:K96"/>
    <mergeCell ref="I99:J99"/>
    <mergeCell ref="C32:J35"/>
    <mergeCell ref="C37:J40"/>
    <mergeCell ref="F262:G262"/>
    <mergeCell ref="C148:J150"/>
    <mergeCell ref="C158:D158"/>
    <mergeCell ref="C159:D159"/>
    <mergeCell ref="A246:J246"/>
    <mergeCell ref="C195:J195"/>
    <mergeCell ref="C196:C200"/>
    <mergeCell ref="I196:I200"/>
    <mergeCell ref="J196:J200"/>
    <mergeCell ref="F196:F200"/>
    <mergeCell ref="D196:D200"/>
    <mergeCell ref="E196:E200"/>
    <mergeCell ref="H208:H212"/>
    <mergeCell ref="I208:I212"/>
    <mergeCell ref="J208:J212"/>
    <mergeCell ref="A237:J237"/>
    <mergeCell ref="L27:S28"/>
    <mergeCell ref="H196:H200"/>
    <mergeCell ref="C213:F213"/>
    <mergeCell ref="H213:K213"/>
    <mergeCell ref="C88:J89"/>
    <mergeCell ref="C91:J92"/>
    <mergeCell ref="I100:J100"/>
    <mergeCell ref="I101:J101"/>
    <mergeCell ref="K208:K212"/>
    <mergeCell ref="I136:J136"/>
    <mergeCell ref="C42:J45"/>
    <mergeCell ref="C49:J51"/>
    <mergeCell ref="C53:J53"/>
    <mergeCell ref="C55:J56"/>
    <mergeCell ref="C58:J58"/>
    <mergeCell ref="C62:J66"/>
  </mergeCells>
  <pageMargins left="0.61" right="0.33" top="0.56999999999999995" bottom="0.27" header="0.32" footer="0.19"/>
  <pageSetup scale="51" fitToHeight="10" orientation="portrait" horizontalDpi="4294967295" verticalDpi="4294967295" r:id="rId1"/>
  <headerFooter alignWithMargins="0"/>
  <rowBreaks count="1" manualBreakCount="1">
    <brk id="134"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26"/>
  <sheetViews>
    <sheetView showGridLines="0" view="pageBreakPreview" zoomScaleSheetLayoutView="100" workbookViewId="0">
      <selection activeCell="G10" sqref="G10"/>
    </sheetView>
  </sheetViews>
  <sheetFormatPr defaultRowHeight="13.2"/>
  <cols>
    <col min="1" max="1" width="5.33203125" style="663" customWidth="1"/>
    <col min="2" max="2" width="9.109375" style="90"/>
    <col min="3" max="3" width="14.109375" style="90" customWidth="1"/>
    <col min="4" max="4" width="3.109375" style="90" customWidth="1"/>
    <col min="5" max="5" width="1.88671875" style="90" hidden="1" customWidth="1"/>
    <col min="6" max="6" width="1" style="90" hidden="1" customWidth="1"/>
    <col min="7" max="7" width="12.5546875" style="90" customWidth="1"/>
    <col min="8" max="8" width="10.88671875" style="90" customWidth="1"/>
    <col min="9" max="9" width="9.88671875" style="90" customWidth="1"/>
    <col min="10" max="10" width="13.33203125" style="90" customWidth="1"/>
    <col min="11" max="11" width="12.109375" style="90" bestFit="1" customWidth="1"/>
    <col min="12" max="13" width="1.33203125" style="90" customWidth="1"/>
    <col min="14" max="14" width="13.6640625" style="90" customWidth="1"/>
    <col min="15" max="15" width="12.88671875" style="90" customWidth="1"/>
    <col min="16" max="16" width="12.33203125" style="90" customWidth="1"/>
    <col min="17" max="17" width="12.5546875" style="90" customWidth="1"/>
    <col min="18" max="18" width="13" style="90" customWidth="1"/>
    <col min="19" max="256" width="9.109375" style="90"/>
    <col min="257" max="257" width="6.6640625" style="90" customWidth="1"/>
    <col min="258" max="258" width="9.109375" style="90"/>
    <col min="259" max="259" width="14.109375" style="90" customWidth="1"/>
    <col min="260" max="260" width="9.88671875" style="90" bestFit="1" customWidth="1"/>
    <col min="261" max="261" width="11.44140625" style="90" customWidth="1"/>
    <col min="262" max="262" width="14.88671875" style="90" customWidth="1"/>
    <col min="263" max="263" width="15.5546875" style="90" customWidth="1"/>
    <col min="264" max="264" width="12.5546875" style="90" customWidth="1"/>
    <col min="265" max="265" width="14" style="90" customWidth="1"/>
    <col min="266" max="266" width="18.109375" style="90" customWidth="1"/>
    <col min="267" max="267" width="12.109375" style="90" bestFit="1" customWidth="1"/>
    <col min="268" max="269" width="1.33203125" style="90" customWidth="1"/>
    <col min="270" max="270" width="13.6640625" style="90" customWidth="1"/>
    <col min="271" max="273" width="14.88671875" style="90" customWidth="1"/>
    <col min="274" max="274" width="13" style="90" customWidth="1"/>
    <col min="275" max="512" width="9.109375" style="90"/>
    <col min="513" max="513" width="6.6640625" style="90" customWidth="1"/>
    <col min="514" max="514" width="9.109375" style="90"/>
    <col min="515" max="515" width="14.109375" style="90" customWidth="1"/>
    <col min="516" max="516" width="9.88671875" style="90" bestFit="1" customWidth="1"/>
    <col min="517" max="517" width="11.44140625" style="90" customWidth="1"/>
    <col min="518" max="518" width="14.88671875" style="90" customWidth="1"/>
    <col min="519" max="519" width="15.5546875" style="90" customWidth="1"/>
    <col min="520" max="520" width="12.5546875" style="90" customWidth="1"/>
    <col min="521" max="521" width="14" style="90" customWidth="1"/>
    <col min="522" max="522" width="18.109375" style="90" customWidth="1"/>
    <col min="523" max="523" width="12.109375" style="90" bestFit="1" customWidth="1"/>
    <col min="524" max="525" width="1.33203125" style="90" customWidth="1"/>
    <col min="526" max="526" width="13.6640625" style="90" customWidth="1"/>
    <col min="527" max="529" width="14.88671875" style="90" customWidth="1"/>
    <col min="530" max="530" width="13" style="90" customWidth="1"/>
    <col min="531" max="768" width="9.109375" style="90"/>
    <col min="769" max="769" width="6.6640625" style="90" customWidth="1"/>
    <col min="770" max="770" width="9.109375" style="90"/>
    <col min="771" max="771" width="14.109375" style="90" customWidth="1"/>
    <col min="772" max="772" width="9.88671875" style="90" bestFit="1" customWidth="1"/>
    <col min="773" max="773" width="11.44140625" style="90" customWidth="1"/>
    <col min="774" max="774" width="14.88671875" style="90" customWidth="1"/>
    <col min="775" max="775" width="15.5546875" style="90" customWidth="1"/>
    <col min="776" max="776" width="12.5546875" style="90" customWidth="1"/>
    <col min="777" max="777" width="14" style="90" customWidth="1"/>
    <col min="778" max="778" width="18.109375" style="90" customWidth="1"/>
    <col min="779" max="779" width="12.109375" style="90" bestFit="1" customWidth="1"/>
    <col min="780" max="781" width="1.33203125" style="90" customWidth="1"/>
    <col min="782" max="782" width="13.6640625" style="90" customWidth="1"/>
    <col min="783" max="785" width="14.88671875" style="90" customWidth="1"/>
    <col min="786" max="786" width="13" style="90" customWidth="1"/>
    <col min="787" max="1024" width="9.109375" style="90"/>
    <col min="1025" max="1025" width="6.6640625" style="90" customWidth="1"/>
    <col min="1026" max="1026" width="9.109375" style="90"/>
    <col min="1027" max="1027" width="14.109375" style="90" customWidth="1"/>
    <col min="1028" max="1028" width="9.88671875" style="90" bestFit="1" customWidth="1"/>
    <col min="1029" max="1029" width="11.44140625" style="90" customWidth="1"/>
    <col min="1030" max="1030" width="14.88671875" style="90" customWidth="1"/>
    <col min="1031" max="1031" width="15.5546875" style="90" customWidth="1"/>
    <col min="1032" max="1032" width="12.5546875" style="90" customWidth="1"/>
    <col min="1033" max="1033" width="14" style="90" customWidth="1"/>
    <col min="1034" max="1034" width="18.109375" style="90" customWidth="1"/>
    <col min="1035" max="1035" width="12.109375" style="90" bestFit="1" customWidth="1"/>
    <col min="1036" max="1037" width="1.33203125" style="90" customWidth="1"/>
    <col min="1038" max="1038" width="13.6640625" style="90" customWidth="1"/>
    <col min="1039" max="1041" width="14.88671875" style="90" customWidth="1"/>
    <col min="1042" max="1042" width="13" style="90" customWidth="1"/>
    <col min="1043" max="1280" width="9.109375" style="90"/>
    <col min="1281" max="1281" width="6.6640625" style="90" customWidth="1"/>
    <col min="1282" max="1282" width="9.109375" style="90"/>
    <col min="1283" max="1283" width="14.109375" style="90" customWidth="1"/>
    <col min="1284" max="1284" width="9.88671875" style="90" bestFit="1" customWidth="1"/>
    <col min="1285" max="1285" width="11.44140625" style="90" customWidth="1"/>
    <col min="1286" max="1286" width="14.88671875" style="90" customWidth="1"/>
    <col min="1287" max="1287" width="15.5546875" style="90" customWidth="1"/>
    <col min="1288" max="1288" width="12.5546875" style="90" customWidth="1"/>
    <col min="1289" max="1289" width="14" style="90" customWidth="1"/>
    <col min="1290" max="1290" width="18.109375" style="90" customWidth="1"/>
    <col min="1291" max="1291" width="12.109375" style="90" bestFit="1" customWidth="1"/>
    <col min="1292" max="1293" width="1.33203125" style="90" customWidth="1"/>
    <col min="1294" max="1294" width="13.6640625" style="90" customWidth="1"/>
    <col min="1295" max="1297" width="14.88671875" style="90" customWidth="1"/>
    <col min="1298" max="1298" width="13" style="90" customWidth="1"/>
    <col min="1299" max="1536" width="9.109375" style="90"/>
    <col min="1537" max="1537" width="6.6640625" style="90" customWidth="1"/>
    <col min="1538" max="1538" width="9.109375" style="90"/>
    <col min="1539" max="1539" width="14.109375" style="90" customWidth="1"/>
    <col min="1540" max="1540" width="9.88671875" style="90" bestFit="1" customWidth="1"/>
    <col min="1541" max="1541" width="11.44140625" style="90" customWidth="1"/>
    <col min="1542" max="1542" width="14.88671875" style="90" customWidth="1"/>
    <col min="1543" max="1543" width="15.5546875" style="90" customWidth="1"/>
    <col min="1544" max="1544" width="12.5546875" style="90" customWidth="1"/>
    <col min="1545" max="1545" width="14" style="90" customWidth="1"/>
    <col min="1546" max="1546" width="18.109375" style="90" customWidth="1"/>
    <col min="1547" max="1547" width="12.109375" style="90" bestFit="1" customWidth="1"/>
    <col min="1548" max="1549" width="1.33203125" style="90" customWidth="1"/>
    <col min="1550" max="1550" width="13.6640625" style="90" customWidth="1"/>
    <col min="1551" max="1553" width="14.88671875" style="90" customWidth="1"/>
    <col min="1554" max="1554" width="13" style="90" customWidth="1"/>
    <col min="1555" max="1792" width="9.109375" style="90"/>
    <col min="1793" max="1793" width="6.6640625" style="90" customWidth="1"/>
    <col min="1794" max="1794" width="9.109375" style="90"/>
    <col min="1795" max="1795" width="14.109375" style="90" customWidth="1"/>
    <col min="1796" max="1796" width="9.88671875" style="90" bestFit="1" customWidth="1"/>
    <col min="1797" max="1797" width="11.44140625" style="90" customWidth="1"/>
    <col min="1798" max="1798" width="14.88671875" style="90" customWidth="1"/>
    <col min="1799" max="1799" width="15.5546875" style="90" customWidth="1"/>
    <col min="1800" max="1800" width="12.5546875" style="90" customWidth="1"/>
    <col min="1801" max="1801" width="14" style="90" customWidth="1"/>
    <col min="1802" max="1802" width="18.109375" style="90" customWidth="1"/>
    <col min="1803" max="1803" width="12.109375" style="90" bestFit="1" customWidth="1"/>
    <col min="1804" max="1805" width="1.33203125" style="90" customWidth="1"/>
    <col min="1806" max="1806" width="13.6640625" style="90" customWidth="1"/>
    <col min="1807" max="1809" width="14.88671875" style="90" customWidth="1"/>
    <col min="1810" max="1810" width="13" style="90" customWidth="1"/>
    <col min="1811" max="2048" width="9.109375" style="90"/>
    <col min="2049" max="2049" width="6.6640625" style="90" customWidth="1"/>
    <col min="2050" max="2050" width="9.109375" style="90"/>
    <col min="2051" max="2051" width="14.109375" style="90" customWidth="1"/>
    <col min="2052" max="2052" width="9.88671875" style="90" bestFit="1" customWidth="1"/>
    <col min="2053" max="2053" width="11.44140625" style="90" customWidth="1"/>
    <col min="2054" max="2054" width="14.88671875" style="90" customWidth="1"/>
    <col min="2055" max="2055" width="15.5546875" style="90" customWidth="1"/>
    <col min="2056" max="2056" width="12.5546875" style="90" customWidth="1"/>
    <col min="2057" max="2057" width="14" style="90" customWidth="1"/>
    <col min="2058" max="2058" width="18.109375" style="90" customWidth="1"/>
    <col min="2059" max="2059" width="12.109375" style="90" bestFit="1" customWidth="1"/>
    <col min="2060" max="2061" width="1.33203125" style="90" customWidth="1"/>
    <col min="2062" max="2062" width="13.6640625" style="90" customWidth="1"/>
    <col min="2063" max="2065" width="14.88671875" style="90" customWidth="1"/>
    <col min="2066" max="2066" width="13" style="90" customWidth="1"/>
    <col min="2067" max="2304" width="9.109375" style="90"/>
    <col min="2305" max="2305" width="6.6640625" style="90" customWidth="1"/>
    <col min="2306" max="2306" width="9.109375" style="90"/>
    <col min="2307" max="2307" width="14.109375" style="90" customWidth="1"/>
    <col min="2308" max="2308" width="9.88671875" style="90" bestFit="1" customWidth="1"/>
    <col min="2309" max="2309" width="11.44140625" style="90" customWidth="1"/>
    <col min="2310" max="2310" width="14.88671875" style="90" customWidth="1"/>
    <col min="2311" max="2311" width="15.5546875" style="90" customWidth="1"/>
    <col min="2312" max="2312" width="12.5546875" style="90" customWidth="1"/>
    <col min="2313" max="2313" width="14" style="90" customWidth="1"/>
    <col min="2314" max="2314" width="18.109375" style="90" customWidth="1"/>
    <col min="2315" max="2315" width="12.109375" style="90" bestFit="1" customWidth="1"/>
    <col min="2316" max="2317" width="1.33203125" style="90" customWidth="1"/>
    <col min="2318" max="2318" width="13.6640625" style="90" customWidth="1"/>
    <col min="2319" max="2321" width="14.88671875" style="90" customWidth="1"/>
    <col min="2322" max="2322" width="13" style="90" customWidth="1"/>
    <col min="2323" max="2560" width="9.109375" style="90"/>
    <col min="2561" max="2561" width="6.6640625" style="90" customWidth="1"/>
    <col min="2562" max="2562" width="9.109375" style="90"/>
    <col min="2563" max="2563" width="14.109375" style="90" customWidth="1"/>
    <col min="2564" max="2564" width="9.88671875" style="90" bestFit="1" customWidth="1"/>
    <col min="2565" max="2565" width="11.44140625" style="90" customWidth="1"/>
    <col min="2566" max="2566" width="14.88671875" style="90" customWidth="1"/>
    <col min="2567" max="2567" width="15.5546875" style="90" customWidth="1"/>
    <col min="2568" max="2568" width="12.5546875" style="90" customWidth="1"/>
    <col min="2569" max="2569" width="14" style="90" customWidth="1"/>
    <col min="2570" max="2570" width="18.109375" style="90" customWidth="1"/>
    <col min="2571" max="2571" width="12.109375" style="90" bestFit="1" customWidth="1"/>
    <col min="2572" max="2573" width="1.33203125" style="90" customWidth="1"/>
    <col min="2574" max="2574" width="13.6640625" style="90" customWidth="1"/>
    <col min="2575" max="2577" width="14.88671875" style="90" customWidth="1"/>
    <col min="2578" max="2578" width="13" style="90" customWidth="1"/>
    <col min="2579" max="2816" width="9.109375" style="90"/>
    <col min="2817" max="2817" width="6.6640625" style="90" customWidth="1"/>
    <col min="2818" max="2818" width="9.109375" style="90"/>
    <col min="2819" max="2819" width="14.109375" style="90" customWidth="1"/>
    <col min="2820" max="2820" width="9.88671875" style="90" bestFit="1" customWidth="1"/>
    <col min="2821" max="2821" width="11.44140625" style="90" customWidth="1"/>
    <col min="2822" max="2822" width="14.88671875" style="90" customWidth="1"/>
    <col min="2823" max="2823" width="15.5546875" style="90" customWidth="1"/>
    <col min="2824" max="2824" width="12.5546875" style="90" customWidth="1"/>
    <col min="2825" max="2825" width="14" style="90" customWidth="1"/>
    <col min="2826" max="2826" width="18.109375" style="90" customWidth="1"/>
    <col min="2827" max="2827" width="12.109375" style="90" bestFit="1" customWidth="1"/>
    <col min="2828" max="2829" width="1.33203125" style="90" customWidth="1"/>
    <col min="2830" max="2830" width="13.6640625" style="90" customWidth="1"/>
    <col min="2831" max="2833" width="14.88671875" style="90" customWidth="1"/>
    <col min="2834" max="2834" width="13" style="90" customWidth="1"/>
    <col min="2835" max="3072" width="9.109375" style="90"/>
    <col min="3073" max="3073" width="6.6640625" style="90" customWidth="1"/>
    <col min="3074" max="3074" width="9.109375" style="90"/>
    <col min="3075" max="3075" width="14.109375" style="90" customWidth="1"/>
    <col min="3076" max="3076" width="9.88671875" style="90" bestFit="1" customWidth="1"/>
    <col min="3077" max="3077" width="11.44140625" style="90" customWidth="1"/>
    <col min="3078" max="3078" width="14.88671875" style="90" customWidth="1"/>
    <col min="3079" max="3079" width="15.5546875" style="90" customWidth="1"/>
    <col min="3080" max="3080" width="12.5546875" style="90" customWidth="1"/>
    <col min="3081" max="3081" width="14" style="90" customWidth="1"/>
    <col min="3082" max="3082" width="18.109375" style="90" customWidth="1"/>
    <col min="3083" max="3083" width="12.109375" style="90" bestFit="1" customWidth="1"/>
    <col min="3084" max="3085" width="1.33203125" style="90" customWidth="1"/>
    <col min="3086" max="3086" width="13.6640625" style="90" customWidth="1"/>
    <col min="3087" max="3089" width="14.88671875" style="90" customWidth="1"/>
    <col min="3090" max="3090" width="13" style="90" customWidth="1"/>
    <col min="3091" max="3328" width="9.109375" style="90"/>
    <col min="3329" max="3329" width="6.6640625" style="90" customWidth="1"/>
    <col min="3330" max="3330" width="9.109375" style="90"/>
    <col min="3331" max="3331" width="14.109375" style="90" customWidth="1"/>
    <col min="3332" max="3332" width="9.88671875" style="90" bestFit="1" customWidth="1"/>
    <col min="3333" max="3333" width="11.44140625" style="90" customWidth="1"/>
    <col min="3334" max="3334" width="14.88671875" style="90" customWidth="1"/>
    <col min="3335" max="3335" width="15.5546875" style="90" customWidth="1"/>
    <col min="3336" max="3336" width="12.5546875" style="90" customWidth="1"/>
    <col min="3337" max="3337" width="14" style="90" customWidth="1"/>
    <col min="3338" max="3338" width="18.109375" style="90" customWidth="1"/>
    <col min="3339" max="3339" width="12.109375" style="90" bestFit="1" customWidth="1"/>
    <col min="3340" max="3341" width="1.33203125" style="90" customWidth="1"/>
    <col min="3342" max="3342" width="13.6640625" style="90" customWidth="1"/>
    <col min="3343" max="3345" width="14.88671875" style="90" customWidth="1"/>
    <col min="3346" max="3346" width="13" style="90" customWidth="1"/>
    <col min="3347" max="3584" width="9.109375" style="90"/>
    <col min="3585" max="3585" width="6.6640625" style="90" customWidth="1"/>
    <col min="3586" max="3586" width="9.109375" style="90"/>
    <col min="3587" max="3587" width="14.109375" style="90" customWidth="1"/>
    <col min="3588" max="3588" width="9.88671875" style="90" bestFit="1" customWidth="1"/>
    <col min="3589" max="3589" width="11.44140625" style="90" customWidth="1"/>
    <col min="3590" max="3590" width="14.88671875" style="90" customWidth="1"/>
    <col min="3591" max="3591" width="15.5546875" style="90" customWidth="1"/>
    <col min="3592" max="3592" width="12.5546875" style="90" customWidth="1"/>
    <col min="3593" max="3593" width="14" style="90" customWidth="1"/>
    <col min="3594" max="3594" width="18.109375" style="90" customWidth="1"/>
    <col min="3595" max="3595" width="12.109375" style="90" bestFit="1" customWidth="1"/>
    <col min="3596" max="3597" width="1.33203125" style="90" customWidth="1"/>
    <col min="3598" max="3598" width="13.6640625" style="90" customWidth="1"/>
    <col min="3599" max="3601" width="14.88671875" style="90" customWidth="1"/>
    <col min="3602" max="3602" width="13" style="90" customWidth="1"/>
    <col min="3603" max="3840" width="9.109375" style="90"/>
    <col min="3841" max="3841" width="6.6640625" style="90" customWidth="1"/>
    <col min="3842" max="3842" width="9.109375" style="90"/>
    <col min="3843" max="3843" width="14.109375" style="90" customWidth="1"/>
    <col min="3844" max="3844" width="9.88671875" style="90" bestFit="1" customWidth="1"/>
    <col min="3845" max="3845" width="11.44140625" style="90" customWidth="1"/>
    <col min="3846" max="3846" width="14.88671875" style="90" customWidth="1"/>
    <col min="3847" max="3847" width="15.5546875" style="90" customWidth="1"/>
    <col min="3848" max="3848" width="12.5546875" style="90" customWidth="1"/>
    <col min="3849" max="3849" width="14" style="90" customWidth="1"/>
    <col min="3850" max="3850" width="18.109375" style="90" customWidth="1"/>
    <col min="3851" max="3851" width="12.109375" style="90" bestFit="1" customWidth="1"/>
    <col min="3852" max="3853" width="1.33203125" style="90" customWidth="1"/>
    <col min="3854" max="3854" width="13.6640625" style="90" customWidth="1"/>
    <col min="3855" max="3857" width="14.88671875" style="90" customWidth="1"/>
    <col min="3858" max="3858" width="13" style="90" customWidth="1"/>
    <col min="3859" max="4096" width="9.109375" style="90"/>
    <col min="4097" max="4097" width="6.6640625" style="90" customWidth="1"/>
    <col min="4098" max="4098" width="9.109375" style="90"/>
    <col min="4099" max="4099" width="14.109375" style="90" customWidth="1"/>
    <col min="4100" max="4100" width="9.88671875" style="90" bestFit="1" customWidth="1"/>
    <col min="4101" max="4101" width="11.44140625" style="90" customWidth="1"/>
    <col min="4102" max="4102" width="14.88671875" style="90" customWidth="1"/>
    <col min="4103" max="4103" width="15.5546875" style="90" customWidth="1"/>
    <col min="4104" max="4104" width="12.5546875" style="90" customWidth="1"/>
    <col min="4105" max="4105" width="14" style="90" customWidth="1"/>
    <col min="4106" max="4106" width="18.109375" style="90" customWidth="1"/>
    <col min="4107" max="4107" width="12.109375" style="90" bestFit="1" customWidth="1"/>
    <col min="4108" max="4109" width="1.33203125" style="90" customWidth="1"/>
    <col min="4110" max="4110" width="13.6640625" style="90" customWidth="1"/>
    <col min="4111" max="4113" width="14.88671875" style="90" customWidth="1"/>
    <col min="4114" max="4114" width="13" style="90" customWidth="1"/>
    <col min="4115" max="4352" width="9.109375" style="90"/>
    <col min="4353" max="4353" width="6.6640625" style="90" customWidth="1"/>
    <col min="4354" max="4354" width="9.109375" style="90"/>
    <col min="4355" max="4355" width="14.109375" style="90" customWidth="1"/>
    <col min="4356" max="4356" width="9.88671875" style="90" bestFit="1" customWidth="1"/>
    <col min="4357" max="4357" width="11.44140625" style="90" customWidth="1"/>
    <col min="4358" max="4358" width="14.88671875" style="90" customWidth="1"/>
    <col min="4359" max="4359" width="15.5546875" style="90" customWidth="1"/>
    <col min="4360" max="4360" width="12.5546875" style="90" customWidth="1"/>
    <col min="4361" max="4361" width="14" style="90" customWidth="1"/>
    <col min="4362" max="4362" width="18.109375" style="90" customWidth="1"/>
    <col min="4363" max="4363" width="12.109375" style="90" bestFit="1" customWidth="1"/>
    <col min="4364" max="4365" width="1.33203125" style="90" customWidth="1"/>
    <col min="4366" max="4366" width="13.6640625" style="90" customWidth="1"/>
    <col min="4367" max="4369" width="14.88671875" style="90" customWidth="1"/>
    <col min="4370" max="4370" width="13" style="90" customWidth="1"/>
    <col min="4371" max="4608" width="9.109375" style="90"/>
    <col min="4609" max="4609" width="6.6640625" style="90" customWidth="1"/>
    <col min="4610" max="4610" width="9.109375" style="90"/>
    <col min="4611" max="4611" width="14.109375" style="90" customWidth="1"/>
    <col min="4612" max="4612" width="9.88671875" style="90" bestFit="1" customWidth="1"/>
    <col min="4613" max="4613" width="11.44140625" style="90" customWidth="1"/>
    <col min="4614" max="4614" width="14.88671875" style="90" customWidth="1"/>
    <col min="4615" max="4615" width="15.5546875" style="90" customWidth="1"/>
    <col min="4616" max="4616" width="12.5546875" style="90" customWidth="1"/>
    <col min="4617" max="4617" width="14" style="90" customWidth="1"/>
    <col min="4618" max="4618" width="18.109375" style="90" customWidth="1"/>
    <col min="4619" max="4619" width="12.109375" style="90" bestFit="1" customWidth="1"/>
    <col min="4620" max="4621" width="1.33203125" style="90" customWidth="1"/>
    <col min="4622" max="4622" width="13.6640625" style="90" customWidth="1"/>
    <col min="4623" max="4625" width="14.88671875" style="90" customWidth="1"/>
    <col min="4626" max="4626" width="13" style="90" customWidth="1"/>
    <col min="4627" max="4864" width="9.109375" style="90"/>
    <col min="4865" max="4865" width="6.6640625" style="90" customWidth="1"/>
    <col min="4866" max="4866" width="9.109375" style="90"/>
    <col min="4867" max="4867" width="14.109375" style="90" customWidth="1"/>
    <col min="4868" max="4868" width="9.88671875" style="90" bestFit="1" customWidth="1"/>
    <col min="4869" max="4869" width="11.44140625" style="90" customWidth="1"/>
    <col min="4870" max="4870" width="14.88671875" style="90" customWidth="1"/>
    <col min="4871" max="4871" width="15.5546875" style="90" customWidth="1"/>
    <col min="4872" max="4872" width="12.5546875" style="90" customWidth="1"/>
    <col min="4873" max="4873" width="14" style="90" customWidth="1"/>
    <col min="4874" max="4874" width="18.109375" style="90" customWidth="1"/>
    <col min="4875" max="4875" width="12.109375" style="90" bestFit="1" customWidth="1"/>
    <col min="4876" max="4877" width="1.33203125" style="90" customWidth="1"/>
    <col min="4878" max="4878" width="13.6640625" style="90" customWidth="1"/>
    <col min="4879" max="4881" width="14.88671875" style="90" customWidth="1"/>
    <col min="4882" max="4882" width="13" style="90" customWidth="1"/>
    <col min="4883" max="5120" width="9.109375" style="90"/>
    <col min="5121" max="5121" width="6.6640625" style="90" customWidth="1"/>
    <col min="5122" max="5122" width="9.109375" style="90"/>
    <col min="5123" max="5123" width="14.109375" style="90" customWidth="1"/>
    <col min="5124" max="5124" width="9.88671875" style="90" bestFit="1" customWidth="1"/>
    <col min="5125" max="5125" width="11.44140625" style="90" customWidth="1"/>
    <col min="5126" max="5126" width="14.88671875" style="90" customWidth="1"/>
    <col min="5127" max="5127" width="15.5546875" style="90" customWidth="1"/>
    <col min="5128" max="5128" width="12.5546875" style="90" customWidth="1"/>
    <col min="5129" max="5129" width="14" style="90" customWidth="1"/>
    <col min="5130" max="5130" width="18.109375" style="90" customWidth="1"/>
    <col min="5131" max="5131" width="12.109375" style="90" bestFit="1" customWidth="1"/>
    <col min="5132" max="5133" width="1.33203125" style="90" customWidth="1"/>
    <col min="5134" max="5134" width="13.6640625" style="90" customWidth="1"/>
    <col min="5135" max="5137" width="14.88671875" style="90" customWidth="1"/>
    <col min="5138" max="5138" width="13" style="90" customWidth="1"/>
    <col min="5139" max="5376" width="9.109375" style="90"/>
    <col min="5377" max="5377" width="6.6640625" style="90" customWidth="1"/>
    <col min="5378" max="5378" width="9.109375" style="90"/>
    <col min="5379" max="5379" width="14.109375" style="90" customWidth="1"/>
    <col min="5380" max="5380" width="9.88671875" style="90" bestFit="1" customWidth="1"/>
    <col min="5381" max="5381" width="11.44140625" style="90" customWidth="1"/>
    <col min="5382" max="5382" width="14.88671875" style="90" customWidth="1"/>
    <col min="5383" max="5383" width="15.5546875" style="90" customWidth="1"/>
    <col min="5384" max="5384" width="12.5546875" style="90" customWidth="1"/>
    <col min="5385" max="5385" width="14" style="90" customWidth="1"/>
    <col min="5386" max="5386" width="18.109375" style="90" customWidth="1"/>
    <col min="5387" max="5387" width="12.109375" style="90" bestFit="1" customWidth="1"/>
    <col min="5388" max="5389" width="1.33203125" style="90" customWidth="1"/>
    <col min="5390" max="5390" width="13.6640625" style="90" customWidth="1"/>
    <col min="5391" max="5393" width="14.88671875" style="90" customWidth="1"/>
    <col min="5394" max="5394" width="13" style="90" customWidth="1"/>
    <col min="5395" max="5632" width="9.109375" style="90"/>
    <col min="5633" max="5633" width="6.6640625" style="90" customWidth="1"/>
    <col min="5634" max="5634" width="9.109375" style="90"/>
    <col min="5635" max="5635" width="14.109375" style="90" customWidth="1"/>
    <col min="5636" max="5636" width="9.88671875" style="90" bestFit="1" customWidth="1"/>
    <col min="5637" max="5637" width="11.44140625" style="90" customWidth="1"/>
    <col min="5638" max="5638" width="14.88671875" style="90" customWidth="1"/>
    <col min="5639" max="5639" width="15.5546875" style="90" customWidth="1"/>
    <col min="5640" max="5640" width="12.5546875" style="90" customWidth="1"/>
    <col min="5641" max="5641" width="14" style="90" customWidth="1"/>
    <col min="5642" max="5642" width="18.109375" style="90" customWidth="1"/>
    <col min="5643" max="5643" width="12.109375" style="90" bestFit="1" customWidth="1"/>
    <col min="5644" max="5645" width="1.33203125" style="90" customWidth="1"/>
    <col min="5646" max="5646" width="13.6640625" style="90" customWidth="1"/>
    <col min="5647" max="5649" width="14.88671875" style="90" customWidth="1"/>
    <col min="5650" max="5650" width="13" style="90" customWidth="1"/>
    <col min="5651" max="5888" width="9.109375" style="90"/>
    <col min="5889" max="5889" width="6.6640625" style="90" customWidth="1"/>
    <col min="5890" max="5890" width="9.109375" style="90"/>
    <col min="5891" max="5891" width="14.109375" style="90" customWidth="1"/>
    <col min="5892" max="5892" width="9.88671875" style="90" bestFit="1" customWidth="1"/>
    <col min="5893" max="5893" width="11.44140625" style="90" customWidth="1"/>
    <col min="5894" max="5894" width="14.88671875" style="90" customWidth="1"/>
    <col min="5895" max="5895" width="15.5546875" style="90" customWidth="1"/>
    <col min="5896" max="5896" width="12.5546875" style="90" customWidth="1"/>
    <col min="5897" max="5897" width="14" style="90" customWidth="1"/>
    <col min="5898" max="5898" width="18.109375" style="90" customWidth="1"/>
    <col min="5899" max="5899" width="12.109375" style="90" bestFit="1" customWidth="1"/>
    <col min="5900" max="5901" width="1.33203125" style="90" customWidth="1"/>
    <col min="5902" max="5902" width="13.6640625" style="90" customWidth="1"/>
    <col min="5903" max="5905" width="14.88671875" style="90" customWidth="1"/>
    <col min="5906" max="5906" width="13" style="90" customWidth="1"/>
    <col min="5907" max="6144" width="9.109375" style="90"/>
    <col min="6145" max="6145" width="6.6640625" style="90" customWidth="1"/>
    <col min="6146" max="6146" width="9.109375" style="90"/>
    <col min="6147" max="6147" width="14.109375" style="90" customWidth="1"/>
    <col min="6148" max="6148" width="9.88671875" style="90" bestFit="1" customWidth="1"/>
    <col min="6149" max="6149" width="11.44140625" style="90" customWidth="1"/>
    <col min="6150" max="6150" width="14.88671875" style="90" customWidth="1"/>
    <col min="6151" max="6151" width="15.5546875" style="90" customWidth="1"/>
    <col min="6152" max="6152" width="12.5546875" style="90" customWidth="1"/>
    <col min="6153" max="6153" width="14" style="90" customWidth="1"/>
    <col min="6154" max="6154" width="18.109375" style="90" customWidth="1"/>
    <col min="6155" max="6155" width="12.109375" style="90" bestFit="1" customWidth="1"/>
    <col min="6156" max="6157" width="1.33203125" style="90" customWidth="1"/>
    <col min="6158" max="6158" width="13.6640625" style="90" customWidth="1"/>
    <col min="6159" max="6161" width="14.88671875" style="90" customWidth="1"/>
    <col min="6162" max="6162" width="13" style="90" customWidth="1"/>
    <col min="6163" max="6400" width="9.109375" style="90"/>
    <col min="6401" max="6401" width="6.6640625" style="90" customWidth="1"/>
    <col min="6402" max="6402" width="9.109375" style="90"/>
    <col min="6403" max="6403" width="14.109375" style="90" customWidth="1"/>
    <col min="6404" max="6404" width="9.88671875" style="90" bestFit="1" customWidth="1"/>
    <col min="6405" max="6405" width="11.44140625" style="90" customWidth="1"/>
    <col min="6406" max="6406" width="14.88671875" style="90" customWidth="1"/>
    <col min="6407" max="6407" width="15.5546875" style="90" customWidth="1"/>
    <col min="6408" max="6408" width="12.5546875" style="90" customWidth="1"/>
    <col min="6409" max="6409" width="14" style="90" customWidth="1"/>
    <col min="6410" max="6410" width="18.109375" style="90" customWidth="1"/>
    <col min="6411" max="6411" width="12.109375" style="90" bestFit="1" customWidth="1"/>
    <col min="6412" max="6413" width="1.33203125" style="90" customWidth="1"/>
    <col min="6414" max="6414" width="13.6640625" style="90" customWidth="1"/>
    <col min="6415" max="6417" width="14.88671875" style="90" customWidth="1"/>
    <col min="6418" max="6418" width="13" style="90" customWidth="1"/>
    <col min="6419" max="6656" width="9.109375" style="90"/>
    <col min="6657" max="6657" width="6.6640625" style="90" customWidth="1"/>
    <col min="6658" max="6658" width="9.109375" style="90"/>
    <col min="6659" max="6659" width="14.109375" style="90" customWidth="1"/>
    <col min="6660" max="6660" width="9.88671875" style="90" bestFit="1" customWidth="1"/>
    <col min="6661" max="6661" width="11.44140625" style="90" customWidth="1"/>
    <col min="6662" max="6662" width="14.88671875" style="90" customWidth="1"/>
    <col min="6663" max="6663" width="15.5546875" style="90" customWidth="1"/>
    <col min="6664" max="6664" width="12.5546875" style="90" customWidth="1"/>
    <col min="6665" max="6665" width="14" style="90" customWidth="1"/>
    <col min="6666" max="6666" width="18.109375" style="90" customWidth="1"/>
    <col min="6667" max="6667" width="12.109375" style="90" bestFit="1" customWidth="1"/>
    <col min="6668" max="6669" width="1.33203125" style="90" customWidth="1"/>
    <col min="6670" max="6670" width="13.6640625" style="90" customWidth="1"/>
    <col min="6671" max="6673" width="14.88671875" style="90" customWidth="1"/>
    <col min="6674" max="6674" width="13" style="90" customWidth="1"/>
    <col min="6675" max="6912" width="9.109375" style="90"/>
    <col min="6913" max="6913" width="6.6640625" style="90" customWidth="1"/>
    <col min="6914" max="6914" width="9.109375" style="90"/>
    <col min="6915" max="6915" width="14.109375" style="90" customWidth="1"/>
    <col min="6916" max="6916" width="9.88671875" style="90" bestFit="1" customWidth="1"/>
    <col min="6917" max="6917" width="11.44140625" style="90" customWidth="1"/>
    <col min="6918" max="6918" width="14.88671875" style="90" customWidth="1"/>
    <col min="6919" max="6919" width="15.5546875" style="90" customWidth="1"/>
    <col min="6920" max="6920" width="12.5546875" style="90" customWidth="1"/>
    <col min="6921" max="6921" width="14" style="90" customWidth="1"/>
    <col min="6922" max="6922" width="18.109375" style="90" customWidth="1"/>
    <col min="6923" max="6923" width="12.109375" style="90" bestFit="1" customWidth="1"/>
    <col min="6924" max="6925" width="1.33203125" style="90" customWidth="1"/>
    <col min="6926" max="6926" width="13.6640625" style="90" customWidth="1"/>
    <col min="6927" max="6929" width="14.88671875" style="90" customWidth="1"/>
    <col min="6930" max="6930" width="13" style="90" customWidth="1"/>
    <col min="6931" max="7168" width="9.109375" style="90"/>
    <col min="7169" max="7169" width="6.6640625" style="90" customWidth="1"/>
    <col min="7170" max="7170" width="9.109375" style="90"/>
    <col min="7171" max="7171" width="14.109375" style="90" customWidth="1"/>
    <col min="7172" max="7172" width="9.88671875" style="90" bestFit="1" customWidth="1"/>
    <col min="7173" max="7173" width="11.44140625" style="90" customWidth="1"/>
    <col min="7174" max="7174" width="14.88671875" style="90" customWidth="1"/>
    <col min="7175" max="7175" width="15.5546875" style="90" customWidth="1"/>
    <col min="7176" max="7176" width="12.5546875" style="90" customWidth="1"/>
    <col min="7177" max="7177" width="14" style="90" customWidth="1"/>
    <col min="7178" max="7178" width="18.109375" style="90" customWidth="1"/>
    <col min="7179" max="7179" width="12.109375" style="90" bestFit="1" customWidth="1"/>
    <col min="7180" max="7181" width="1.33203125" style="90" customWidth="1"/>
    <col min="7182" max="7182" width="13.6640625" style="90" customWidth="1"/>
    <col min="7183" max="7185" width="14.88671875" style="90" customWidth="1"/>
    <col min="7186" max="7186" width="13" style="90" customWidth="1"/>
    <col min="7187" max="7424" width="9.109375" style="90"/>
    <col min="7425" max="7425" width="6.6640625" style="90" customWidth="1"/>
    <col min="7426" max="7426" width="9.109375" style="90"/>
    <col min="7427" max="7427" width="14.109375" style="90" customWidth="1"/>
    <col min="7428" max="7428" width="9.88671875" style="90" bestFit="1" customWidth="1"/>
    <col min="7429" max="7429" width="11.44140625" style="90" customWidth="1"/>
    <col min="7430" max="7430" width="14.88671875" style="90" customWidth="1"/>
    <col min="7431" max="7431" width="15.5546875" style="90" customWidth="1"/>
    <col min="7432" max="7432" width="12.5546875" style="90" customWidth="1"/>
    <col min="7433" max="7433" width="14" style="90" customWidth="1"/>
    <col min="7434" max="7434" width="18.109375" style="90" customWidth="1"/>
    <col min="7435" max="7435" width="12.109375" style="90" bestFit="1" customWidth="1"/>
    <col min="7436" max="7437" width="1.33203125" style="90" customWidth="1"/>
    <col min="7438" max="7438" width="13.6640625" style="90" customWidth="1"/>
    <col min="7439" max="7441" width="14.88671875" style="90" customWidth="1"/>
    <col min="7442" max="7442" width="13" style="90" customWidth="1"/>
    <col min="7443" max="7680" width="9.109375" style="90"/>
    <col min="7681" max="7681" width="6.6640625" style="90" customWidth="1"/>
    <col min="7682" max="7682" width="9.109375" style="90"/>
    <col min="7683" max="7683" width="14.109375" style="90" customWidth="1"/>
    <col min="7684" max="7684" width="9.88671875" style="90" bestFit="1" customWidth="1"/>
    <col min="7685" max="7685" width="11.44140625" style="90" customWidth="1"/>
    <col min="7686" max="7686" width="14.88671875" style="90" customWidth="1"/>
    <col min="7687" max="7687" width="15.5546875" style="90" customWidth="1"/>
    <col min="7688" max="7688" width="12.5546875" style="90" customWidth="1"/>
    <col min="7689" max="7689" width="14" style="90" customWidth="1"/>
    <col min="7690" max="7690" width="18.109375" style="90" customWidth="1"/>
    <col min="7691" max="7691" width="12.109375" style="90" bestFit="1" customWidth="1"/>
    <col min="7692" max="7693" width="1.33203125" style="90" customWidth="1"/>
    <col min="7694" max="7694" width="13.6640625" style="90" customWidth="1"/>
    <col min="7695" max="7697" width="14.88671875" style="90" customWidth="1"/>
    <col min="7698" max="7698" width="13" style="90" customWidth="1"/>
    <col min="7699" max="7936" width="9.109375" style="90"/>
    <col min="7937" max="7937" width="6.6640625" style="90" customWidth="1"/>
    <col min="7938" max="7938" width="9.109375" style="90"/>
    <col min="7939" max="7939" width="14.109375" style="90" customWidth="1"/>
    <col min="7940" max="7940" width="9.88671875" style="90" bestFit="1" customWidth="1"/>
    <col min="7941" max="7941" width="11.44140625" style="90" customWidth="1"/>
    <col min="7942" max="7942" width="14.88671875" style="90" customWidth="1"/>
    <col min="7943" max="7943" width="15.5546875" style="90" customWidth="1"/>
    <col min="7944" max="7944" width="12.5546875" style="90" customWidth="1"/>
    <col min="7945" max="7945" width="14" style="90" customWidth="1"/>
    <col min="7946" max="7946" width="18.109375" style="90" customWidth="1"/>
    <col min="7947" max="7947" width="12.109375" style="90" bestFit="1" customWidth="1"/>
    <col min="7948" max="7949" width="1.33203125" style="90" customWidth="1"/>
    <col min="7950" max="7950" width="13.6640625" style="90" customWidth="1"/>
    <col min="7951" max="7953" width="14.88671875" style="90" customWidth="1"/>
    <col min="7954" max="7954" width="13" style="90" customWidth="1"/>
    <col min="7955" max="8192" width="9.109375" style="90"/>
    <col min="8193" max="8193" width="6.6640625" style="90" customWidth="1"/>
    <col min="8194" max="8194" width="9.109375" style="90"/>
    <col min="8195" max="8195" width="14.109375" style="90" customWidth="1"/>
    <col min="8196" max="8196" width="9.88671875" style="90" bestFit="1" customWidth="1"/>
    <col min="8197" max="8197" width="11.44140625" style="90" customWidth="1"/>
    <col min="8198" max="8198" width="14.88671875" style="90" customWidth="1"/>
    <col min="8199" max="8199" width="15.5546875" style="90" customWidth="1"/>
    <col min="8200" max="8200" width="12.5546875" style="90" customWidth="1"/>
    <col min="8201" max="8201" width="14" style="90" customWidth="1"/>
    <col min="8202" max="8202" width="18.109375" style="90" customWidth="1"/>
    <col min="8203" max="8203" width="12.109375" style="90" bestFit="1" customWidth="1"/>
    <col min="8204" max="8205" width="1.33203125" style="90" customWidth="1"/>
    <col min="8206" max="8206" width="13.6640625" style="90" customWidth="1"/>
    <col min="8207" max="8209" width="14.88671875" style="90" customWidth="1"/>
    <col min="8210" max="8210" width="13" style="90" customWidth="1"/>
    <col min="8211" max="8448" width="9.109375" style="90"/>
    <col min="8449" max="8449" width="6.6640625" style="90" customWidth="1"/>
    <col min="8450" max="8450" width="9.109375" style="90"/>
    <col min="8451" max="8451" width="14.109375" style="90" customWidth="1"/>
    <col min="8452" max="8452" width="9.88671875" style="90" bestFit="1" customWidth="1"/>
    <col min="8453" max="8453" width="11.44140625" style="90" customWidth="1"/>
    <col min="8454" max="8454" width="14.88671875" style="90" customWidth="1"/>
    <col min="8455" max="8455" width="15.5546875" style="90" customWidth="1"/>
    <col min="8456" max="8456" width="12.5546875" style="90" customWidth="1"/>
    <col min="8457" max="8457" width="14" style="90" customWidth="1"/>
    <col min="8458" max="8458" width="18.109375" style="90" customWidth="1"/>
    <col min="8459" max="8459" width="12.109375" style="90" bestFit="1" customWidth="1"/>
    <col min="8460" max="8461" width="1.33203125" style="90" customWidth="1"/>
    <col min="8462" max="8462" width="13.6640625" style="90" customWidth="1"/>
    <col min="8463" max="8465" width="14.88671875" style="90" customWidth="1"/>
    <col min="8466" max="8466" width="13" style="90" customWidth="1"/>
    <col min="8467" max="8704" width="9.109375" style="90"/>
    <col min="8705" max="8705" width="6.6640625" style="90" customWidth="1"/>
    <col min="8706" max="8706" width="9.109375" style="90"/>
    <col min="8707" max="8707" width="14.109375" style="90" customWidth="1"/>
    <col min="8708" max="8708" width="9.88671875" style="90" bestFit="1" customWidth="1"/>
    <col min="8709" max="8709" width="11.44140625" style="90" customWidth="1"/>
    <col min="8710" max="8710" width="14.88671875" style="90" customWidth="1"/>
    <col min="8711" max="8711" width="15.5546875" style="90" customWidth="1"/>
    <col min="8712" max="8712" width="12.5546875" style="90" customWidth="1"/>
    <col min="8713" max="8713" width="14" style="90" customWidth="1"/>
    <col min="8714" max="8714" width="18.109375" style="90" customWidth="1"/>
    <col min="8715" max="8715" width="12.109375" style="90" bestFit="1" customWidth="1"/>
    <col min="8716" max="8717" width="1.33203125" style="90" customWidth="1"/>
    <col min="8718" max="8718" width="13.6640625" style="90" customWidth="1"/>
    <col min="8719" max="8721" width="14.88671875" style="90" customWidth="1"/>
    <col min="8722" max="8722" width="13" style="90" customWidth="1"/>
    <col min="8723" max="8960" width="9.109375" style="90"/>
    <col min="8961" max="8961" width="6.6640625" style="90" customWidth="1"/>
    <col min="8962" max="8962" width="9.109375" style="90"/>
    <col min="8963" max="8963" width="14.109375" style="90" customWidth="1"/>
    <col min="8964" max="8964" width="9.88671875" style="90" bestFit="1" customWidth="1"/>
    <col min="8965" max="8965" width="11.44140625" style="90" customWidth="1"/>
    <col min="8966" max="8966" width="14.88671875" style="90" customWidth="1"/>
    <col min="8967" max="8967" width="15.5546875" style="90" customWidth="1"/>
    <col min="8968" max="8968" width="12.5546875" style="90" customWidth="1"/>
    <col min="8969" max="8969" width="14" style="90" customWidth="1"/>
    <col min="8970" max="8970" width="18.109375" style="90" customWidth="1"/>
    <col min="8971" max="8971" width="12.109375" style="90" bestFit="1" customWidth="1"/>
    <col min="8972" max="8973" width="1.33203125" style="90" customWidth="1"/>
    <col min="8974" max="8974" width="13.6640625" style="90" customWidth="1"/>
    <col min="8975" max="8977" width="14.88671875" style="90" customWidth="1"/>
    <col min="8978" max="8978" width="13" style="90" customWidth="1"/>
    <col min="8979" max="9216" width="9.109375" style="90"/>
    <col min="9217" max="9217" width="6.6640625" style="90" customWidth="1"/>
    <col min="9218" max="9218" width="9.109375" style="90"/>
    <col min="9219" max="9219" width="14.109375" style="90" customWidth="1"/>
    <col min="9220" max="9220" width="9.88671875" style="90" bestFit="1" customWidth="1"/>
    <col min="9221" max="9221" width="11.44140625" style="90" customWidth="1"/>
    <col min="9222" max="9222" width="14.88671875" style="90" customWidth="1"/>
    <col min="9223" max="9223" width="15.5546875" style="90" customWidth="1"/>
    <col min="9224" max="9224" width="12.5546875" style="90" customWidth="1"/>
    <col min="9225" max="9225" width="14" style="90" customWidth="1"/>
    <col min="9226" max="9226" width="18.109375" style="90" customWidth="1"/>
    <col min="9227" max="9227" width="12.109375" style="90" bestFit="1" customWidth="1"/>
    <col min="9228" max="9229" width="1.33203125" style="90" customWidth="1"/>
    <col min="9230" max="9230" width="13.6640625" style="90" customWidth="1"/>
    <col min="9231" max="9233" width="14.88671875" style="90" customWidth="1"/>
    <col min="9234" max="9234" width="13" style="90" customWidth="1"/>
    <col min="9235" max="9472" width="9.109375" style="90"/>
    <col min="9473" max="9473" width="6.6640625" style="90" customWidth="1"/>
    <col min="9474" max="9474" width="9.109375" style="90"/>
    <col min="9475" max="9475" width="14.109375" style="90" customWidth="1"/>
    <col min="9476" max="9476" width="9.88671875" style="90" bestFit="1" customWidth="1"/>
    <col min="9477" max="9477" width="11.44140625" style="90" customWidth="1"/>
    <col min="9478" max="9478" width="14.88671875" style="90" customWidth="1"/>
    <col min="9479" max="9479" width="15.5546875" style="90" customWidth="1"/>
    <col min="9480" max="9480" width="12.5546875" style="90" customWidth="1"/>
    <col min="9481" max="9481" width="14" style="90" customWidth="1"/>
    <col min="9482" max="9482" width="18.109375" style="90" customWidth="1"/>
    <col min="9483" max="9483" width="12.109375" style="90" bestFit="1" customWidth="1"/>
    <col min="9484" max="9485" width="1.33203125" style="90" customWidth="1"/>
    <col min="9486" max="9486" width="13.6640625" style="90" customWidth="1"/>
    <col min="9487" max="9489" width="14.88671875" style="90" customWidth="1"/>
    <col min="9490" max="9490" width="13" style="90" customWidth="1"/>
    <col min="9491" max="9728" width="9.109375" style="90"/>
    <col min="9729" max="9729" width="6.6640625" style="90" customWidth="1"/>
    <col min="9730" max="9730" width="9.109375" style="90"/>
    <col min="9731" max="9731" width="14.109375" style="90" customWidth="1"/>
    <col min="9732" max="9732" width="9.88671875" style="90" bestFit="1" customWidth="1"/>
    <col min="9733" max="9733" width="11.44140625" style="90" customWidth="1"/>
    <col min="9734" max="9734" width="14.88671875" style="90" customWidth="1"/>
    <col min="9735" max="9735" width="15.5546875" style="90" customWidth="1"/>
    <col min="9736" max="9736" width="12.5546875" style="90" customWidth="1"/>
    <col min="9737" max="9737" width="14" style="90" customWidth="1"/>
    <col min="9738" max="9738" width="18.109375" style="90" customWidth="1"/>
    <col min="9739" max="9739" width="12.109375" style="90" bestFit="1" customWidth="1"/>
    <col min="9740" max="9741" width="1.33203125" style="90" customWidth="1"/>
    <col min="9742" max="9742" width="13.6640625" style="90" customWidth="1"/>
    <col min="9743" max="9745" width="14.88671875" style="90" customWidth="1"/>
    <col min="9746" max="9746" width="13" style="90" customWidth="1"/>
    <col min="9747" max="9984" width="9.109375" style="90"/>
    <col min="9985" max="9985" width="6.6640625" style="90" customWidth="1"/>
    <col min="9986" max="9986" width="9.109375" style="90"/>
    <col min="9987" max="9987" width="14.109375" style="90" customWidth="1"/>
    <col min="9988" max="9988" width="9.88671875" style="90" bestFit="1" customWidth="1"/>
    <col min="9989" max="9989" width="11.44140625" style="90" customWidth="1"/>
    <col min="9990" max="9990" width="14.88671875" style="90" customWidth="1"/>
    <col min="9991" max="9991" width="15.5546875" style="90" customWidth="1"/>
    <col min="9992" max="9992" width="12.5546875" style="90" customWidth="1"/>
    <col min="9993" max="9993" width="14" style="90" customWidth="1"/>
    <col min="9994" max="9994" width="18.109375" style="90" customWidth="1"/>
    <col min="9995" max="9995" width="12.109375" style="90" bestFit="1" customWidth="1"/>
    <col min="9996" max="9997" width="1.33203125" style="90" customWidth="1"/>
    <col min="9998" max="9998" width="13.6640625" style="90" customWidth="1"/>
    <col min="9999" max="10001" width="14.88671875" style="90" customWidth="1"/>
    <col min="10002" max="10002" width="13" style="90" customWidth="1"/>
    <col min="10003" max="10240" width="9.109375" style="90"/>
    <col min="10241" max="10241" width="6.6640625" style="90" customWidth="1"/>
    <col min="10242" max="10242" width="9.109375" style="90"/>
    <col min="10243" max="10243" width="14.109375" style="90" customWidth="1"/>
    <col min="10244" max="10244" width="9.88671875" style="90" bestFit="1" customWidth="1"/>
    <col min="10245" max="10245" width="11.44140625" style="90" customWidth="1"/>
    <col min="10246" max="10246" width="14.88671875" style="90" customWidth="1"/>
    <col min="10247" max="10247" width="15.5546875" style="90" customWidth="1"/>
    <col min="10248" max="10248" width="12.5546875" style="90" customWidth="1"/>
    <col min="10249" max="10249" width="14" style="90" customWidth="1"/>
    <col min="10250" max="10250" width="18.109375" style="90" customWidth="1"/>
    <col min="10251" max="10251" width="12.109375" style="90" bestFit="1" customWidth="1"/>
    <col min="10252" max="10253" width="1.33203125" style="90" customWidth="1"/>
    <col min="10254" max="10254" width="13.6640625" style="90" customWidth="1"/>
    <col min="10255" max="10257" width="14.88671875" style="90" customWidth="1"/>
    <col min="10258" max="10258" width="13" style="90" customWidth="1"/>
    <col min="10259" max="10496" width="9.109375" style="90"/>
    <col min="10497" max="10497" width="6.6640625" style="90" customWidth="1"/>
    <col min="10498" max="10498" width="9.109375" style="90"/>
    <col min="10499" max="10499" width="14.109375" style="90" customWidth="1"/>
    <col min="10500" max="10500" width="9.88671875" style="90" bestFit="1" customWidth="1"/>
    <col min="10501" max="10501" width="11.44140625" style="90" customWidth="1"/>
    <col min="10502" max="10502" width="14.88671875" style="90" customWidth="1"/>
    <col min="10503" max="10503" width="15.5546875" style="90" customWidth="1"/>
    <col min="10504" max="10504" width="12.5546875" style="90" customWidth="1"/>
    <col min="10505" max="10505" width="14" style="90" customWidth="1"/>
    <col min="10506" max="10506" width="18.109375" style="90" customWidth="1"/>
    <col min="10507" max="10507" width="12.109375" style="90" bestFit="1" customWidth="1"/>
    <col min="10508" max="10509" width="1.33203125" style="90" customWidth="1"/>
    <col min="10510" max="10510" width="13.6640625" style="90" customWidth="1"/>
    <col min="10511" max="10513" width="14.88671875" style="90" customWidth="1"/>
    <col min="10514" max="10514" width="13" style="90" customWidth="1"/>
    <col min="10515" max="10752" width="9.109375" style="90"/>
    <col min="10753" max="10753" width="6.6640625" style="90" customWidth="1"/>
    <col min="10754" max="10754" width="9.109375" style="90"/>
    <col min="10755" max="10755" width="14.109375" style="90" customWidth="1"/>
    <col min="10756" max="10756" width="9.88671875" style="90" bestFit="1" customWidth="1"/>
    <col min="10757" max="10757" width="11.44140625" style="90" customWidth="1"/>
    <col min="10758" max="10758" width="14.88671875" style="90" customWidth="1"/>
    <col min="10759" max="10759" width="15.5546875" style="90" customWidth="1"/>
    <col min="10760" max="10760" width="12.5546875" style="90" customWidth="1"/>
    <col min="10761" max="10761" width="14" style="90" customWidth="1"/>
    <col min="10762" max="10762" width="18.109375" style="90" customWidth="1"/>
    <col min="10763" max="10763" width="12.109375" style="90" bestFit="1" customWidth="1"/>
    <col min="10764" max="10765" width="1.33203125" style="90" customWidth="1"/>
    <col min="10766" max="10766" width="13.6640625" style="90" customWidth="1"/>
    <col min="10767" max="10769" width="14.88671875" style="90" customWidth="1"/>
    <col min="10770" max="10770" width="13" style="90" customWidth="1"/>
    <col min="10771" max="11008" width="9.109375" style="90"/>
    <col min="11009" max="11009" width="6.6640625" style="90" customWidth="1"/>
    <col min="11010" max="11010" width="9.109375" style="90"/>
    <col min="11011" max="11011" width="14.109375" style="90" customWidth="1"/>
    <col min="11012" max="11012" width="9.88671875" style="90" bestFit="1" customWidth="1"/>
    <col min="11013" max="11013" width="11.44140625" style="90" customWidth="1"/>
    <col min="11014" max="11014" width="14.88671875" style="90" customWidth="1"/>
    <col min="11015" max="11015" width="15.5546875" style="90" customWidth="1"/>
    <col min="11016" max="11016" width="12.5546875" style="90" customWidth="1"/>
    <col min="11017" max="11017" width="14" style="90" customWidth="1"/>
    <col min="11018" max="11018" width="18.109375" style="90" customWidth="1"/>
    <col min="11019" max="11019" width="12.109375" style="90" bestFit="1" customWidth="1"/>
    <col min="11020" max="11021" width="1.33203125" style="90" customWidth="1"/>
    <col min="11022" max="11022" width="13.6640625" style="90" customWidth="1"/>
    <col min="11023" max="11025" width="14.88671875" style="90" customWidth="1"/>
    <col min="11026" max="11026" width="13" style="90" customWidth="1"/>
    <col min="11027" max="11264" width="9.109375" style="90"/>
    <col min="11265" max="11265" width="6.6640625" style="90" customWidth="1"/>
    <col min="11266" max="11266" width="9.109375" style="90"/>
    <col min="11267" max="11267" width="14.109375" style="90" customWidth="1"/>
    <col min="11268" max="11268" width="9.88671875" style="90" bestFit="1" customWidth="1"/>
    <col min="11269" max="11269" width="11.44140625" style="90" customWidth="1"/>
    <col min="11270" max="11270" width="14.88671875" style="90" customWidth="1"/>
    <col min="11271" max="11271" width="15.5546875" style="90" customWidth="1"/>
    <col min="11272" max="11272" width="12.5546875" style="90" customWidth="1"/>
    <col min="11273" max="11273" width="14" style="90" customWidth="1"/>
    <col min="11274" max="11274" width="18.109375" style="90" customWidth="1"/>
    <col min="11275" max="11275" width="12.109375" style="90" bestFit="1" customWidth="1"/>
    <col min="11276" max="11277" width="1.33203125" style="90" customWidth="1"/>
    <col min="11278" max="11278" width="13.6640625" style="90" customWidth="1"/>
    <col min="11279" max="11281" width="14.88671875" style="90" customWidth="1"/>
    <col min="11282" max="11282" width="13" style="90" customWidth="1"/>
    <col min="11283" max="11520" width="9.109375" style="90"/>
    <col min="11521" max="11521" width="6.6640625" style="90" customWidth="1"/>
    <col min="11522" max="11522" width="9.109375" style="90"/>
    <col min="11523" max="11523" width="14.109375" style="90" customWidth="1"/>
    <col min="11524" max="11524" width="9.88671875" style="90" bestFit="1" customWidth="1"/>
    <col min="11525" max="11525" width="11.44140625" style="90" customWidth="1"/>
    <col min="11526" max="11526" width="14.88671875" style="90" customWidth="1"/>
    <col min="11527" max="11527" width="15.5546875" style="90" customWidth="1"/>
    <col min="11528" max="11528" width="12.5546875" style="90" customWidth="1"/>
    <col min="11529" max="11529" width="14" style="90" customWidth="1"/>
    <col min="11530" max="11530" width="18.109375" style="90" customWidth="1"/>
    <col min="11531" max="11531" width="12.109375" style="90" bestFit="1" customWidth="1"/>
    <col min="11532" max="11533" width="1.33203125" style="90" customWidth="1"/>
    <col min="11534" max="11534" width="13.6640625" style="90" customWidth="1"/>
    <col min="11535" max="11537" width="14.88671875" style="90" customWidth="1"/>
    <col min="11538" max="11538" width="13" style="90" customWidth="1"/>
    <col min="11539" max="11776" width="9.109375" style="90"/>
    <col min="11777" max="11777" width="6.6640625" style="90" customWidth="1"/>
    <col min="11778" max="11778" width="9.109375" style="90"/>
    <col min="11779" max="11779" width="14.109375" style="90" customWidth="1"/>
    <col min="11780" max="11780" width="9.88671875" style="90" bestFit="1" customWidth="1"/>
    <col min="11781" max="11781" width="11.44140625" style="90" customWidth="1"/>
    <col min="11782" max="11782" width="14.88671875" style="90" customWidth="1"/>
    <col min="11783" max="11783" width="15.5546875" style="90" customWidth="1"/>
    <col min="11784" max="11784" width="12.5546875" style="90" customWidth="1"/>
    <col min="11785" max="11785" width="14" style="90" customWidth="1"/>
    <col min="11786" max="11786" width="18.109375" style="90" customWidth="1"/>
    <col min="11787" max="11787" width="12.109375" style="90" bestFit="1" customWidth="1"/>
    <col min="11788" max="11789" width="1.33203125" style="90" customWidth="1"/>
    <col min="11790" max="11790" width="13.6640625" style="90" customWidth="1"/>
    <col min="11791" max="11793" width="14.88671875" style="90" customWidth="1"/>
    <col min="11794" max="11794" width="13" style="90" customWidth="1"/>
    <col min="11795" max="12032" width="9.109375" style="90"/>
    <col min="12033" max="12033" width="6.6640625" style="90" customWidth="1"/>
    <col min="12034" max="12034" width="9.109375" style="90"/>
    <col min="12035" max="12035" width="14.109375" style="90" customWidth="1"/>
    <col min="12036" max="12036" width="9.88671875" style="90" bestFit="1" customWidth="1"/>
    <col min="12037" max="12037" width="11.44140625" style="90" customWidth="1"/>
    <col min="12038" max="12038" width="14.88671875" style="90" customWidth="1"/>
    <col min="12039" max="12039" width="15.5546875" style="90" customWidth="1"/>
    <col min="12040" max="12040" width="12.5546875" style="90" customWidth="1"/>
    <col min="12041" max="12041" width="14" style="90" customWidth="1"/>
    <col min="12042" max="12042" width="18.109375" style="90" customWidth="1"/>
    <col min="12043" max="12043" width="12.109375" style="90" bestFit="1" customWidth="1"/>
    <col min="12044" max="12045" width="1.33203125" style="90" customWidth="1"/>
    <col min="12046" max="12046" width="13.6640625" style="90" customWidth="1"/>
    <col min="12047" max="12049" width="14.88671875" style="90" customWidth="1"/>
    <col min="12050" max="12050" width="13" style="90" customWidth="1"/>
    <col min="12051" max="12288" width="9.109375" style="90"/>
    <col min="12289" max="12289" width="6.6640625" style="90" customWidth="1"/>
    <col min="12290" max="12290" width="9.109375" style="90"/>
    <col min="12291" max="12291" width="14.109375" style="90" customWidth="1"/>
    <col min="12292" max="12292" width="9.88671875" style="90" bestFit="1" customWidth="1"/>
    <col min="12293" max="12293" width="11.44140625" style="90" customWidth="1"/>
    <col min="12294" max="12294" width="14.88671875" style="90" customWidth="1"/>
    <col min="12295" max="12295" width="15.5546875" style="90" customWidth="1"/>
    <col min="12296" max="12296" width="12.5546875" style="90" customWidth="1"/>
    <col min="12297" max="12297" width="14" style="90" customWidth="1"/>
    <col min="12298" max="12298" width="18.109375" style="90" customWidth="1"/>
    <col min="12299" max="12299" width="12.109375" style="90" bestFit="1" customWidth="1"/>
    <col min="12300" max="12301" width="1.33203125" style="90" customWidth="1"/>
    <col min="12302" max="12302" width="13.6640625" style="90" customWidth="1"/>
    <col min="12303" max="12305" width="14.88671875" style="90" customWidth="1"/>
    <col min="12306" max="12306" width="13" style="90" customWidth="1"/>
    <col min="12307" max="12544" width="9.109375" style="90"/>
    <col min="12545" max="12545" width="6.6640625" style="90" customWidth="1"/>
    <col min="12546" max="12546" width="9.109375" style="90"/>
    <col min="12547" max="12547" width="14.109375" style="90" customWidth="1"/>
    <col min="12548" max="12548" width="9.88671875" style="90" bestFit="1" customWidth="1"/>
    <col min="12549" max="12549" width="11.44140625" style="90" customWidth="1"/>
    <col min="12550" max="12550" width="14.88671875" style="90" customWidth="1"/>
    <col min="12551" max="12551" width="15.5546875" style="90" customWidth="1"/>
    <col min="12552" max="12552" width="12.5546875" style="90" customWidth="1"/>
    <col min="12553" max="12553" width="14" style="90" customWidth="1"/>
    <col min="12554" max="12554" width="18.109375" style="90" customWidth="1"/>
    <col min="12555" max="12555" width="12.109375" style="90" bestFit="1" customWidth="1"/>
    <col min="12556" max="12557" width="1.33203125" style="90" customWidth="1"/>
    <col min="12558" max="12558" width="13.6640625" style="90" customWidth="1"/>
    <col min="12559" max="12561" width="14.88671875" style="90" customWidth="1"/>
    <col min="12562" max="12562" width="13" style="90" customWidth="1"/>
    <col min="12563" max="12800" width="9.109375" style="90"/>
    <col min="12801" max="12801" width="6.6640625" style="90" customWidth="1"/>
    <col min="12802" max="12802" width="9.109375" style="90"/>
    <col min="12803" max="12803" width="14.109375" style="90" customWidth="1"/>
    <col min="12804" max="12804" width="9.88671875" style="90" bestFit="1" customWidth="1"/>
    <col min="12805" max="12805" width="11.44140625" style="90" customWidth="1"/>
    <col min="12806" max="12806" width="14.88671875" style="90" customWidth="1"/>
    <col min="12807" max="12807" width="15.5546875" style="90" customWidth="1"/>
    <col min="12808" max="12808" width="12.5546875" style="90" customWidth="1"/>
    <col min="12809" max="12809" width="14" style="90" customWidth="1"/>
    <col min="12810" max="12810" width="18.109375" style="90" customWidth="1"/>
    <col min="12811" max="12811" width="12.109375" style="90" bestFit="1" customWidth="1"/>
    <col min="12812" max="12813" width="1.33203125" style="90" customWidth="1"/>
    <col min="12814" max="12814" width="13.6640625" style="90" customWidth="1"/>
    <col min="12815" max="12817" width="14.88671875" style="90" customWidth="1"/>
    <col min="12818" max="12818" width="13" style="90" customWidth="1"/>
    <col min="12819" max="13056" width="9.109375" style="90"/>
    <col min="13057" max="13057" width="6.6640625" style="90" customWidth="1"/>
    <col min="13058" max="13058" width="9.109375" style="90"/>
    <col min="13059" max="13059" width="14.109375" style="90" customWidth="1"/>
    <col min="13060" max="13060" width="9.88671875" style="90" bestFit="1" customWidth="1"/>
    <col min="13061" max="13061" width="11.44140625" style="90" customWidth="1"/>
    <col min="13062" max="13062" width="14.88671875" style="90" customWidth="1"/>
    <col min="13063" max="13063" width="15.5546875" style="90" customWidth="1"/>
    <col min="13064" max="13064" width="12.5546875" style="90" customWidth="1"/>
    <col min="13065" max="13065" width="14" style="90" customWidth="1"/>
    <col min="13066" max="13066" width="18.109375" style="90" customWidth="1"/>
    <col min="13067" max="13067" width="12.109375" style="90" bestFit="1" customWidth="1"/>
    <col min="13068" max="13069" width="1.33203125" style="90" customWidth="1"/>
    <col min="13070" max="13070" width="13.6640625" style="90" customWidth="1"/>
    <col min="13071" max="13073" width="14.88671875" style="90" customWidth="1"/>
    <col min="13074" max="13074" width="13" style="90" customWidth="1"/>
    <col min="13075" max="13312" width="9.109375" style="90"/>
    <col min="13313" max="13313" width="6.6640625" style="90" customWidth="1"/>
    <col min="13314" max="13314" width="9.109375" style="90"/>
    <col min="13315" max="13315" width="14.109375" style="90" customWidth="1"/>
    <col min="13316" max="13316" width="9.88671875" style="90" bestFit="1" customWidth="1"/>
    <col min="13317" max="13317" width="11.44140625" style="90" customWidth="1"/>
    <col min="13318" max="13318" width="14.88671875" style="90" customWidth="1"/>
    <col min="13319" max="13319" width="15.5546875" style="90" customWidth="1"/>
    <col min="13320" max="13320" width="12.5546875" style="90" customWidth="1"/>
    <col min="13321" max="13321" width="14" style="90" customWidth="1"/>
    <col min="13322" max="13322" width="18.109375" style="90" customWidth="1"/>
    <col min="13323" max="13323" width="12.109375" style="90" bestFit="1" customWidth="1"/>
    <col min="13324" max="13325" width="1.33203125" style="90" customWidth="1"/>
    <col min="13326" max="13326" width="13.6640625" style="90" customWidth="1"/>
    <col min="13327" max="13329" width="14.88671875" style="90" customWidth="1"/>
    <col min="13330" max="13330" width="13" style="90" customWidth="1"/>
    <col min="13331" max="13568" width="9.109375" style="90"/>
    <col min="13569" max="13569" width="6.6640625" style="90" customWidth="1"/>
    <col min="13570" max="13570" width="9.109375" style="90"/>
    <col min="13571" max="13571" width="14.109375" style="90" customWidth="1"/>
    <col min="13572" max="13572" width="9.88671875" style="90" bestFit="1" customWidth="1"/>
    <col min="13573" max="13573" width="11.44140625" style="90" customWidth="1"/>
    <col min="13574" max="13574" width="14.88671875" style="90" customWidth="1"/>
    <col min="13575" max="13575" width="15.5546875" style="90" customWidth="1"/>
    <col min="13576" max="13576" width="12.5546875" style="90" customWidth="1"/>
    <col min="13577" max="13577" width="14" style="90" customWidth="1"/>
    <col min="13578" max="13578" width="18.109375" style="90" customWidth="1"/>
    <col min="13579" max="13579" width="12.109375" style="90" bestFit="1" customWidth="1"/>
    <col min="13580" max="13581" width="1.33203125" style="90" customWidth="1"/>
    <col min="13582" max="13582" width="13.6640625" style="90" customWidth="1"/>
    <col min="13583" max="13585" width="14.88671875" style="90" customWidth="1"/>
    <col min="13586" max="13586" width="13" style="90" customWidth="1"/>
    <col min="13587" max="13824" width="9.109375" style="90"/>
    <col min="13825" max="13825" width="6.6640625" style="90" customWidth="1"/>
    <col min="13826" max="13826" width="9.109375" style="90"/>
    <col min="13827" max="13827" width="14.109375" style="90" customWidth="1"/>
    <col min="13828" max="13828" width="9.88671875" style="90" bestFit="1" customWidth="1"/>
    <col min="13829" max="13829" width="11.44140625" style="90" customWidth="1"/>
    <col min="13830" max="13830" width="14.88671875" style="90" customWidth="1"/>
    <col min="13831" max="13831" width="15.5546875" style="90" customWidth="1"/>
    <col min="13832" max="13832" width="12.5546875" style="90" customWidth="1"/>
    <col min="13833" max="13833" width="14" style="90" customWidth="1"/>
    <col min="13834" max="13834" width="18.109375" style="90" customWidth="1"/>
    <col min="13835" max="13835" width="12.109375" style="90" bestFit="1" customWidth="1"/>
    <col min="13836" max="13837" width="1.33203125" style="90" customWidth="1"/>
    <col min="13838" max="13838" width="13.6640625" style="90" customWidth="1"/>
    <col min="13839" max="13841" width="14.88671875" style="90" customWidth="1"/>
    <col min="13842" max="13842" width="13" style="90" customWidth="1"/>
    <col min="13843" max="14080" width="9.109375" style="90"/>
    <col min="14081" max="14081" width="6.6640625" style="90" customWidth="1"/>
    <col min="14082" max="14082" width="9.109375" style="90"/>
    <col min="14083" max="14083" width="14.109375" style="90" customWidth="1"/>
    <col min="14084" max="14084" width="9.88671875" style="90" bestFit="1" customWidth="1"/>
    <col min="14085" max="14085" width="11.44140625" style="90" customWidth="1"/>
    <col min="14086" max="14086" width="14.88671875" style="90" customWidth="1"/>
    <col min="14087" max="14087" width="15.5546875" style="90" customWidth="1"/>
    <col min="14088" max="14088" width="12.5546875" style="90" customWidth="1"/>
    <col min="14089" max="14089" width="14" style="90" customWidth="1"/>
    <col min="14090" max="14090" width="18.109375" style="90" customWidth="1"/>
    <col min="14091" max="14091" width="12.109375" style="90" bestFit="1" customWidth="1"/>
    <col min="14092" max="14093" width="1.33203125" style="90" customWidth="1"/>
    <col min="14094" max="14094" width="13.6640625" style="90" customWidth="1"/>
    <col min="14095" max="14097" width="14.88671875" style="90" customWidth="1"/>
    <col min="14098" max="14098" width="13" style="90" customWidth="1"/>
    <col min="14099" max="14336" width="9.109375" style="90"/>
    <col min="14337" max="14337" width="6.6640625" style="90" customWidth="1"/>
    <col min="14338" max="14338" width="9.109375" style="90"/>
    <col min="14339" max="14339" width="14.109375" style="90" customWidth="1"/>
    <col min="14340" max="14340" width="9.88671875" style="90" bestFit="1" customWidth="1"/>
    <col min="14341" max="14341" width="11.44140625" style="90" customWidth="1"/>
    <col min="14342" max="14342" width="14.88671875" style="90" customWidth="1"/>
    <col min="14343" max="14343" width="15.5546875" style="90" customWidth="1"/>
    <col min="14344" max="14344" width="12.5546875" style="90" customWidth="1"/>
    <col min="14345" max="14345" width="14" style="90" customWidth="1"/>
    <col min="14346" max="14346" width="18.109375" style="90" customWidth="1"/>
    <col min="14347" max="14347" width="12.109375" style="90" bestFit="1" customWidth="1"/>
    <col min="14348" max="14349" width="1.33203125" style="90" customWidth="1"/>
    <col min="14350" max="14350" width="13.6640625" style="90" customWidth="1"/>
    <col min="14351" max="14353" width="14.88671875" style="90" customWidth="1"/>
    <col min="14354" max="14354" width="13" style="90" customWidth="1"/>
    <col min="14355" max="14592" width="9.109375" style="90"/>
    <col min="14593" max="14593" width="6.6640625" style="90" customWidth="1"/>
    <col min="14594" max="14594" width="9.109375" style="90"/>
    <col min="14595" max="14595" width="14.109375" style="90" customWidth="1"/>
    <col min="14596" max="14596" width="9.88671875" style="90" bestFit="1" customWidth="1"/>
    <col min="14597" max="14597" width="11.44140625" style="90" customWidth="1"/>
    <col min="14598" max="14598" width="14.88671875" style="90" customWidth="1"/>
    <col min="14599" max="14599" width="15.5546875" style="90" customWidth="1"/>
    <col min="14600" max="14600" width="12.5546875" style="90" customWidth="1"/>
    <col min="14601" max="14601" width="14" style="90" customWidth="1"/>
    <col min="14602" max="14602" width="18.109375" style="90" customWidth="1"/>
    <col min="14603" max="14603" width="12.109375" style="90" bestFit="1" customWidth="1"/>
    <col min="14604" max="14605" width="1.33203125" style="90" customWidth="1"/>
    <col min="14606" max="14606" width="13.6640625" style="90" customWidth="1"/>
    <col min="14607" max="14609" width="14.88671875" style="90" customWidth="1"/>
    <col min="14610" max="14610" width="13" style="90" customWidth="1"/>
    <col min="14611" max="14848" width="9.109375" style="90"/>
    <col min="14849" max="14849" width="6.6640625" style="90" customWidth="1"/>
    <col min="14850" max="14850" width="9.109375" style="90"/>
    <col min="14851" max="14851" width="14.109375" style="90" customWidth="1"/>
    <col min="14852" max="14852" width="9.88671875" style="90" bestFit="1" customWidth="1"/>
    <col min="14853" max="14853" width="11.44140625" style="90" customWidth="1"/>
    <col min="14854" max="14854" width="14.88671875" style="90" customWidth="1"/>
    <col min="14855" max="14855" width="15.5546875" style="90" customWidth="1"/>
    <col min="14856" max="14856" width="12.5546875" style="90" customWidth="1"/>
    <col min="14857" max="14857" width="14" style="90" customWidth="1"/>
    <col min="14858" max="14858" width="18.109375" style="90" customWidth="1"/>
    <col min="14859" max="14859" width="12.109375" style="90" bestFit="1" customWidth="1"/>
    <col min="14860" max="14861" width="1.33203125" style="90" customWidth="1"/>
    <col min="14862" max="14862" width="13.6640625" style="90" customWidth="1"/>
    <col min="14863" max="14865" width="14.88671875" style="90" customWidth="1"/>
    <col min="14866" max="14866" width="13" style="90" customWidth="1"/>
    <col min="14867" max="15104" width="9.109375" style="90"/>
    <col min="15105" max="15105" width="6.6640625" style="90" customWidth="1"/>
    <col min="15106" max="15106" width="9.109375" style="90"/>
    <col min="15107" max="15107" width="14.109375" style="90" customWidth="1"/>
    <col min="15108" max="15108" width="9.88671875" style="90" bestFit="1" customWidth="1"/>
    <col min="15109" max="15109" width="11.44140625" style="90" customWidth="1"/>
    <col min="15110" max="15110" width="14.88671875" style="90" customWidth="1"/>
    <col min="15111" max="15111" width="15.5546875" style="90" customWidth="1"/>
    <col min="15112" max="15112" width="12.5546875" style="90" customWidth="1"/>
    <col min="15113" max="15113" width="14" style="90" customWidth="1"/>
    <col min="15114" max="15114" width="18.109375" style="90" customWidth="1"/>
    <col min="15115" max="15115" width="12.109375" style="90" bestFit="1" customWidth="1"/>
    <col min="15116" max="15117" width="1.33203125" style="90" customWidth="1"/>
    <col min="15118" max="15118" width="13.6640625" style="90" customWidth="1"/>
    <col min="15119" max="15121" width="14.88671875" style="90" customWidth="1"/>
    <col min="15122" max="15122" width="13" style="90" customWidth="1"/>
    <col min="15123" max="15360" width="9.109375" style="90"/>
    <col min="15361" max="15361" width="6.6640625" style="90" customWidth="1"/>
    <col min="15362" max="15362" width="9.109375" style="90"/>
    <col min="15363" max="15363" width="14.109375" style="90" customWidth="1"/>
    <col min="15364" max="15364" width="9.88671875" style="90" bestFit="1" customWidth="1"/>
    <col min="15365" max="15365" width="11.44140625" style="90" customWidth="1"/>
    <col min="15366" max="15366" width="14.88671875" style="90" customWidth="1"/>
    <col min="15367" max="15367" width="15.5546875" style="90" customWidth="1"/>
    <col min="15368" max="15368" width="12.5546875" style="90" customWidth="1"/>
    <col min="15369" max="15369" width="14" style="90" customWidth="1"/>
    <col min="15370" max="15370" width="18.109375" style="90" customWidth="1"/>
    <col min="15371" max="15371" width="12.109375" style="90" bestFit="1" customWidth="1"/>
    <col min="15372" max="15373" width="1.33203125" style="90" customWidth="1"/>
    <col min="15374" max="15374" width="13.6640625" style="90" customWidth="1"/>
    <col min="15375" max="15377" width="14.88671875" style="90" customWidth="1"/>
    <col min="15378" max="15378" width="13" style="90" customWidth="1"/>
    <col min="15379" max="15616" width="9.109375" style="90"/>
    <col min="15617" max="15617" width="6.6640625" style="90" customWidth="1"/>
    <col min="15618" max="15618" width="9.109375" style="90"/>
    <col min="15619" max="15619" width="14.109375" style="90" customWidth="1"/>
    <col min="15620" max="15620" width="9.88671875" style="90" bestFit="1" customWidth="1"/>
    <col min="15621" max="15621" width="11.44140625" style="90" customWidth="1"/>
    <col min="15622" max="15622" width="14.88671875" style="90" customWidth="1"/>
    <col min="15623" max="15623" width="15.5546875" style="90" customWidth="1"/>
    <col min="15624" max="15624" width="12.5546875" style="90" customWidth="1"/>
    <col min="15625" max="15625" width="14" style="90" customWidth="1"/>
    <col min="15626" max="15626" width="18.109375" style="90" customWidth="1"/>
    <col min="15627" max="15627" width="12.109375" style="90" bestFit="1" customWidth="1"/>
    <col min="15628" max="15629" width="1.33203125" style="90" customWidth="1"/>
    <col min="15630" max="15630" width="13.6640625" style="90" customWidth="1"/>
    <col min="15631" max="15633" width="14.88671875" style="90" customWidth="1"/>
    <col min="15634" max="15634" width="13" style="90" customWidth="1"/>
    <col min="15635" max="15872" width="9.109375" style="90"/>
    <col min="15873" max="15873" width="6.6640625" style="90" customWidth="1"/>
    <col min="15874" max="15874" width="9.109375" style="90"/>
    <col min="15875" max="15875" width="14.109375" style="90" customWidth="1"/>
    <col min="15876" max="15876" width="9.88671875" style="90" bestFit="1" customWidth="1"/>
    <col min="15877" max="15877" width="11.44140625" style="90" customWidth="1"/>
    <col min="15878" max="15878" width="14.88671875" style="90" customWidth="1"/>
    <col min="15879" max="15879" width="15.5546875" style="90" customWidth="1"/>
    <col min="15880" max="15880" width="12.5546875" style="90" customWidth="1"/>
    <col min="15881" max="15881" width="14" style="90" customWidth="1"/>
    <col min="15882" max="15882" width="18.109375" style="90" customWidth="1"/>
    <col min="15883" max="15883" width="12.109375" style="90" bestFit="1" customWidth="1"/>
    <col min="15884" max="15885" width="1.33203125" style="90" customWidth="1"/>
    <col min="15886" max="15886" width="13.6640625" style="90" customWidth="1"/>
    <col min="15887" max="15889" width="14.88671875" style="90" customWidth="1"/>
    <col min="15890" max="15890" width="13" style="90" customWidth="1"/>
    <col min="15891" max="16128" width="9.109375" style="90"/>
    <col min="16129" max="16129" width="6.6640625" style="90" customWidth="1"/>
    <col min="16130" max="16130" width="9.109375" style="90"/>
    <col min="16131" max="16131" width="14.109375" style="90" customWidth="1"/>
    <col min="16132" max="16132" width="9.88671875" style="90" bestFit="1" customWidth="1"/>
    <col min="16133" max="16133" width="11.44140625" style="90" customWidth="1"/>
    <col min="16134" max="16134" width="14.88671875" style="90" customWidth="1"/>
    <col min="16135" max="16135" width="15.5546875" style="90" customWidth="1"/>
    <col min="16136" max="16136" width="12.5546875" style="90" customWidth="1"/>
    <col min="16137" max="16137" width="14" style="90" customWidth="1"/>
    <col min="16138" max="16138" width="18.109375" style="90" customWidth="1"/>
    <col min="16139" max="16139" width="12.109375" style="90" bestFit="1" customWidth="1"/>
    <col min="16140" max="16141" width="1.33203125" style="90" customWidth="1"/>
    <col min="16142" max="16142" width="13.6640625" style="90" customWidth="1"/>
    <col min="16143" max="16145" width="14.88671875" style="90" customWidth="1"/>
    <col min="16146" max="16146" width="13" style="90" customWidth="1"/>
    <col min="16147" max="16384" width="9.109375" style="90"/>
  </cols>
  <sheetData>
    <row r="1" spans="1:18" s="670" customFormat="1" ht="13.8">
      <c r="A1" s="669"/>
    </row>
    <row r="2" spans="1:18" s="670" customFormat="1" ht="13.8">
      <c r="A2" s="671">
        <v>13.3</v>
      </c>
      <c r="B2" s="672" t="s">
        <v>385</v>
      </c>
    </row>
    <row r="3" spans="1:18" s="670" customFormat="1" ht="18" customHeight="1">
      <c r="A3" s="669"/>
      <c r="G3" s="1433" t="s">
        <v>475</v>
      </c>
      <c r="H3" s="1433"/>
      <c r="I3" s="1433"/>
      <c r="J3" s="1433"/>
      <c r="K3" s="1433"/>
      <c r="L3" s="1434"/>
      <c r="M3" s="1433"/>
      <c r="N3" s="1433"/>
      <c r="O3" s="1433"/>
      <c r="P3" s="1433"/>
      <c r="Q3" s="1433"/>
      <c r="R3" s="1433"/>
    </row>
    <row r="4" spans="1:18" s="670" customFormat="1" ht="12.75" customHeight="1">
      <c r="A4" s="669"/>
      <c r="G4" s="1435" t="s">
        <v>386</v>
      </c>
      <c r="H4" s="1438" t="s">
        <v>387</v>
      </c>
      <c r="I4" s="1438" t="s">
        <v>388</v>
      </c>
      <c r="J4" s="1438" t="s">
        <v>389</v>
      </c>
      <c r="K4" s="1438" t="s">
        <v>394</v>
      </c>
      <c r="N4" s="1438" t="s">
        <v>386</v>
      </c>
      <c r="O4" s="1438" t="s">
        <v>387</v>
      </c>
      <c r="P4" s="1438" t="s">
        <v>388</v>
      </c>
      <c r="Q4" s="1438" t="s">
        <v>389</v>
      </c>
      <c r="R4" s="1438" t="s">
        <v>394</v>
      </c>
    </row>
    <row r="5" spans="1:18" s="670" customFormat="1" ht="12.75" customHeight="1">
      <c r="A5" s="669"/>
      <c r="G5" s="1436"/>
      <c r="H5" s="1438"/>
      <c r="I5" s="1438"/>
      <c r="J5" s="1438"/>
      <c r="K5" s="1438"/>
      <c r="N5" s="1438"/>
      <c r="O5" s="1438"/>
      <c r="P5" s="1438"/>
      <c r="Q5" s="1438"/>
      <c r="R5" s="1438"/>
    </row>
    <row r="6" spans="1:18" s="670" customFormat="1" ht="20.25" customHeight="1">
      <c r="A6" s="669"/>
      <c r="G6" s="1437"/>
      <c r="H6" s="1438"/>
      <c r="I6" s="1438"/>
      <c r="J6" s="1438"/>
      <c r="K6" s="1438"/>
      <c r="N6" s="1438"/>
      <c r="O6" s="1438"/>
      <c r="P6" s="1438"/>
      <c r="Q6" s="1438"/>
      <c r="R6" s="1438"/>
    </row>
    <row r="7" spans="1:18" s="670" customFormat="1" ht="16.5" customHeight="1">
      <c r="A7" s="669"/>
      <c r="G7" s="1439" t="s">
        <v>390</v>
      </c>
      <c r="H7" s="1439"/>
      <c r="I7" s="1439"/>
      <c r="J7" s="1439"/>
      <c r="K7" s="1439"/>
      <c r="L7" s="668"/>
      <c r="M7" s="1440" t="s">
        <v>391</v>
      </c>
      <c r="N7" s="1440"/>
      <c r="O7" s="1440"/>
      <c r="P7" s="1440"/>
      <c r="Q7" s="1440"/>
      <c r="R7" s="1440"/>
    </row>
    <row r="8" spans="1:18" s="670" customFormat="1" ht="12.75" customHeight="1">
      <c r="A8" s="669"/>
      <c r="K8" s="673"/>
      <c r="L8" s="673"/>
      <c r="M8" s="673"/>
      <c r="N8" s="673"/>
      <c r="O8" s="673"/>
      <c r="P8" s="673"/>
      <c r="Q8" s="673"/>
      <c r="R8" s="674"/>
    </row>
    <row r="9" spans="1:18" s="670" customFormat="1" ht="12.75" customHeight="1">
      <c r="A9" s="669"/>
      <c r="K9" s="673"/>
      <c r="L9" s="673"/>
      <c r="M9" s="673"/>
      <c r="N9" s="673"/>
      <c r="O9" s="673"/>
      <c r="P9" s="673"/>
      <c r="Q9" s="673"/>
      <c r="R9" s="674"/>
    </row>
    <row r="10" spans="1:18" s="670" customFormat="1" ht="11.25" customHeight="1">
      <c r="A10" s="669"/>
      <c r="B10" s="675" t="s">
        <v>392</v>
      </c>
      <c r="G10" s="897">
        <v>30275</v>
      </c>
      <c r="H10" s="897">
        <v>37999</v>
      </c>
      <c r="I10" s="897">
        <v>0</v>
      </c>
      <c r="J10" s="897">
        <v>68274</v>
      </c>
      <c r="K10" s="898">
        <f>+G10+H10+I10-J10</f>
        <v>0</v>
      </c>
      <c r="L10" s="900"/>
      <c r="M10" s="900"/>
      <c r="N10" s="899">
        <v>363.90699999999998</v>
      </c>
      <c r="O10" s="904">
        <v>399.60572999999999</v>
      </c>
      <c r="P10" s="897">
        <v>0</v>
      </c>
      <c r="Q10" s="897">
        <v>731.1386</v>
      </c>
      <c r="R10" s="901">
        <v>0</v>
      </c>
    </row>
    <row r="11" spans="1:18" s="670" customFormat="1" ht="11.25" customHeight="1">
      <c r="A11" s="669"/>
      <c r="B11" s="675"/>
      <c r="G11" s="897"/>
      <c r="H11" s="897"/>
      <c r="I11" s="897"/>
      <c r="J11" s="897"/>
      <c r="K11" s="898"/>
      <c r="L11" s="900"/>
      <c r="M11" s="900"/>
      <c r="N11" s="899"/>
      <c r="O11" s="899"/>
      <c r="P11" s="899"/>
      <c r="Q11" s="899"/>
      <c r="R11" s="899"/>
    </row>
    <row r="12" spans="1:18" s="670" customFormat="1" ht="12.75" hidden="1" customHeight="1">
      <c r="A12" s="669"/>
      <c r="K12" s="675"/>
    </row>
    <row r="13" spans="1:18" s="670" customFormat="1" ht="12.75" hidden="1" customHeight="1">
      <c r="A13" s="669"/>
      <c r="K13" s="673"/>
      <c r="L13" s="673"/>
      <c r="M13" s="673"/>
      <c r="N13" s="673"/>
      <c r="O13" s="673"/>
      <c r="P13" s="673"/>
      <c r="Q13" s="673"/>
      <c r="R13" s="674"/>
    </row>
    <row r="14" spans="1:18" s="670" customFormat="1" ht="12.75" hidden="1" customHeight="1">
      <c r="A14" s="669"/>
      <c r="K14" s="679"/>
      <c r="L14" s="679"/>
      <c r="M14" s="679"/>
      <c r="N14" s="679"/>
      <c r="O14" s="679"/>
      <c r="P14" s="679"/>
      <c r="Q14" s="679"/>
      <c r="R14" s="674"/>
    </row>
    <row r="15" spans="1:18" s="670" customFormat="1" ht="12.75" hidden="1" customHeight="1">
      <c r="A15" s="669"/>
      <c r="K15" s="680"/>
      <c r="L15" s="681"/>
      <c r="M15" s="681"/>
      <c r="N15" s="681"/>
      <c r="O15" s="681"/>
      <c r="P15" s="681"/>
      <c r="Q15" s="682"/>
      <c r="R15" s="683"/>
    </row>
    <row r="16" spans="1:18" s="670" customFormat="1" ht="12.75" hidden="1" customHeight="1">
      <c r="A16" s="669"/>
      <c r="K16" s="684"/>
      <c r="L16" s="684"/>
      <c r="M16" s="684"/>
      <c r="N16" s="684"/>
      <c r="O16" s="684"/>
      <c r="P16" s="684"/>
      <c r="Q16" s="684"/>
      <c r="R16" s="684"/>
    </row>
    <row r="17" spans="1:19" s="670" customFormat="1" ht="18" customHeight="1">
      <c r="A17" s="669"/>
      <c r="G17" s="1433" t="s">
        <v>476</v>
      </c>
      <c r="H17" s="1433"/>
      <c r="I17" s="1433"/>
      <c r="J17" s="1433"/>
      <c r="K17" s="1433"/>
      <c r="L17" s="1434"/>
      <c r="M17" s="1433"/>
      <c r="N17" s="1433"/>
      <c r="O17" s="1433"/>
      <c r="P17" s="1433"/>
      <c r="Q17" s="1433"/>
      <c r="R17" s="1433"/>
    </row>
    <row r="18" spans="1:19" s="670" customFormat="1" ht="12.75" customHeight="1">
      <c r="A18" s="669"/>
      <c r="G18" s="1435" t="s">
        <v>386</v>
      </c>
      <c r="H18" s="1438" t="s">
        <v>387</v>
      </c>
      <c r="I18" s="1438" t="s">
        <v>388</v>
      </c>
      <c r="J18" s="1438" t="s">
        <v>389</v>
      </c>
      <c r="K18" s="1438" t="s">
        <v>393</v>
      </c>
      <c r="N18" s="1438" t="s">
        <v>386</v>
      </c>
      <c r="O18" s="1438" t="s">
        <v>387</v>
      </c>
      <c r="P18" s="1438" t="s">
        <v>388</v>
      </c>
      <c r="Q18" s="1438" t="s">
        <v>389</v>
      </c>
      <c r="R18" s="1438" t="s">
        <v>393</v>
      </c>
    </row>
    <row r="19" spans="1:19" s="670" customFormat="1" ht="12.75" customHeight="1">
      <c r="A19" s="669"/>
      <c r="G19" s="1436"/>
      <c r="H19" s="1438"/>
      <c r="I19" s="1438"/>
      <c r="J19" s="1438"/>
      <c r="K19" s="1438"/>
      <c r="N19" s="1438"/>
      <c r="O19" s="1438"/>
      <c r="P19" s="1438"/>
      <c r="Q19" s="1438"/>
      <c r="R19" s="1438"/>
    </row>
    <row r="20" spans="1:19" s="670" customFormat="1" ht="25.5" customHeight="1">
      <c r="A20" s="669"/>
      <c r="G20" s="1437"/>
      <c r="H20" s="1438"/>
      <c r="I20" s="1438"/>
      <c r="J20" s="1438"/>
      <c r="K20" s="1438"/>
      <c r="N20" s="1438"/>
      <c r="O20" s="1438"/>
      <c r="P20" s="1438"/>
      <c r="Q20" s="1438"/>
      <c r="R20" s="1438"/>
    </row>
    <row r="21" spans="1:19" s="670" customFormat="1" ht="14.25" customHeight="1">
      <c r="A21" s="669"/>
      <c r="G21" s="1439" t="s">
        <v>390</v>
      </c>
      <c r="H21" s="1439"/>
      <c r="I21" s="1439"/>
      <c r="J21" s="1439"/>
      <c r="K21" s="1439"/>
      <c r="L21" s="668"/>
      <c r="M21" s="1440" t="s">
        <v>391</v>
      </c>
      <c r="N21" s="1440"/>
      <c r="O21" s="1440"/>
      <c r="P21" s="1440"/>
      <c r="Q21" s="1440"/>
      <c r="R21" s="1440"/>
    </row>
    <row r="22" spans="1:19" s="670" customFormat="1" ht="8.25" customHeight="1">
      <c r="A22" s="669"/>
      <c r="K22" s="673"/>
      <c r="L22" s="673"/>
      <c r="M22" s="673"/>
      <c r="N22" s="673"/>
      <c r="O22" s="673"/>
      <c r="P22" s="673"/>
      <c r="Q22" s="673"/>
      <c r="R22" s="674"/>
    </row>
    <row r="23" spans="1:19" s="670" customFormat="1" ht="12.75" customHeight="1">
      <c r="A23" s="669"/>
      <c r="B23" s="677"/>
      <c r="K23" s="678"/>
      <c r="L23" s="676"/>
      <c r="M23" s="676"/>
      <c r="N23" s="676"/>
      <c r="O23" s="676"/>
      <c r="P23" s="676"/>
      <c r="Q23" s="676"/>
      <c r="R23" s="676"/>
    </row>
    <row r="24" spans="1:19" s="670" customFormat="1" ht="12.75" customHeight="1">
      <c r="A24" s="669"/>
      <c r="B24" s="675" t="s">
        <v>392</v>
      </c>
      <c r="G24" s="902">
        <v>0</v>
      </c>
      <c r="H24" s="897">
        <v>191721</v>
      </c>
      <c r="I24" s="897">
        <v>0</v>
      </c>
      <c r="J24" s="897">
        <f>73519-1</f>
        <v>73518</v>
      </c>
      <c r="K24" s="898">
        <f>+G24+H24+I24-J24</f>
        <v>118203</v>
      </c>
      <c r="L24" s="676"/>
      <c r="M24" s="676"/>
      <c r="N24" s="897">
        <v>0</v>
      </c>
      <c r="O24" s="897">
        <v>2596</v>
      </c>
      <c r="P24" s="897">
        <v>0</v>
      </c>
      <c r="Q24" s="897">
        <v>1005</v>
      </c>
      <c r="R24" s="897">
        <v>1586</v>
      </c>
      <c r="S24" s="903"/>
    </row>
    <row r="25" spans="1:19" s="670" customFormat="1" ht="13.8">
      <c r="A25" s="669"/>
    </row>
    <row r="26" spans="1:19" s="670" customFormat="1" ht="13.8">
      <c r="A26" s="669"/>
    </row>
  </sheetData>
  <mergeCells count="26">
    <mergeCell ref="G21:K21"/>
    <mergeCell ref="M21:R21"/>
    <mergeCell ref="G7:K7"/>
    <mergeCell ref="M7:R7"/>
    <mergeCell ref="G17:R17"/>
    <mergeCell ref="G18:G20"/>
    <mergeCell ref="H18:H20"/>
    <mergeCell ref="I18:I20"/>
    <mergeCell ref="J18:J20"/>
    <mergeCell ref="K18:K20"/>
    <mergeCell ref="N18:N20"/>
    <mergeCell ref="O18:O20"/>
    <mergeCell ref="P18:P20"/>
    <mergeCell ref="Q18:Q20"/>
    <mergeCell ref="R18:R20"/>
    <mergeCell ref="G3:R3"/>
    <mergeCell ref="G4:G6"/>
    <mergeCell ref="H4:H6"/>
    <mergeCell ref="I4:I6"/>
    <mergeCell ref="J4:J6"/>
    <mergeCell ref="K4:K6"/>
    <mergeCell ref="N4:N6"/>
    <mergeCell ref="O4:O6"/>
    <mergeCell ref="P4:P6"/>
    <mergeCell ref="Q4:Q6"/>
    <mergeCell ref="R4:R6"/>
  </mergeCells>
  <pageMargins left="0.46" right="0.44" top="0.89" bottom="0.74803149606299213" header="0.31496062992125984" footer="0.31496062992125984"/>
  <pageSetup paperSize="9" scale="87"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O177"/>
  <sheetViews>
    <sheetView topLeftCell="A6" zoomScale="64" zoomScaleNormal="64" workbookViewId="0">
      <selection activeCell="F6" sqref="F6"/>
    </sheetView>
  </sheetViews>
  <sheetFormatPr defaultColWidth="9.109375" defaultRowHeight="14.4"/>
  <cols>
    <col min="1" max="1" width="14.33203125" style="864" bestFit="1" customWidth="1"/>
    <col min="2" max="2" width="84.6640625" style="864" bestFit="1" customWidth="1"/>
    <col min="3" max="4" width="14.6640625" style="864" bestFit="1" customWidth="1"/>
    <col min="5" max="5" width="13.44140625" style="864" bestFit="1" customWidth="1"/>
    <col min="6" max="6" width="13.6640625" style="864" bestFit="1" customWidth="1"/>
    <col min="7" max="7" width="18.5546875" style="867" bestFit="1" customWidth="1"/>
    <col min="8" max="9" width="8.88671875" style="864"/>
    <col min="10" max="10" width="12.33203125" style="864" bestFit="1" customWidth="1"/>
    <col min="11" max="11" width="62.5546875" style="864" customWidth="1"/>
    <col min="12" max="14" width="15.33203125" style="864" bestFit="1" customWidth="1"/>
    <col min="15" max="15" width="12.88671875" style="864" bestFit="1" customWidth="1"/>
    <col min="16" max="16384" width="9.109375" style="864"/>
  </cols>
  <sheetData>
    <row r="1" spans="1:14">
      <c r="A1" s="867" t="s">
        <v>442</v>
      </c>
    </row>
    <row r="2" spans="1:14">
      <c r="A2" s="867" t="s">
        <v>443</v>
      </c>
      <c r="B2" s="867" t="s">
        <v>444</v>
      </c>
      <c r="C2" s="865" t="s">
        <v>445</v>
      </c>
      <c r="D2" s="865" t="s">
        <v>446</v>
      </c>
      <c r="E2" s="865" t="s">
        <v>452</v>
      </c>
      <c r="F2" s="866" t="s">
        <v>453</v>
      </c>
      <c r="G2" s="867" t="s">
        <v>455</v>
      </c>
      <c r="J2" s="884" t="s">
        <v>443</v>
      </c>
      <c r="K2" s="884" t="s">
        <v>444</v>
      </c>
      <c r="L2" s="864" t="s">
        <v>445</v>
      </c>
      <c r="M2" s="864" t="s">
        <v>446</v>
      </c>
    </row>
    <row r="3" spans="1:14">
      <c r="A3" s="876">
        <v>10100100001</v>
      </c>
      <c r="B3" s="864" t="s">
        <v>1</v>
      </c>
      <c r="C3" s="864">
        <f t="shared" ref="C3:C22" si="0">+IFERROR(VLOOKUP(A3,$J$3:$M$146,3,0),0)</f>
        <v>134296340.36000001</v>
      </c>
      <c r="D3" s="864">
        <f t="shared" ref="D3:D22" si="1">+IFERROR(VLOOKUP(A3,$J$3:$M$146,4,0),0)</f>
        <v>0</v>
      </c>
      <c r="E3" s="864">
        <f>+C3-D3</f>
        <v>134296340.36000001</v>
      </c>
      <c r="F3" s="864">
        <f>+E3/1000</f>
        <v>134296.34036</v>
      </c>
      <c r="J3" s="875">
        <v>10100100001</v>
      </c>
      <c r="K3" s="1066" t="s">
        <v>1</v>
      </c>
      <c r="L3" s="864">
        <v>134296340.36000001</v>
      </c>
      <c r="M3" s="864">
        <v>0</v>
      </c>
      <c r="N3" s="953">
        <v>10100100001</v>
      </c>
    </row>
    <row r="4" spans="1:14">
      <c r="A4" s="876">
        <v>10100100005</v>
      </c>
      <c r="B4" s="864" t="s">
        <v>2</v>
      </c>
      <c r="C4" s="864">
        <f t="shared" si="0"/>
        <v>31042.99</v>
      </c>
      <c r="D4" s="864">
        <f t="shared" si="1"/>
        <v>0</v>
      </c>
      <c r="E4" s="864">
        <f t="shared" ref="E4:E70" si="2">+C4-D4</f>
        <v>31042.99</v>
      </c>
      <c r="F4" s="864">
        <f t="shared" ref="F4:F70" si="3">+E4/1000</f>
        <v>31.042990000000003</v>
      </c>
      <c r="J4" s="875">
        <v>10100100005</v>
      </c>
      <c r="K4" s="1066" t="s">
        <v>2</v>
      </c>
      <c r="L4" s="864">
        <v>31042.99</v>
      </c>
      <c r="M4" s="864">
        <v>0</v>
      </c>
      <c r="N4" s="953">
        <v>10100100005</v>
      </c>
    </row>
    <row r="5" spans="1:14">
      <c r="A5" s="876">
        <v>10100100014</v>
      </c>
      <c r="B5" s="864" t="s">
        <v>3</v>
      </c>
      <c r="C5" s="864">
        <f t="shared" si="0"/>
        <v>9214417.7400000002</v>
      </c>
      <c r="D5" s="864">
        <f t="shared" si="1"/>
        <v>0</v>
      </c>
      <c r="E5" s="864">
        <f t="shared" si="2"/>
        <v>9214417.7400000002</v>
      </c>
      <c r="F5" s="864">
        <f t="shared" si="3"/>
        <v>9214.4177400000008</v>
      </c>
      <c r="J5" s="875">
        <v>10100100014</v>
      </c>
      <c r="K5" s="1066" t="s">
        <v>3</v>
      </c>
      <c r="L5" s="864">
        <v>9214417.7400000002</v>
      </c>
      <c r="M5" s="864">
        <v>0</v>
      </c>
      <c r="N5" s="953">
        <v>10100100014</v>
      </c>
    </row>
    <row r="6" spans="1:14">
      <c r="A6" s="876">
        <v>10100100017</v>
      </c>
      <c r="B6" s="864" t="s">
        <v>4</v>
      </c>
      <c r="C6" s="864">
        <f t="shared" si="0"/>
        <v>471711.85000000003</v>
      </c>
      <c r="D6" s="864">
        <f t="shared" si="1"/>
        <v>0</v>
      </c>
      <c r="E6" s="864">
        <f t="shared" si="2"/>
        <v>471711.85000000003</v>
      </c>
      <c r="F6" s="864">
        <f t="shared" si="3"/>
        <v>471.71185000000003</v>
      </c>
      <c r="G6" s="1021">
        <f>F6/1000</f>
        <v>0.47171185000000004</v>
      </c>
      <c r="J6" s="875">
        <v>10100100017</v>
      </c>
      <c r="K6" s="1066" t="s">
        <v>4</v>
      </c>
      <c r="L6" s="864">
        <v>471711.85000000003</v>
      </c>
      <c r="M6" s="864">
        <v>0</v>
      </c>
      <c r="N6" s="953">
        <v>10100100017</v>
      </c>
    </row>
    <row r="7" spans="1:14">
      <c r="A7" s="876">
        <v>10100100021</v>
      </c>
      <c r="B7" s="864" t="s">
        <v>5</v>
      </c>
      <c r="C7" s="864">
        <f t="shared" si="0"/>
        <v>8172.93</v>
      </c>
      <c r="D7" s="864">
        <f t="shared" si="1"/>
        <v>0</v>
      </c>
      <c r="E7" s="864">
        <f t="shared" si="2"/>
        <v>8172.93</v>
      </c>
      <c r="F7" s="864">
        <f t="shared" si="3"/>
        <v>8.1729300000000009</v>
      </c>
      <c r="G7" s="1021">
        <f>F7/1000</f>
        <v>8.1729300000000001E-3</v>
      </c>
      <c r="J7" s="875">
        <v>10100100021</v>
      </c>
      <c r="K7" s="1066" t="s">
        <v>5</v>
      </c>
      <c r="L7" s="864">
        <v>8172.93</v>
      </c>
      <c r="M7" s="864">
        <v>0</v>
      </c>
      <c r="N7" s="953">
        <v>10100100021</v>
      </c>
    </row>
    <row r="8" spans="1:14">
      <c r="A8" s="876">
        <v>10100100026</v>
      </c>
      <c r="B8" s="864" t="s">
        <v>6</v>
      </c>
      <c r="C8" s="864">
        <f t="shared" si="0"/>
        <v>0</v>
      </c>
      <c r="D8" s="864">
        <f t="shared" si="1"/>
        <v>0</v>
      </c>
      <c r="E8" s="864">
        <f t="shared" si="2"/>
        <v>0</v>
      </c>
      <c r="F8" s="864">
        <f t="shared" si="3"/>
        <v>0</v>
      </c>
      <c r="J8" s="875">
        <v>10100100033</v>
      </c>
      <c r="K8" s="1066" t="s">
        <v>7</v>
      </c>
      <c r="L8" s="864">
        <v>1074724</v>
      </c>
      <c r="M8" s="864">
        <v>0</v>
      </c>
      <c r="N8" s="953">
        <v>10100100033</v>
      </c>
    </row>
    <row r="9" spans="1:14">
      <c r="A9" s="876">
        <v>10100100033</v>
      </c>
      <c r="B9" s="864" t="s">
        <v>7</v>
      </c>
      <c r="C9" s="864">
        <f t="shared" si="0"/>
        <v>1074724</v>
      </c>
      <c r="D9" s="864">
        <f t="shared" si="1"/>
        <v>0</v>
      </c>
      <c r="E9" s="864">
        <f t="shared" si="2"/>
        <v>1074724</v>
      </c>
      <c r="F9" s="864">
        <f t="shared" si="3"/>
        <v>1074.7239999999999</v>
      </c>
      <c r="J9" s="875">
        <v>10100100034</v>
      </c>
      <c r="K9" s="1066" t="s">
        <v>8</v>
      </c>
      <c r="L9" s="864">
        <v>879293</v>
      </c>
      <c r="M9" s="864">
        <v>0</v>
      </c>
      <c r="N9" s="953">
        <v>10100100034</v>
      </c>
    </row>
    <row r="10" spans="1:14">
      <c r="A10" s="876">
        <v>10100100034</v>
      </c>
      <c r="B10" s="864" t="s">
        <v>8</v>
      </c>
      <c r="C10" s="864">
        <f t="shared" si="0"/>
        <v>879293</v>
      </c>
      <c r="D10" s="864">
        <f t="shared" si="1"/>
        <v>0</v>
      </c>
      <c r="E10" s="864">
        <f t="shared" si="2"/>
        <v>879293</v>
      </c>
      <c r="F10" s="864">
        <f t="shared" si="3"/>
        <v>879.29300000000001</v>
      </c>
      <c r="J10" s="875">
        <v>10100100040</v>
      </c>
      <c r="K10" s="1066" t="s">
        <v>9</v>
      </c>
      <c r="L10" s="864">
        <v>20353.27</v>
      </c>
      <c r="M10" s="864">
        <v>0</v>
      </c>
      <c r="N10" s="953">
        <v>10100100040</v>
      </c>
    </row>
    <row r="11" spans="1:14">
      <c r="A11" s="876">
        <v>10100100040</v>
      </c>
      <c r="B11" s="864" t="s">
        <v>9</v>
      </c>
      <c r="C11" s="864">
        <f t="shared" si="0"/>
        <v>20353.27</v>
      </c>
      <c r="D11" s="864">
        <f t="shared" si="1"/>
        <v>0</v>
      </c>
      <c r="E11" s="864">
        <f t="shared" si="2"/>
        <v>20353.27</v>
      </c>
      <c r="F11" s="864">
        <f t="shared" si="3"/>
        <v>20.353270000000002</v>
      </c>
      <c r="J11" s="875">
        <v>10100100044</v>
      </c>
      <c r="K11" s="1066" t="s">
        <v>664</v>
      </c>
      <c r="L11" s="864">
        <v>824443.70000000007</v>
      </c>
      <c r="M11" s="864">
        <v>0</v>
      </c>
      <c r="N11" s="953">
        <v>10100100044</v>
      </c>
    </row>
    <row r="12" spans="1:14">
      <c r="A12" s="876">
        <v>10100100044</v>
      </c>
      <c r="B12" s="864" t="s">
        <v>10</v>
      </c>
      <c r="C12" s="864">
        <f t="shared" si="0"/>
        <v>824443.70000000007</v>
      </c>
      <c r="D12" s="864">
        <f t="shared" si="1"/>
        <v>0</v>
      </c>
      <c r="E12" s="864">
        <f t="shared" si="2"/>
        <v>824443.70000000007</v>
      </c>
      <c r="F12" s="864">
        <f t="shared" si="3"/>
        <v>824.44370000000004</v>
      </c>
      <c r="H12" s="1022">
        <f>1387/1000</f>
        <v>1.387</v>
      </c>
      <c r="J12" s="875">
        <v>10100100054</v>
      </c>
      <c r="K12" s="1066" t="s">
        <v>11</v>
      </c>
      <c r="L12" s="864">
        <v>1619169.08</v>
      </c>
      <c r="M12" s="864">
        <v>0</v>
      </c>
      <c r="N12" s="953">
        <v>10100100054</v>
      </c>
    </row>
    <row r="13" spans="1:14">
      <c r="A13" s="876">
        <v>10100100054</v>
      </c>
      <c r="B13" s="864" t="s">
        <v>11</v>
      </c>
      <c r="C13" s="864">
        <f t="shared" si="0"/>
        <v>1619169.08</v>
      </c>
      <c r="D13" s="864">
        <f t="shared" si="1"/>
        <v>0</v>
      </c>
      <c r="E13" s="864">
        <f t="shared" si="2"/>
        <v>1619169.08</v>
      </c>
      <c r="F13" s="864">
        <f t="shared" si="3"/>
        <v>1619.1690800000001</v>
      </c>
      <c r="J13" s="875">
        <v>10100100069</v>
      </c>
      <c r="K13" s="1066" t="s">
        <v>12</v>
      </c>
      <c r="L13" s="864">
        <v>6296</v>
      </c>
      <c r="M13" s="864">
        <v>0</v>
      </c>
      <c r="N13" s="953">
        <v>10100100069</v>
      </c>
    </row>
    <row r="14" spans="1:14">
      <c r="A14" s="876">
        <v>10100100069</v>
      </c>
      <c r="B14" s="864" t="s">
        <v>12</v>
      </c>
      <c r="C14" s="864">
        <f t="shared" si="0"/>
        <v>6296</v>
      </c>
      <c r="D14" s="864">
        <f t="shared" si="1"/>
        <v>0</v>
      </c>
      <c r="E14" s="864">
        <f t="shared" si="2"/>
        <v>6296</v>
      </c>
      <c r="F14" s="864">
        <f t="shared" si="3"/>
        <v>6.2960000000000003</v>
      </c>
      <c r="J14" s="875">
        <v>10100100072</v>
      </c>
      <c r="K14" s="1066" t="s">
        <v>13</v>
      </c>
      <c r="L14" s="864">
        <v>15355</v>
      </c>
      <c r="M14" s="864">
        <v>0</v>
      </c>
      <c r="N14" s="953">
        <v>10100100072</v>
      </c>
    </row>
    <row r="15" spans="1:14">
      <c r="A15" s="875">
        <v>10100100075</v>
      </c>
      <c r="B15" s="884" t="s">
        <v>501</v>
      </c>
      <c r="C15" s="864">
        <f t="shared" si="0"/>
        <v>12876.78</v>
      </c>
      <c r="D15" s="864">
        <f t="shared" si="1"/>
        <v>0</v>
      </c>
      <c r="E15" s="864">
        <f t="shared" si="2"/>
        <v>12876.78</v>
      </c>
      <c r="F15" s="864">
        <f t="shared" si="3"/>
        <v>12.87678</v>
      </c>
      <c r="J15" s="875">
        <v>10100100075</v>
      </c>
      <c r="K15" s="1066" t="s">
        <v>501</v>
      </c>
      <c r="L15" s="864">
        <v>12876.78</v>
      </c>
      <c r="M15" s="864">
        <v>0</v>
      </c>
      <c r="N15" s="953">
        <v>10100100075</v>
      </c>
    </row>
    <row r="16" spans="1:14">
      <c r="A16" s="876">
        <v>10100100072</v>
      </c>
      <c r="B16" s="864" t="s">
        <v>13</v>
      </c>
      <c r="C16" s="864">
        <f t="shared" si="0"/>
        <v>15355</v>
      </c>
      <c r="D16" s="864">
        <f t="shared" si="1"/>
        <v>0</v>
      </c>
      <c r="E16" s="864">
        <f t="shared" si="2"/>
        <v>15355</v>
      </c>
      <c r="F16" s="864">
        <f t="shared" si="3"/>
        <v>15.355</v>
      </c>
      <c r="J16" s="875">
        <v>10100100087</v>
      </c>
      <c r="K16" s="1066" t="s">
        <v>14</v>
      </c>
      <c r="L16" s="864">
        <v>42790.55</v>
      </c>
      <c r="M16" s="864">
        <v>0</v>
      </c>
      <c r="N16" s="953">
        <v>10100100087</v>
      </c>
    </row>
    <row r="17" spans="1:15">
      <c r="A17" s="876">
        <v>10100100087</v>
      </c>
      <c r="B17" s="864" t="s">
        <v>14</v>
      </c>
      <c r="C17" s="864">
        <f t="shared" si="0"/>
        <v>42790.55</v>
      </c>
      <c r="D17" s="864">
        <f t="shared" si="1"/>
        <v>0</v>
      </c>
      <c r="E17" s="864">
        <f t="shared" si="2"/>
        <v>42790.55</v>
      </c>
      <c r="F17" s="864">
        <f t="shared" si="3"/>
        <v>42.790550000000003</v>
      </c>
      <c r="J17" s="875">
        <v>10100100100</v>
      </c>
      <c r="K17" s="1066" t="s">
        <v>307</v>
      </c>
      <c r="L17" s="864">
        <v>141073.97</v>
      </c>
      <c r="M17" s="864">
        <v>0</v>
      </c>
      <c r="N17" s="953">
        <v>10100100100</v>
      </c>
    </row>
    <row r="18" spans="1:15">
      <c r="A18" s="876">
        <v>10100100122</v>
      </c>
      <c r="B18" s="864" t="s">
        <v>616</v>
      </c>
      <c r="C18" s="864">
        <f t="shared" si="0"/>
        <v>7451</v>
      </c>
      <c r="D18" s="864">
        <f t="shared" si="1"/>
        <v>0</v>
      </c>
      <c r="E18" s="864">
        <f t="shared" si="2"/>
        <v>7451</v>
      </c>
      <c r="F18" s="864">
        <f t="shared" si="3"/>
        <v>7.4509999999999996</v>
      </c>
      <c r="G18" s="867">
        <f>ROUND(+SUM(F3:F19),0)</f>
        <v>148666</v>
      </c>
      <c r="J18" s="875">
        <v>10100100122</v>
      </c>
      <c r="K18" s="1066" t="s">
        <v>665</v>
      </c>
      <c r="L18" s="864">
        <v>7451</v>
      </c>
      <c r="M18" s="864">
        <v>0</v>
      </c>
      <c r="N18" s="953">
        <v>10100100122</v>
      </c>
    </row>
    <row r="19" spans="1:15">
      <c r="A19" s="876">
        <v>10100100100</v>
      </c>
      <c r="B19" s="864" t="s">
        <v>307</v>
      </c>
      <c r="C19" s="864">
        <f t="shared" si="0"/>
        <v>141073.97</v>
      </c>
      <c r="D19" s="864">
        <f t="shared" si="1"/>
        <v>0</v>
      </c>
      <c r="E19" s="864">
        <f t="shared" si="2"/>
        <v>141073.97</v>
      </c>
      <c r="F19" s="864">
        <f t="shared" si="3"/>
        <v>141.07397</v>
      </c>
      <c r="J19" s="875">
        <v>10300100001</v>
      </c>
      <c r="K19" s="1066" t="s">
        <v>20</v>
      </c>
      <c r="L19" s="864">
        <v>407197740.48000002</v>
      </c>
      <c r="M19" s="864">
        <v>0</v>
      </c>
      <c r="N19" s="953">
        <v>10300100001</v>
      </c>
      <c r="O19" s="864">
        <f>+L19-M20</f>
        <v>297051232.46000004</v>
      </c>
    </row>
    <row r="20" spans="1:15">
      <c r="A20" s="876">
        <v>10300100001</v>
      </c>
      <c r="B20" s="864" t="s">
        <v>20</v>
      </c>
      <c r="C20" s="864">
        <f t="shared" si="0"/>
        <v>407197740.48000002</v>
      </c>
      <c r="D20" s="864">
        <f t="shared" si="1"/>
        <v>0</v>
      </c>
      <c r="E20" s="864">
        <f t="shared" si="2"/>
        <v>407197740.48000002</v>
      </c>
      <c r="F20" s="864">
        <f t="shared" si="3"/>
        <v>407197.74048000004</v>
      </c>
      <c r="G20" s="867">
        <f>+F20+F21</f>
        <v>297051.23246000003</v>
      </c>
      <c r="J20" s="875">
        <v>10300100002</v>
      </c>
      <c r="K20" s="1066" t="s">
        <v>308</v>
      </c>
      <c r="L20" s="864">
        <v>0</v>
      </c>
      <c r="M20" s="864">
        <v>110146508.02</v>
      </c>
      <c r="N20" s="953">
        <v>10300100002</v>
      </c>
    </row>
    <row r="21" spans="1:15">
      <c r="A21" s="876">
        <v>10300100002</v>
      </c>
      <c r="B21" s="864" t="s">
        <v>308</v>
      </c>
      <c r="C21" s="864">
        <f t="shared" si="0"/>
        <v>0</v>
      </c>
      <c r="D21" s="864">
        <f t="shared" si="1"/>
        <v>110146508.02</v>
      </c>
      <c r="E21" s="864">
        <f t="shared" si="2"/>
        <v>-110146508.02</v>
      </c>
      <c r="F21" s="864">
        <f t="shared" si="3"/>
        <v>-110146.50801999999</v>
      </c>
      <c r="J21" s="875">
        <v>10300300002</v>
      </c>
      <c r="K21" s="1066" t="s">
        <v>21</v>
      </c>
      <c r="L21" s="864">
        <v>0</v>
      </c>
      <c r="M21" s="864">
        <v>21</v>
      </c>
      <c r="N21" s="953">
        <v>10300300002</v>
      </c>
      <c r="O21" s="864">
        <f>+O19+10879765</f>
        <v>307930997.46000004</v>
      </c>
    </row>
    <row r="22" spans="1:15">
      <c r="A22" s="876">
        <v>10300300002</v>
      </c>
      <c r="B22" s="864" t="s">
        <v>21</v>
      </c>
      <c r="C22" s="864">
        <f t="shared" si="0"/>
        <v>0</v>
      </c>
      <c r="D22" s="864">
        <f t="shared" si="1"/>
        <v>21</v>
      </c>
      <c r="E22" s="864">
        <f t="shared" si="2"/>
        <v>-21</v>
      </c>
      <c r="F22" s="864">
        <f t="shared" si="3"/>
        <v>-2.1000000000000001E-2</v>
      </c>
      <c r="G22" s="867">
        <v>0</v>
      </c>
      <c r="J22" s="875">
        <v>10300300003</v>
      </c>
      <c r="K22" s="1066" t="s">
        <v>22</v>
      </c>
      <c r="L22" s="864">
        <v>67.739999999999995</v>
      </c>
      <c r="M22" s="864">
        <v>0</v>
      </c>
      <c r="N22" s="953">
        <v>10300300003</v>
      </c>
    </row>
    <row r="23" spans="1:15">
      <c r="A23" s="875">
        <v>10300400001</v>
      </c>
      <c r="B23" s="1066" t="s">
        <v>666</v>
      </c>
      <c r="C23" s="864">
        <f t="shared" ref="C23" si="4">+IFERROR(VLOOKUP(A23,$J$3:$M$146,3,0),0)</f>
        <v>0</v>
      </c>
      <c r="D23" s="864">
        <f t="shared" ref="D23" si="5">+IFERROR(VLOOKUP(A23,$J$3:$M$146,4,0),0)</f>
        <v>0</v>
      </c>
      <c r="E23" s="864">
        <f t="shared" ref="E23" si="6">+C23-D23</f>
        <v>0</v>
      </c>
      <c r="F23" s="864">
        <f t="shared" ref="F23" si="7">+E23/1000</f>
        <v>0</v>
      </c>
      <c r="G23" s="867">
        <f>+SUM(F23:F25)</f>
        <v>1.0000000000000026E-5</v>
      </c>
      <c r="J23" s="875">
        <v>10300400002</v>
      </c>
      <c r="K23" s="1066" t="s">
        <v>575</v>
      </c>
      <c r="L23" s="864">
        <v>0</v>
      </c>
      <c r="M23" s="864">
        <v>0.45</v>
      </c>
      <c r="N23" s="953">
        <v>10300400002</v>
      </c>
    </row>
    <row r="24" spans="1:15">
      <c r="A24" s="876">
        <v>10300400002</v>
      </c>
      <c r="B24" s="864" t="s">
        <v>575</v>
      </c>
      <c r="C24" s="864">
        <f t="shared" ref="C24:C67" si="8">+IFERROR(VLOOKUP(A24,$J$3:$M$146,3,0),0)</f>
        <v>0</v>
      </c>
      <c r="D24" s="864">
        <f t="shared" ref="D24:D67" si="9">+IFERROR(VLOOKUP(A24,$J$3:$M$146,4,0),0)</f>
        <v>0.45</v>
      </c>
      <c r="E24" s="864">
        <f t="shared" si="2"/>
        <v>-0.45</v>
      </c>
      <c r="F24" s="864">
        <f t="shared" si="3"/>
        <v>-4.4999999999999999E-4</v>
      </c>
      <c r="J24" s="875">
        <v>10300400003</v>
      </c>
      <c r="K24" s="1066" t="s">
        <v>576</v>
      </c>
      <c r="L24" s="864">
        <v>0.46</v>
      </c>
      <c r="M24" s="864">
        <v>0</v>
      </c>
      <c r="N24" s="953">
        <v>10300400003</v>
      </c>
      <c r="O24" s="864">
        <f>+L23-M24-M25</f>
        <v>0</v>
      </c>
    </row>
    <row r="25" spans="1:15">
      <c r="A25" s="876">
        <v>10300400003</v>
      </c>
      <c r="B25" s="864" t="s">
        <v>576</v>
      </c>
      <c r="C25" s="864">
        <f t="shared" si="8"/>
        <v>0.46</v>
      </c>
      <c r="D25" s="864">
        <f t="shared" si="9"/>
        <v>0</v>
      </c>
      <c r="E25" s="864">
        <f t="shared" si="2"/>
        <v>0.46</v>
      </c>
      <c r="F25" s="864">
        <f t="shared" si="3"/>
        <v>4.6000000000000001E-4</v>
      </c>
      <c r="J25" s="875">
        <v>10300900001</v>
      </c>
      <c r="K25" s="1066" t="s">
        <v>17</v>
      </c>
      <c r="L25" s="864">
        <v>499879.67</v>
      </c>
      <c r="M25" s="864">
        <v>0</v>
      </c>
      <c r="N25" s="953">
        <v>10300900001</v>
      </c>
    </row>
    <row r="26" spans="1:15">
      <c r="A26" s="876">
        <v>10300300003</v>
      </c>
      <c r="B26" s="864" t="s">
        <v>22</v>
      </c>
      <c r="C26" s="864">
        <f t="shared" si="8"/>
        <v>67.739999999999995</v>
      </c>
      <c r="D26" s="864">
        <f t="shared" si="9"/>
        <v>0</v>
      </c>
      <c r="E26" s="864">
        <f t="shared" si="2"/>
        <v>67.739999999999995</v>
      </c>
      <c r="F26" s="864">
        <f t="shared" si="3"/>
        <v>6.7739999999999995E-2</v>
      </c>
      <c r="G26" s="867">
        <f>+SUM(F27)</f>
        <v>499.87966999999998</v>
      </c>
      <c r="J26" s="875">
        <v>10300900002</v>
      </c>
      <c r="K26" s="1066" t="s">
        <v>18</v>
      </c>
      <c r="L26" s="864">
        <v>1693808.4100000001</v>
      </c>
      <c r="M26" s="864">
        <v>0</v>
      </c>
      <c r="N26" s="953">
        <v>10300900002</v>
      </c>
      <c r="O26" s="864">
        <f>+L26+L27-M28</f>
        <v>1693808.4100000001</v>
      </c>
    </row>
    <row r="27" spans="1:15">
      <c r="A27" s="876">
        <v>10300900001</v>
      </c>
      <c r="B27" s="864" t="s">
        <v>17</v>
      </c>
      <c r="C27" s="864">
        <f t="shared" si="8"/>
        <v>499879.67</v>
      </c>
      <c r="D27" s="864">
        <f t="shared" si="9"/>
        <v>0</v>
      </c>
      <c r="E27" s="864">
        <f t="shared" si="2"/>
        <v>499879.67</v>
      </c>
      <c r="F27" s="864">
        <f t="shared" si="3"/>
        <v>499.87966999999998</v>
      </c>
      <c r="J27" s="875">
        <v>10300900003</v>
      </c>
      <c r="K27" s="1066" t="s">
        <v>19</v>
      </c>
      <c r="L27" s="864">
        <v>0</v>
      </c>
      <c r="M27" s="864">
        <v>1692931.32</v>
      </c>
      <c r="N27" s="953">
        <v>10300900003</v>
      </c>
    </row>
    <row r="28" spans="1:15">
      <c r="A28" s="876">
        <v>10300900002</v>
      </c>
      <c r="B28" s="864" t="s">
        <v>18</v>
      </c>
      <c r="C28" s="864">
        <f t="shared" si="8"/>
        <v>1693808.4100000001</v>
      </c>
      <c r="D28" s="864">
        <f t="shared" si="9"/>
        <v>0</v>
      </c>
      <c r="E28" s="864">
        <f t="shared" si="2"/>
        <v>1693808.4100000001</v>
      </c>
      <c r="F28" s="864">
        <f t="shared" si="3"/>
        <v>1693.8084100000001</v>
      </c>
      <c r="G28" s="867">
        <f>+SUM(F27:F28)</f>
        <v>2193.6880799999999</v>
      </c>
      <c r="J28" s="875">
        <v>10301000001</v>
      </c>
      <c r="K28" s="1066" t="s">
        <v>15</v>
      </c>
      <c r="L28" s="864">
        <v>3128.2400000000002</v>
      </c>
      <c r="M28" s="864">
        <v>0</v>
      </c>
      <c r="N28" s="953">
        <v>10301000001</v>
      </c>
    </row>
    <row r="29" spans="1:15">
      <c r="A29" s="876">
        <v>10300900003</v>
      </c>
      <c r="B29" s="864" t="s">
        <v>19</v>
      </c>
      <c r="C29" s="864">
        <f t="shared" si="8"/>
        <v>0</v>
      </c>
      <c r="D29" s="864">
        <f t="shared" si="9"/>
        <v>1692931.32</v>
      </c>
      <c r="E29" s="864">
        <f t="shared" si="2"/>
        <v>-1692931.32</v>
      </c>
      <c r="F29" s="864">
        <f t="shared" si="3"/>
        <v>-1692.9313200000001</v>
      </c>
      <c r="G29" s="867">
        <f>+F29</f>
        <v>-1692.9313200000001</v>
      </c>
      <c r="J29" s="875">
        <v>10301000002</v>
      </c>
      <c r="K29" s="1066" t="s">
        <v>16</v>
      </c>
      <c r="L29" s="864">
        <v>0</v>
      </c>
      <c r="M29" s="864">
        <v>3129.01</v>
      </c>
      <c r="N29" s="953">
        <v>10301000002</v>
      </c>
    </row>
    <row r="30" spans="1:15">
      <c r="A30" s="876">
        <v>10301000001</v>
      </c>
      <c r="B30" s="864" t="s">
        <v>15</v>
      </c>
      <c r="C30" s="864">
        <f t="shared" si="8"/>
        <v>3128.2400000000002</v>
      </c>
      <c r="D30" s="864">
        <f t="shared" si="9"/>
        <v>0</v>
      </c>
      <c r="E30" s="864">
        <f t="shared" si="2"/>
        <v>3128.2400000000002</v>
      </c>
      <c r="F30" s="864">
        <f t="shared" si="3"/>
        <v>3.1282400000000004</v>
      </c>
      <c r="G30" s="867">
        <f>+F30</f>
        <v>3.1282400000000004</v>
      </c>
      <c r="J30" s="875">
        <v>10303600000</v>
      </c>
      <c r="K30" s="1066" t="s">
        <v>617</v>
      </c>
      <c r="L30" s="864">
        <v>0</v>
      </c>
      <c r="M30" s="864">
        <v>400792.9</v>
      </c>
      <c r="N30" s="953">
        <v>10303600000</v>
      </c>
    </row>
    <row r="31" spans="1:15">
      <c r="A31" s="876">
        <v>10301000002</v>
      </c>
      <c r="B31" s="864" t="s">
        <v>16</v>
      </c>
      <c r="C31" s="864">
        <f t="shared" si="8"/>
        <v>0</v>
      </c>
      <c r="D31" s="864">
        <f t="shared" si="9"/>
        <v>3129.01</v>
      </c>
      <c r="E31" s="864">
        <f t="shared" si="2"/>
        <v>-3129.01</v>
      </c>
      <c r="F31" s="864">
        <f t="shared" si="3"/>
        <v>-3.1290100000000001</v>
      </c>
      <c r="J31" s="875">
        <v>10303600003</v>
      </c>
      <c r="K31" s="1066" t="s">
        <v>618</v>
      </c>
      <c r="L31" s="864">
        <v>400792.8</v>
      </c>
      <c r="M31" s="864">
        <v>0</v>
      </c>
      <c r="N31" s="953">
        <v>10303600003</v>
      </c>
    </row>
    <row r="32" spans="1:15">
      <c r="A32" s="876">
        <v>10303600000</v>
      </c>
      <c r="B32" s="864" t="s">
        <v>617</v>
      </c>
      <c r="C32" s="864">
        <f t="shared" si="8"/>
        <v>0</v>
      </c>
      <c r="D32" s="864">
        <f t="shared" si="9"/>
        <v>400792.9</v>
      </c>
      <c r="E32" s="864">
        <f t="shared" si="2"/>
        <v>-400792.9</v>
      </c>
      <c r="F32" s="864">
        <f t="shared" si="3"/>
        <v>-400.79290000000003</v>
      </c>
      <c r="J32" s="875">
        <v>10500100001</v>
      </c>
      <c r="K32" s="1066" t="s">
        <v>23</v>
      </c>
      <c r="L32" s="864">
        <v>7315638.0300000003</v>
      </c>
      <c r="M32" s="864">
        <v>0</v>
      </c>
      <c r="N32" s="953">
        <v>10500100001</v>
      </c>
    </row>
    <row r="33" spans="1:14">
      <c r="A33" s="876">
        <v>10303600003</v>
      </c>
      <c r="B33" s="864" t="s">
        <v>618</v>
      </c>
      <c r="C33" s="864">
        <f t="shared" si="8"/>
        <v>400792.8</v>
      </c>
      <c r="D33" s="864">
        <f t="shared" si="9"/>
        <v>0</v>
      </c>
      <c r="E33" s="864">
        <f t="shared" si="2"/>
        <v>400792.8</v>
      </c>
      <c r="F33" s="864">
        <f t="shared" si="3"/>
        <v>400.7928</v>
      </c>
      <c r="J33" s="875">
        <v>10500200001</v>
      </c>
      <c r="K33" s="1066" t="s">
        <v>684</v>
      </c>
      <c r="L33" s="864">
        <v>199459339</v>
      </c>
      <c r="M33" s="864">
        <v>0</v>
      </c>
      <c r="N33" s="953">
        <v>10500200001</v>
      </c>
    </row>
    <row r="34" spans="1:14">
      <c r="A34" s="876">
        <v>10302800001</v>
      </c>
      <c r="B34" s="864" t="s">
        <v>447</v>
      </c>
      <c r="C34" s="864">
        <f t="shared" si="8"/>
        <v>0</v>
      </c>
      <c r="D34" s="864">
        <f t="shared" si="9"/>
        <v>0</v>
      </c>
      <c r="E34" s="864">
        <f t="shared" si="2"/>
        <v>0</v>
      </c>
      <c r="F34" s="864">
        <f t="shared" si="3"/>
        <v>0</v>
      </c>
      <c r="J34" s="875">
        <v>10601100001</v>
      </c>
      <c r="K34" s="1066" t="s">
        <v>25</v>
      </c>
      <c r="L34" s="864">
        <v>770857.35</v>
      </c>
      <c r="M34" s="864">
        <v>0</v>
      </c>
      <c r="N34" s="953">
        <v>10601100001</v>
      </c>
    </row>
    <row r="35" spans="1:14">
      <c r="A35" s="876">
        <v>10500100001</v>
      </c>
      <c r="B35" s="864" t="s">
        <v>23</v>
      </c>
      <c r="C35" s="864">
        <f t="shared" si="8"/>
        <v>7315638.0300000003</v>
      </c>
      <c r="D35" s="864">
        <f t="shared" si="9"/>
        <v>0</v>
      </c>
      <c r="E35" s="864">
        <f t="shared" si="2"/>
        <v>7315638.0300000003</v>
      </c>
      <c r="F35" s="885">
        <f>+(E35+E36)/1000</f>
        <v>206774.97703000001</v>
      </c>
      <c r="J35" s="875">
        <v>10601100005</v>
      </c>
      <c r="K35" s="1066" t="s">
        <v>667</v>
      </c>
      <c r="L35" s="864">
        <v>8.0500000000000007</v>
      </c>
      <c r="M35" s="864">
        <v>0</v>
      </c>
      <c r="N35" s="953">
        <v>10601100005</v>
      </c>
    </row>
    <row r="36" spans="1:14">
      <c r="A36" s="875">
        <v>10500200001</v>
      </c>
      <c r="B36" s="1066" t="s">
        <v>684</v>
      </c>
      <c r="C36" s="864">
        <f t="shared" ref="C36" si="10">+IFERROR(VLOOKUP(A36,$J$3:$M$146,3,0),0)</f>
        <v>199459339</v>
      </c>
      <c r="D36" s="864">
        <f t="shared" ref="D36" si="11">+IFERROR(VLOOKUP(A36,$J$3:$M$146,4,0),0)</f>
        <v>0</v>
      </c>
      <c r="E36" s="864">
        <f t="shared" ref="E36" si="12">+C36-D36</f>
        <v>199459339</v>
      </c>
      <c r="F36" s="864">
        <f t="shared" ref="F36" si="13">+E36/1000</f>
        <v>199459.33900000001</v>
      </c>
      <c r="J36" s="875">
        <v>10601100014</v>
      </c>
      <c r="K36" s="1066" t="s">
        <v>27</v>
      </c>
      <c r="L36" s="864">
        <v>39909.410000000003</v>
      </c>
      <c r="M36" s="864">
        <v>0</v>
      </c>
      <c r="N36" s="953">
        <v>10601100014</v>
      </c>
    </row>
    <row r="37" spans="1:14">
      <c r="A37" s="876">
        <v>10601000001</v>
      </c>
      <c r="B37" s="864" t="s">
        <v>448</v>
      </c>
      <c r="C37" s="864">
        <f t="shared" si="8"/>
        <v>0</v>
      </c>
      <c r="D37" s="864">
        <f t="shared" si="9"/>
        <v>0</v>
      </c>
      <c r="E37" s="864">
        <f t="shared" si="2"/>
        <v>0</v>
      </c>
      <c r="F37" s="864">
        <f t="shared" si="3"/>
        <v>0</v>
      </c>
      <c r="J37" s="875">
        <v>10601100017</v>
      </c>
      <c r="K37" s="1066" t="s">
        <v>28</v>
      </c>
      <c r="L37" s="864">
        <v>35430.19</v>
      </c>
      <c r="M37" s="864">
        <v>0</v>
      </c>
      <c r="N37" s="953">
        <v>10601100017</v>
      </c>
    </row>
    <row r="38" spans="1:14">
      <c r="A38" s="876">
        <v>10601100001</v>
      </c>
      <c r="B38" s="864" t="s">
        <v>25</v>
      </c>
      <c r="C38" s="864">
        <f t="shared" si="8"/>
        <v>770857.35</v>
      </c>
      <c r="D38" s="864">
        <f t="shared" si="9"/>
        <v>0</v>
      </c>
      <c r="E38" s="864">
        <f t="shared" si="2"/>
        <v>770857.35</v>
      </c>
      <c r="F38" s="864">
        <f t="shared" si="3"/>
        <v>770.85735</v>
      </c>
      <c r="J38" s="875">
        <v>10601100075</v>
      </c>
      <c r="K38" s="1066" t="s">
        <v>502</v>
      </c>
      <c r="L38" s="864">
        <v>9.67</v>
      </c>
      <c r="M38" s="864">
        <v>0</v>
      </c>
      <c r="N38" s="953">
        <v>10601100075</v>
      </c>
    </row>
    <row r="39" spans="1:14">
      <c r="A39" s="875">
        <v>10601100075</v>
      </c>
      <c r="B39" s="884" t="s">
        <v>502</v>
      </c>
      <c r="C39" s="864">
        <f t="shared" si="8"/>
        <v>9.67</v>
      </c>
      <c r="D39" s="864">
        <f t="shared" si="9"/>
        <v>0</v>
      </c>
      <c r="E39" s="864">
        <f t="shared" si="2"/>
        <v>9.67</v>
      </c>
      <c r="F39" s="864">
        <f t="shared" si="3"/>
        <v>9.6699999999999998E-3</v>
      </c>
      <c r="J39" s="875">
        <v>10601100089</v>
      </c>
      <c r="K39" s="1066" t="s">
        <v>503</v>
      </c>
      <c r="L39" s="864">
        <v>3.61</v>
      </c>
      <c r="M39" s="864">
        <v>0</v>
      </c>
      <c r="N39" s="953">
        <v>10601100089</v>
      </c>
    </row>
    <row r="40" spans="1:14">
      <c r="A40" s="876">
        <v>10601100005</v>
      </c>
      <c r="B40" s="864" t="s">
        <v>26</v>
      </c>
      <c r="C40" s="864">
        <f t="shared" si="8"/>
        <v>8.0500000000000007</v>
      </c>
      <c r="D40" s="864">
        <f t="shared" si="9"/>
        <v>0</v>
      </c>
      <c r="E40" s="864">
        <f t="shared" si="2"/>
        <v>8.0500000000000007</v>
      </c>
      <c r="F40" s="864">
        <f t="shared" si="3"/>
        <v>8.0499999999999999E-3</v>
      </c>
      <c r="J40" s="875">
        <v>10601200001</v>
      </c>
      <c r="K40" s="1066" t="s">
        <v>32</v>
      </c>
      <c r="L40" s="864">
        <v>8507.5499999999993</v>
      </c>
      <c r="M40" s="864">
        <v>0</v>
      </c>
      <c r="N40" s="953">
        <v>10601200001</v>
      </c>
    </row>
    <row r="41" spans="1:14">
      <c r="A41" s="876">
        <v>10601100014</v>
      </c>
      <c r="B41" s="864" t="s">
        <v>27</v>
      </c>
      <c r="C41" s="864">
        <f t="shared" si="8"/>
        <v>39909.410000000003</v>
      </c>
      <c r="D41" s="864">
        <f t="shared" si="9"/>
        <v>0</v>
      </c>
      <c r="E41" s="864">
        <f t="shared" si="2"/>
        <v>39909.410000000003</v>
      </c>
      <c r="F41" s="864">
        <f t="shared" si="3"/>
        <v>39.909410000000001</v>
      </c>
      <c r="J41" s="875">
        <v>10601600001</v>
      </c>
      <c r="K41" s="1066" t="s">
        <v>31</v>
      </c>
      <c r="L41" s="864">
        <v>1.2</v>
      </c>
      <c r="M41" s="864">
        <v>0</v>
      </c>
      <c r="N41" s="953">
        <v>10601600001</v>
      </c>
    </row>
    <row r="42" spans="1:14">
      <c r="A42" s="876">
        <v>10601100017</v>
      </c>
      <c r="B42" s="864" t="s">
        <v>28</v>
      </c>
      <c r="C42" s="864">
        <f t="shared" si="8"/>
        <v>35430.19</v>
      </c>
      <c r="D42" s="864">
        <f t="shared" si="9"/>
        <v>0</v>
      </c>
      <c r="E42" s="864">
        <f t="shared" si="2"/>
        <v>35430.19</v>
      </c>
      <c r="F42" s="864">
        <f t="shared" si="3"/>
        <v>35.430190000000003</v>
      </c>
      <c r="J42" s="875">
        <v>10602100001</v>
      </c>
      <c r="K42" s="1066" t="s">
        <v>24</v>
      </c>
      <c r="L42" s="864">
        <v>2137392.69</v>
      </c>
      <c r="M42" s="864">
        <v>0</v>
      </c>
      <c r="N42" s="953">
        <v>10602100001</v>
      </c>
    </row>
    <row r="43" spans="1:14">
      <c r="A43" s="875">
        <v>10601100089</v>
      </c>
      <c r="B43" s="884" t="s">
        <v>503</v>
      </c>
      <c r="C43" s="864">
        <f t="shared" si="8"/>
        <v>3.61</v>
      </c>
      <c r="D43" s="864">
        <f t="shared" si="9"/>
        <v>0</v>
      </c>
      <c r="E43" s="864">
        <f t="shared" si="2"/>
        <v>3.61</v>
      </c>
      <c r="F43" s="864">
        <f t="shared" si="3"/>
        <v>3.6099999999999999E-3</v>
      </c>
      <c r="G43" s="867">
        <f>+SUM(F38:F50)</f>
        <v>2992.12032</v>
      </c>
      <c r="J43" s="875">
        <v>10602800001</v>
      </c>
      <c r="K43" s="1066" t="s">
        <v>619</v>
      </c>
      <c r="L43" s="864">
        <v>0.6</v>
      </c>
      <c r="M43" s="864">
        <v>0</v>
      </c>
      <c r="N43" s="953">
        <v>10602800001</v>
      </c>
    </row>
    <row r="44" spans="1:14">
      <c r="A44" s="875">
        <v>10602800001</v>
      </c>
      <c r="B44" s="1066" t="s">
        <v>619</v>
      </c>
      <c r="C44" s="864">
        <f t="shared" si="8"/>
        <v>0.6</v>
      </c>
      <c r="D44" s="864">
        <f t="shared" si="9"/>
        <v>0</v>
      </c>
      <c r="E44" s="864">
        <f t="shared" si="2"/>
        <v>0.6</v>
      </c>
      <c r="F44" s="864">
        <f t="shared" si="3"/>
        <v>5.9999999999999995E-4</v>
      </c>
      <c r="J44" s="875">
        <v>10700100002</v>
      </c>
      <c r="K44" s="1066" t="s">
        <v>539</v>
      </c>
      <c r="L44" s="864">
        <v>0</v>
      </c>
      <c r="M44" s="864">
        <v>0.5</v>
      </c>
      <c r="N44" s="953">
        <v>10700100002</v>
      </c>
    </row>
    <row r="45" spans="1:14">
      <c r="A45" s="876">
        <v>10601100034</v>
      </c>
      <c r="B45" s="864" t="s">
        <v>29</v>
      </c>
      <c r="C45" s="864">
        <f t="shared" si="8"/>
        <v>0</v>
      </c>
      <c r="D45" s="864">
        <f t="shared" si="9"/>
        <v>0</v>
      </c>
      <c r="E45" s="864">
        <f t="shared" si="2"/>
        <v>0</v>
      </c>
      <c r="F45" s="864">
        <f t="shared" si="3"/>
        <v>0</v>
      </c>
      <c r="J45" s="875">
        <v>10700300001</v>
      </c>
      <c r="K45" s="1066" t="s">
        <v>44</v>
      </c>
      <c r="L45" s="864">
        <v>115195.53</v>
      </c>
      <c r="M45" s="864">
        <v>0</v>
      </c>
      <c r="N45" s="953">
        <v>10700300001</v>
      </c>
    </row>
    <row r="46" spans="1:14">
      <c r="A46" s="876">
        <v>10601100072</v>
      </c>
      <c r="B46" s="864" t="s">
        <v>30</v>
      </c>
      <c r="C46" s="864">
        <f t="shared" si="8"/>
        <v>0</v>
      </c>
      <c r="D46" s="864">
        <f t="shared" si="9"/>
        <v>0</v>
      </c>
      <c r="E46" s="864">
        <f t="shared" si="2"/>
        <v>0</v>
      </c>
      <c r="F46" s="864">
        <f t="shared" si="3"/>
        <v>0</v>
      </c>
      <c r="J46" s="875">
        <v>10700400001</v>
      </c>
      <c r="K46" s="1066" t="s">
        <v>45</v>
      </c>
      <c r="L46" s="864">
        <v>8625</v>
      </c>
      <c r="M46" s="864">
        <v>0</v>
      </c>
      <c r="N46" s="953">
        <v>10700400001</v>
      </c>
    </row>
    <row r="47" spans="1:14">
      <c r="A47" s="876">
        <v>10601200001</v>
      </c>
      <c r="B47" s="864" t="s">
        <v>32</v>
      </c>
      <c r="C47" s="864">
        <f t="shared" si="8"/>
        <v>8507.5499999999993</v>
      </c>
      <c r="D47" s="864">
        <f t="shared" si="9"/>
        <v>0</v>
      </c>
      <c r="E47" s="864">
        <f t="shared" si="2"/>
        <v>8507.5499999999993</v>
      </c>
      <c r="F47" s="864">
        <f t="shared" si="3"/>
        <v>8.5075499999999984</v>
      </c>
      <c r="J47" s="875">
        <v>10700500003</v>
      </c>
      <c r="K47" s="1066" t="s">
        <v>35</v>
      </c>
      <c r="L47" s="864">
        <v>2500000</v>
      </c>
      <c r="M47" s="864">
        <v>0</v>
      </c>
      <c r="N47" s="953">
        <v>10700500003</v>
      </c>
    </row>
    <row r="48" spans="1:14">
      <c r="A48" s="876">
        <v>10601400001</v>
      </c>
      <c r="B48" s="864" t="s">
        <v>33</v>
      </c>
      <c r="C48" s="864">
        <f t="shared" si="8"/>
        <v>0</v>
      </c>
      <c r="D48" s="864">
        <f t="shared" si="9"/>
        <v>0</v>
      </c>
      <c r="E48" s="864">
        <f t="shared" si="2"/>
        <v>0</v>
      </c>
      <c r="F48" s="864">
        <f t="shared" si="3"/>
        <v>0</v>
      </c>
      <c r="J48" s="875">
        <v>10700500005</v>
      </c>
      <c r="K48" s="1066" t="s">
        <v>36</v>
      </c>
      <c r="L48" s="864">
        <v>1317072</v>
      </c>
      <c r="M48" s="864">
        <v>0</v>
      </c>
      <c r="N48" s="953">
        <v>10700500005</v>
      </c>
    </row>
    <row r="49" spans="1:14">
      <c r="A49" s="876">
        <v>10601600001</v>
      </c>
      <c r="B49" s="864" t="s">
        <v>31</v>
      </c>
      <c r="C49" s="864">
        <f t="shared" si="8"/>
        <v>1.2</v>
      </c>
      <c r="D49" s="864">
        <f t="shared" si="9"/>
        <v>0</v>
      </c>
      <c r="E49" s="864">
        <f t="shared" si="2"/>
        <v>1.2</v>
      </c>
      <c r="F49" s="864">
        <f t="shared" si="3"/>
        <v>1.1999999999999999E-3</v>
      </c>
      <c r="J49" s="875">
        <v>10700600001</v>
      </c>
      <c r="K49" s="1066" t="s">
        <v>37</v>
      </c>
      <c r="L49" s="864">
        <v>300000</v>
      </c>
      <c r="M49" s="864">
        <v>0</v>
      </c>
      <c r="N49" s="953">
        <v>10700600001</v>
      </c>
    </row>
    <row r="50" spans="1:14">
      <c r="A50" s="876">
        <v>10602100001</v>
      </c>
      <c r="B50" s="864" t="s">
        <v>24</v>
      </c>
      <c r="C50" s="864">
        <f t="shared" si="8"/>
        <v>2137392.69</v>
      </c>
      <c r="D50" s="864">
        <f t="shared" si="9"/>
        <v>0</v>
      </c>
      <c r="E50" s="864">
        <f t="shared" si="2"/>
        <v>2137392.69</v>
      </c>
      <c r="F50" s="864">
        <f t="shared" si="3"/>
        <v>2137.3926900000001</v>
      </c>
      <c r="J50" s="875">
        <v>10700700008</v>
      </c>
      <c r="K50" s="1066" t="s">
        <v>504</v>
      </c>
      <c r="L50" s="864">
        <v>24126.91</v>
      </c>
      <c r="M50" s="864">
        <v>0</v>
      </c>
      <c r="N50" s="953">
        <v>10700700008</v>
      </c>
    </row>
    <row r="51" spans="1:14">
      <c r="A51" s="875">
        <v>10700100002</v>
      </c>
      <c r="B51" s="884" t="s">
        <v>539</v>
      </c>
      <c r="C51" s="864">
        <f t="shared" si="8"/>
        <v>0</v>
      </c>
      <c r="D51" s="864">
        <f t="shared" si="9"/>
        <v>0.5</v>
      </c>
      <c r="E51" s="864">
        <f t="shared" si="2"/>
        <v>-0.5</v>
      </c>
      <c r="F51" s="864">
        <f t="shared" si="3"/>
        <v>-5.0000000000000001E-4</v>
      </c>
      <c r="J51" s="875">
        <v>10700700009</v>
      </c>
      <c r="K51" s="1066" t="s">
        <v>42</v>
      </c>
      <c r="L51" s="864">
        <v>0</v>
      </c>
      <c r="M51" s="864">
        <v>6706.52</v>
      </c>
      <c r="N51" s="953">
        <v>10700700009</v>
      </c>
    </row>
    <row r="52" spans="1:14">
      <c r="A52" s="876">
        <v>10700300001</v>
      </c>
      <c r="B52" s="864" t="s">
        <v>44</v>
      </c>
      <c r="C52" s="864">
        <f t="shared" si="8"/>
        <v>115195.53</v>
      </c>
      <c r="D52" s="864">
        <f t="shared" si="9"/>
        <v>0</v>
      </c>
      <c r="E52" s="864">
        <f t="shared" si="2"/>
        <v>115195.53</v>
      </c>
      <c r="F52" s="864">
        <f t="shared" si="3"/>
        <v>115.19553000000001</v>
      </c>
      <c r="J52" s="875">
        <v>10700800001</v>
      </c>
      <c r="K52" s="1066" t="s">
        <v>46</v>
      </c>
      <c r="L52" s="864">
        <v>306719</v>
      </c>
      <c r="M52" s="864">
        <v>0</v>
      </c>
      <c r="N52" s="953">
        <v>10700800001</v>
      </c>
    </row>
    <row r="53" spans="1:14">
      <c r="A53" s="876">
        <v>10700400001</v>
      </c>
      <c r="B53" s="864" t="s">
        <v>45</v>
      </c>
      <c r="C53" s="864">
        <f t="shared" si="8"/>
        <v>8625</v>
      </c>
      <c r="D53" s="864">
        <f t="shared" si="9"/>
        <v>0</v>
      </c>
      <c r="E53" s="864">
        <f t="shared" si="2"/>
        <v>8625</v>
      </c>
      <c r="F53" s="864">
        <f t="shared" si="3"/>
        <v>8.625</v>
      </c>
      <c r="J53" s="875">
        <v>10701000001</v>
      </c>
      <c r="K53" s="1066" t="s">
        <v>47</v>
      </c>
      <c r="L53" s="864">
        <v>34842.050000000003</v>
      </c>
      <c r="M53" s="864">
        <v>0</v>
      </c>
      <c r="N53" s="953">
        <v>10701000001</v>
      </c>
    </row>
    <row r="54" spans="1:14">
      <c r="A54" s="876">
        <v>10700500001</v>
      </c>
      <c r="B54" s="864" t="s">
        <v>34</v>
      </c>
      <c r="C54" s="864">
        <f t="shared" si="8"/>
        <v>0</v>
      </c>
      <c r="D54" s="864">
        <f t="shared" si="9"/>
        <v>0</v>
      </c>
      <c r="E54" s="864">
        <f t="shared" si="2"/>
        <v>0</v>
      </c>
      <c r="F54" s="864">
        <f t="shared" si="3"/>
        <v>0</v>
      </c>
      <c r="J54" s="875">
        <v>10900200001</v>
      </c>
      <c r="K54" s="1066" t="s">
        <v>43</v>
      </c>
      <c r="L54" s="864">
        <v>4553</v>
      </c>
      <c r="M54" s="864">
        <v>0</v>
      </c>
      <c r="N54" s="953">
        <v>10900200001</v>
      </c>
    </row>
    <row r="55" spans="1:14">
      <c r="A55" s="876">
        <v>10700500003</v>
      </c>
      <c r="B55" s="864" t="s">
        <v>35</v>
      </c>
      <c r="C55" s="864">
        <f t="shared" si="8"/>
        <v>2500000</v>
      </c>
      <c r="D55" s="864">
        <f t="shared" si="9"/>
        <v>0</v>
      </c>
      <c r="E55" s="864">
        <f t="shared" si="2"/>
        <v>2500000</v>
      </c>
      <c r="F55" s="864">
        <f t="shared" si="3"/>
        <v>2500</v>
      </c>
      <c r="J55" s="875">
        <v>11400100001</v>
      </c>
      <c r="K55" s="1066" t="s">
        <v>514</v>
      </c>
      <c r="L55" s="864">
        <v>792918</v>
      </c>
      <c r="M55" s="864">
        <v>0</v>
      </c>
      <c r="N55" s="953">
        <v>11400100001</v>
      </c>
    </row>
    <row r="56" spans="1:14">
      <c r="A56" s="876">
        <v>10700500005</v>
      </c>
      <c r="B56" s="864" t="s">
        <v>36</v>
      </c>
      <c r="C56" s="864">
        <f t="shared" si="8"/>
        <v>1317072</v>
      </c>
      <c r="D56" s="864">
        <f t="shared" si="9"/>
        <v>0</v>
      </c>
      <c r="E56" s="864">
        <f t="shared" si="2"/>
        <v>1317072</v>
      </c>
      <c r="F56" s="864">
        <f t="shared" si="3"/>
        <v>1317.0719999999999</v>
      </c>
      <c r="J56" s="875">
        <v>11500100001</v>
      </c>
      <c r="K56" s="1066" t="s">
        <v>505</v>
      </c>
      <c r="L56" s="864">
        <v>0</v>
      </c>
      <c r="M56" s="864">
        <v>2501</v>
      </c>
      <c r="N56" s="953">
        <v>11500100001</v>
      </c>
    </row>
    <row r="57" spans="1:14">
      <c r="A57" s="876">
        <v>10700600001</v>
      </c>
      <c r="B57" s="864" t="s">
        <v>37</v>
      </c>
      <c r="C57" s="864">
        <f t="shared" si="8"/>
        <v>300000</v>
      </c>
      <c r="D57" s="864">
        <f t="shared" si="9"/>
        <v>0</v>
      </c>
      <c r="E57" s="864">
        <f t="shared" si="2"/>
        <v>300000</v>
      </c>
      <c r="F57" s="864">
        <f t="shared" si="3"/>
        <v>300</v>
      </c>
      <c r="J57" s="875">
        <v>11500100002</v>
      </c>
      <c r="K57" s="1066" t="s">
        <v>506</v>
      </c>
      <c r="L57" s="864">
        <v>2500.29</v>
      </c>
      <c r="M57" s="864">
        <v>0</v>
      </c>
      <c r="N57" s="953">
        <v>11500100002</v>
      </c>
    </row>
    <row r="58" spans="1:14">
      <c r="A58" s="876">
        <v>10700700003</v>
      </c>
      <c r="B58" s="864" t="s">
        <v>38</v>
      </c>
      <c r="C58" s="864">
        <f t="shared" si="8"/>
        <v>0</v>
      </c>
      <c r="D58" s="864">
        <f t="shared" si="9"/>
        <v>0</v>
      </c>
      <c r="E58" s="864">
        <f t="shared" si="2"/>
        <v>0</v>
      </c>
      <c r="F58" s="864">
        <f t="shared" si="3"/>
        <v>0</v>
      </c>
      <c r="J58" s="875">
        <v>1190010001</v>
      </c>
      <c r="K58" s="1066" t="s">
        <v>668</v>
      </c>
      <c r="L58" s="864">
        <v>202978</v>
      </c>
      <c r="M58" s="864">
        <v>0</v>
      </c>
      <c r="N58" s="953">
        <v>1190010001</v>
      </c>
    </row>
    <row r="59" spans="1:14">
      <c r="A59" s="876">
        <v>10700700005</v>
      </c>
      <c r="B59" s="864" t="s">
        <v>39</v>
      </c>
      <c r="C59" s="864">
        <f t="shared" si="8"/>
        <v>0</v>
      </c>
      <c r="D59" s="864">
        <f t="shared" si="9"/>
        <v>0</v>
      </c>
      <c r="E59" s="864">
        <f t="shared" si="2"/>
        <v>0</v>
      </c>
      <c r="F59" s="864">
        <f t="shared" si="3"/>
        <v>0</v>
      </c>
      <c r="J59" s="875">
        <v>20100100001</v>
      </c>
      <c r="K59" s="1066" t="s">
        <v>70</v>
      </c>
      <c r="L59" s="864">
        <v>0</v>
      </c>
      <c r="M59" s="864">
        <v>2568492.4500000002</v>
      </c>
      <c r="N59" s="953">
        <v>20100100001</v>
      </c>
    </row>
    <row r="60" spans="1:14">
      <c r="A60" s="876">
        <v>10700700006</v>
      </c>
      <c r="B60" s="864" t="s">
        <v>40</v>
      </c>
      <c r="C60" s="864">
        <f t="shared" si="8"/>
        <v>0</v>
      </c>
      <c r="D60" s="864">
        <f t="shared" si="9"/>
        <v>0</v>
      </c>
      <c r="E60" s="864">
        <f t="shared" si="2"/>
        <v>0</v>
      </c>
      <c r="F60" s="864">
        <f t="shared" si="3"/>
        <v>0</v>
      </c>
      <c r="J60" s="875">
        <v>20100200001</v>
      </c>
      <c r="K60" s="1066" t="s">
        <v>71</v>
      </c>
      <c r="L60" s="864">
        <v>10460471.59</v>
      </c>
      <c r="M60" s="864">
        <v>0</v>
      </c>
      <c r="N60" s="953">
        <v>20100200001</v>
      </c>
    </row>
    <row r="61" spans="1:14">
      <c r="A61" s="875">
        <v>10700700008</v>
      </c>
      <c r="B61" s="884" t="s">
        <v>504</v>
      </c>
      <c r="C61" s="864">
        <f t="shared" si="8"/>
        <v>24126.91</v>
      </c>
      <c r="D61" s="864">
        <f t="shared" si="9"/>
        <v>0</v>
      </c>
      <c r="E61" s="864">
        <f t="shared" si="2"/>
        <v>24126.91</v>
      </c>
      <c r="F61" s="864">
        <f t="shared" si="3"/>
        <v>24.126909999999999</v>
      </c>
      <c r="G61" s="867">
        <f>+SUM(F51:F70)</f>
        <v>5600.3217599999998</v>
      </c>
      <c r="J61" s="875">
        <v>20100300001</v>
      </c>
      <c r="K61" s="1066" t="s">
        <v>72</v>
      </c>
      <c r="L61" s="864">
        <v>0</v>
      </c>
      <c r="M61" s="864">
        <v>4930812.5600000005</v>
      </c>
      <c r="N61" s="953">
        <v>20100300001</v>
      </c>
    </row>
    <row r="62" spans="1:14">
      <c r="A62" s="876">
        <v>10700700007</v>
      </c>
      <c r="B62" s="864" t="s">
        <v>41</v>
      </c>
      <c r="C62" s="864">
        <f t="shared" si="8"/>
        <v>0</v>
      </c>
      <c r="D62" s="864">
        <f t="shared" si="9"/>
        <v>0</v>
      </c>
      <c r="E62" s="864">
        <f t="shared" si="2"/>
        <v>0</v>
      </c>
      <c r="F62" s="864">
        <f t="shared" si="3"/>
        <v>0</v>
      </c>
      <c r="J62" s="875">
        <v>20100400001</v>
      </c>
      <c r="K62" s="1066" t="s">
        <v>73</v>
      </c>
      <c r="L62" s="864">
        <v>6252985.9699999997</v>
      </c>
      <c r="M62" s="864">
        <v>0</v>
      </c>
      <c r="N62" s="953">
        <v>20100400001</v>
      </c>
    </row>
    <row r="63" spans="1:14">
      <c r="A63" s="876">
        <v>10700700009</v>
      </c>
      <c r="B63" s="864" t="s">
        <v>42</v>
      </c>
      <c r="C63" s="864">
        <f t="shared" si="8"/>
        <v>0</v>
      </c>
      <c r="D63" s="864">
        <f t="shared" si="9"/>
        <v>6706.52</v>
      </c>
      <c r="E63" s="864">
        <f t="shared" si="2"/>
        <v>-6706.52</v>
      </c>
      <c r="F63" s="864">
        <f t="shared" si="3"/>
        <v>-6.7065200000000003</v>
      </c>
      <c r="G63" s="867">
        <f>+F64+F66</f>
        <v>304.21800000000002</v>
      </c>
      <c r="J63" s="875">
        <v>20200100001</v>
      </c>
      <c r="K63" s="1066" t="s">
        <v>75</v>
      </c>
      <c r="L63" s="864">
        <v>0</v>
      </c>
      <c r="M63" s="864">
        <v>1350.47</v>
      </c>
      <c r="N63" s="953">
        <v>20200100001</v>
      </c>
    </row>
    <row r="64" spans="1:14">
      <c r="A64" s="876">
        <v>10700800001</v>
      </c>
      <c r="B64" s="864" t="s">
        <v>46</v>
      </c>
      <c r="C64" s="864">
        <f t="shared" si="8"/>
        <v>306719</v>
      </c>
      <c r="D64" s="864">
        <f t="shared" si="9"/>
        <v>0</v>
      </c>
      <c r="E64" s="864">
        <f t="shared" si="2"/>
        <v>306719</v>
      </c>
      <c r="F64" s="864">
        <f t="shared" si="3"/>
        <v>306.71899999999999</v>
      </c>
      <c r="G64" s="867">
        <f>+F65+F67</f>
        <v>37.34234</v>
      </c>
      <c r="J64" s="875">
        <v>20200200001</v>
      </c>
      <c r="K64" s="1066" t="s">
        <v>76</v>
      </c>
      <c r="L64" s="864">
        <v>0</v>
      </c>
      <c r="M64" s="864">
        <v>1553997.92</v>
      </c>
      <c r="N64" s="953">
        <v>20200200001</v>
      </c>
    </row>
    <row r="65" spans="1:14">
      <c r="A65" s="876">
        <v>10701000001</v>
      </c>
      <c r="B65" s="864" t="s">
        <v>47</v>
      </c>
      <c r="C65" s="864">
        <f t="shared" si="8"/>
        <v>34842.050000000003</v>
      </c>
      <c r="D65" s="864">
        <f t="shared" si="9"/>
        <v>0</v>
      </c>
      <c r="E65" s="864">
        <f t="shared" si="2"/>
        <v>34842.050000000003</v>
      </c>
      <c r="F65" s="864">
        <f t="shared" si="3"/>
        <v>34.84205</v>
      </c>
      <c r="J65" s="875">
        <v>20500100001</v>
      </c>
      <c r="K65" s="1066" t="s">
        <v>74</v>
      </c>
      <c r="L65" s="864">
        <v>0</v>
      </c>
      <c r="M65" s="864">
        <v>466662815.08999997</v>
      </c>
      <c r="N65" s="953">
        <v>20500100001</v>
      </c>
    </row>
    <row r="66" spans="1:14">
      <c r="A66" s="875">
        <v>11500100001</v>
      </c>
      <c r="B66" s="884" t="s">
        <v>505</v>
      </c>
      <c r="C66" s="864">
        <f t="shared" si="8"/>
        <v>0</v>
      </c>
      <c r="D66" s="864">
        <f t="shared" si="9"/>
        <v>2501</v>
      </c>
      <c r="E66" s="864">
        <f t="shared" si="2"/>
        <v>-2501</v>
      </c>
      <c r="F66" s="864">
        <f t="shared" si="3"/>
        <v>-2.5009999999999999</v>
      </c>
      <c r="J66" s="875">
        <v>30100100001</v>
      </c>
      <c r="K66" s="1066" t="s">
        <v>48</v>
      </c>
      <c r="L66" s="864">
        <v>0</v>
      </c>
      <c r="M66" s="864">
        <v>1246371.02</v>
      </c>
      <c r="N66" s="953">
        <v>30100100001</v>
      </c>
    </row>
    <row r="67" spans="1:14">
      <c r="A67" s="875">
        <v>11500100002</v>
      </c>
      <c r="B67" s="884" t="s">
        <v>506</v>
      </c>
      <c r="C67" s="864">
        <f t="shared" si="8"/>
        <v>2500.29</v>
      </c>
      <c r="D67" s="864">
        <f t="shared" si="9"/>
        <v>0</v>
      </c>
      <c r="E67" s="864">
        <f t="shared" si="2"/>
        <v>2500.29</v>
      </c>
      <c r="F67" s="864">
        <f t="shared" si="3"/>
        <v>2.5002900000000001</v>
      </c>
      <c r="J67" s="875">
        <v>30100200001</v>
      </c>
      <c r="K67" s="1066" t="s">
        <v>49</v>
      </c>
      <c r="L67" s="864">
        <v>0</v>
      </c>
      <c r="M67" s="864">
        <v>0.24</v>
      </c>
      <c r="N67" s="953">
        <v>30100200001</v>
      </c>
    </row>
    <row r="68" spans="1:14">
      <c r="A68" s="875">
        <v>1190010001</v>
      </c>
      <c r="B68" s="1066" t="s">
        <v>668</v>
      </c>
      <c r="C68" s="864">
        <f t="shared" ref="C68" si="14">+IFERROR(VLOOKUP(A68,$J$3:$M$146,3,0),0)</f>
        <v>202978</v>
      </c>
      <c r="D68" s="864">
        <f t="shared" ref="D68" si="15">+IFERROR(VLOOKUP(A68,$J$3:$M$146,4,0),0)</f>
        <v>0</v>
      </c>
      <c r="E68" s="864">
        <f t="shared" ref="E68" si="16">+C68-D68</f>
        <v>202978</v>
      </c>
      <c r="F68" s="864">
        <f t="shared" ref="F68" si="17">+E68/1000</f>
        <v>202.97800000000001</v>
      </c>
      <c r="G68" s="867">
        <f>+F69</f>
        <v>4.5529999999999999</v>
      </c>
      <c r="J68" s="875">
        <v>30100600001</v>
      </c>
      <c r="K68" s="1066" t="s">
        <v>51</v>
      </c>
      <c r="L68" s="864">
        <v>0</v>
      </c>
      <c r="M68" s="864">
        <v>162028.87</v>
      </c>
      <c r="N68" s="953">
        <v>30100600001</v>
      </c>
    </row>
    <row r="69" spans="1:14">
      <c r="A69" s="876">
        <v>10900200001</v>
      </c>
      <c r="B69" s="864" t="s">
        <v>43</v>
      </c>
      <c r="C69" s="864">
        <f t="shared" ref="C69:C100" si="18">+IFERROR(VLOOKUP(A69,$J$3:$M$146,3,0),0)</f>
        <v>4553</v>
      </c>
      <c r="D69" s="864">
        <f t="shared" ref="D69:D100" si="19">+IFERROR(VLOOKUP(A69,$J$3:$M$146,4,0),0)</f>
        <v>0</v>
      </c>
      <c r="E69" s="864">
        <f t="shared" si="2"/>
        <v>4553</v>
      </c>
      <c r="F69" s="864">
        <f t="shared" si="3"/>
        <v>4.5529999999999999</v>
      </c>
      <c r="G69" s="867">
        <f>+F70</f>
        <v>792.91800000000001</v>
      </c>
      <c r="J69" s="875">
        <v>30100700001</v>
      </c>
      <c r="K69" s="1066" t="s">
        <v>58</v>
      </c>
      <c r="L69" s="864">
        <v>0</v>
      </c>
      <c r="M69" s="864">
        <v>5872249.8700000001</v>
      </c>
      <c r="N69" s="953">
        <v>30100700001</v>
      </c>
    </row>
    <row r="70" spans="1:14">
      <c r="A70" s="875">
        <v>11400100001</v>
      </c>
      <c r="B70" s="884" t="s">
        <v>514</v>
      </c>
      <c r="C70" s="864">
        <f t="shared" si="18"/>
        <v>792918</v>
      </c>
      <c r="D70" s="864">
        <f t="shared" si="19"/>
        <v>0</v>
      </c>
      <c r="E70" s="864">
        <f t="shared" si="2"/>
        <v>792918</v>
      </c>
      <c r="F70" s="864">
        <f t="shared" si="3"/>
        <v>792.91800000000001</v>
      </c>
      <c r="G70" s="867">
        <f>+F71</f>
        <v>-2568.4924500000002</v>
      </c>
      <c r="J70" s="875">
        <v>30100800001</v>
      </c>
      <c r="K70" s="1066" t="s">
        <v>62</v>
      </c>
      <c r="L70" s="864">
        <v>0</v>
      </c>
      <c r="M70" s="864">
        <v>9720</v>
      </c>
      <c r="N70" s="953">
        <v>30100800001</v>
      </c>
    </row>
    <row r="71" spans="1:14">
      <c r="A71" s="876">
        <v>20100100001</v>
      </c>
      <c r="B71" s="864" t="s">
        <v>70</v>
      </c>
      <c r="C71" s="864">
        <f t="shared" si="18"/>
        <v>0</v>
      </c>
      <c r="D71" s="864">
        <f t="shared" si="19"/>
        <v>2568492.4500000002</v>
      </c>
      <c r="E71" s="864">
        <f t="shared" ref="E71:E135" si="20">+C71-D71</f>
        <v>-2568492.4500000002</v>
      </c>
      <c r="F71" s="864">
        <f t="shared" ref="F71:F135" si="21">+E71/1000</f>
        <v>-2568.4924500000002</v>
      </c>
      <c r="G71" s="867">
        <f>+F72</f>
        <v>10460.471589999999</v>
      </c>
      <c r="J71" s="875">
        <v>30100900001</v>
      </c>
      <c r="K71" s="1066" t="s">
        <v>59</v>
      </c>
      <c r="L71" s="864">
        <v>0</v>
      </c>
      <c r="M71" s="864">
        <v>392742</v>
      </c>
      <c r="N71" s="953">
        <v>30100900001</v>
      </c>
    </row>
    <row r="72" spans="1:14">
      <c r="A72" s="876">
        <v>20100200001</v>
      </c>
      <c r="B72" s="864" t="s">
        <v>71</v>
      </c>
      <c r="C72" s="864">
        <f t="shared" si="18"/>
        <v>10460471.59</v>
      </c>
      <c r="D72" s="864">
        <f t="shared" si="19"/>
        <v>0</v>
      </c>
      <c r="E72" s="864">
        <f t="shared" si="20"/>
        <v>10460471.59</v>
      </c>
      <c r="F72" s="864">
        <f t="shared" si="21"/>
        <v>10460.471589999999</v>
      </c>
      <c r="G72" s="867">
        <f>+F73</f>
        <v>-4930.8125600000003</v>
      </c>
      <c r="J72" s="875">
        <v>30200100001</v>
      </c>
      <c r="K72" s="1066" t="s">
        <v>52</v>
      </c>
      <c r="L72" s="864">
        <v>0</v>
      </c>
      <c r="M72" s="864">
        <v>74616.160000000003</v>
      </c>
      <c r="N72" s="953">
        <v>30200100001</v>
      </c>
    </row>
    <row r="73" spans="1:14">
      <c r="A73" s="876">
        <v>20100300001</v>
      </c>
      <c r="B73" s="864" t="s">
        <v>72</v>
      </c>
      <c r="C73" s="864">
        <f t="shared" si="18"/>
        <v>0</v>
      </c>
      <c r="D73" s="864">
        <f t="shared" si="19"/>
        <v>4930812.5600000005</v>
      </c>
      <c r="E73" s="864">
        <f t="shared" si="20"/>
        <v>-4930812.5600000005</v>
      </c>
      <c r="F73" s="864">
        <f t="shared" si="21"/>
        <v>-4930.8125600000003</v>
      </c>
      <c r="G73" s="867">
        <f>F74</f>
        <v>6252.9859699999997</v>
      </c>
      <c r="J73" s="875">
        <v>30400100001</v>
      </c>
      <c r="K73" s="1066" t="s">
        <v>53</v>
      </c>
      <c r="L73" s="864">
        <v>0</v>
      </c>
      <c r="M73" s="864">
        <v>23325</v>
      </c>
      <c r="N73" s="953">
        <v>30400100001</v>
      </c>
    </row>
    <row r="74" spans="1:14">
      <c r="A74" s="876">
        <v>20100400001</v>
      </c>
      <c r="B74" s="864" t="s">
        <v>73</v>
      </c>
      <c r="C74" s="864">
        <f t="shared" si="18"/>
        <v>6252985.9699999997</v>
      </c>
      <c r="D74" s="864">
        <f t="shared" si="19"/>
        <v>0</v>
      </c>
      <c r="E74" s="864">
        <f t="shared" si="20"/>
        <v>6252985.9699999997</v>
      </c>
      <c r="F74" s="864">
        <f t="shared" si="21"/>
        <v>6252.9859699999997</v>
      </c>
      <c r="J74" s="875">
        <v>30500100001</v>
      </c>
      <c r="K74" s="1066" t="s">
        <v>56</v>
      </c>
      <c r="L74" s="864">
        <v>0</v>
      </c>
      <c r="M74" s="864">
        <v>8934271.2100000009</v>
      </c>
      <c r="N74" s="953">
        <v>30500100001</v>
      </c>
    </row>
    <row r="75" spans="1:14">
      <c r="A75" s="876">
        <v>20200100001</v>
      </c>
      <c r="B75" s="864" t="s">
        <v>75</v>
      </c>
      <c r="C75" s="864">
        <f t="shared" si="18"/>
        <v>0</v>
      </c>
      <c r="D75" s="864">
        <f t="shared" si="19"/>
        <v>1350.47</v>
      </c>
      <c r="E75" s="864">
        <f t="shared" si="20"/>
        <v>-1350.47</v>
      </c>
      <c r="F75" s="864">
        <f t="shared" si="21"/>
        <v>-1.3504700000000001</v>
      </c>
      <c r="G75" s="867">
        <f>+F84</f>
        <v>-5872.2498700000006</v>
      </c>
      <c r="J75" s="875">
        <v>30600100001</v>
      </c>
      <c r="K75" s="1066" t="s">
        <v>669</v>
      </c>
      <c r="L75" s="864">
        <v>0</v>
      </c>
      <c r="M75" s="864">
        <v>199681739</v>
      </c>
      <c r="N75" s="953">
        <v>30600100001</v>
      </c>
    </row>
    <row r="76" spans="1:14">
      <c r="A76" s="876">
        <v>20200200001</v>
      </c>
      <c r="B76" s="864" t="s">
        <v>76</v>
      </c>
      <c r="C76" s="864">
        <f t="shared" si="18"/>
        <v>0</v>
      </c>
      <c r="D76" s="864">
        <f t="shared" si="19"/>
        <v>1553997.92</v>
      </c>
      <c r="E76" s="864">
        <f t="shared" si="20"/>
        <v>-1553997.92</v>
      </c>
      <c r="F76" s="864">
        <f t="shared" si="21"/>
        <v>-1553.99792</v>
      </c>
      <c r="J76" s="875">
        <v>30700100001</v>
      </c>
      <c r="K76" s="1066" t="s">
        <v>57</v>
      </c>
      <c r="L76" s="864">
        <v>0</v>
      </c>
      <c r="M76" s="864">
        <v>215834</v>
      </c>
      <c r="N76" s="953">
        <v>30700100001</v>
      </c>
    </row>
    <row r="77" spans="1:14">
      <c r="A77" s="876">
        <v>30900100001</v>
      </c>
      <c r="B77" s="864" t="s">
        <v>620</v>
      </c>
      <c r="C77" s="864">
        <f t="shared" si="18"/>
        <v>0.84</v>
      </c>
      <c r="D77" s="864">
        <f t="shared" si="19"/>
        <v>0</v>
      </c>
      <c r="E77" s="864">
        <f t="shared" si="20"/>
        <v>0.84</v>
      </c>
      <c r="F77" s="864">
        <f t="shared" si="21"/>
        <v>8.3999999999999993E-4</v>
      </c>
      <c r="G77" s="867">
        <f>+F82</f>
        <v>-2.3999999999999998E-4</v>
      </c>
      <c r="J77" s="875">
        <v>30900100001</v>
      </c>
      <c r="K77" s="1066" t="s">
        <v>620</v>
      </c>
      <c r="L77" s="864">
        <v>0.84</v>
      </c>
      <c r="M77" s="864">
        <v>0</v>
      </c>
      <c r="N77" s="953">
        <v>30900100001</v>
      </c>
    </row>
    <row r="78" spans="1:14">
      <c r="A78" s="876">
        <v>20400200001</v>
      </c>
      <c r="B78" s="864" t="s">
        <v>77</v>
      </c>
      <c r="C78" s="864">
        <f t="shared" si="18"/>
        <v>0</v>
      </c>
      <c r="D78" s="864">
        <f t="shared" si="19"/>
        <v>0</v>
      </c>
      <c r="E78" s="864">
        <f t="shared" si="20"/>
        <v>0</v>
      </c>
      <c r="F78" s="864">
        <f t="shared" si="21"/>
        <v>0</v>
      </c>
      <c r="G78" s="867">
        <f>F87+F85</f>
        <v>-84.336160000000007</v>
      </c>
      <c r="J78" s="875">
        <v>30900100005</v>
      </c>
      <c r="K78" s="1066" t="s">
        <v>54</v>
      </c>
      <c r="L78" s="864">
        <v>0</v>
      </c>
      <c r="M78" s="864">
        <v>828729</v>
      </c>
      <c r="N78" s="953">
        <v>30900100005</v>
      </c>
    </row>
    <row r="79" spans="1:14">
      <c r="A79" s="875">
        <v>20400700001</v>
      </c>
      <c r="B79" s="884" t="s">
        <v>507</v>
      </c>
      <c r="C79" s="864">
        <f t="shared" si="18"/>
        <v>0</v>
      </c>
      <c r="D79" s="864">
        <f t="shared" si="19"/>
        <v>0</v>
      </c>
      <c r="E79" s="864">
        <f t="shared" si="20"/>
        <v>0</v>
      </c>
      <c r="F79" s="864">
        <f t="shared" si="21"/>
        <v>0</v>
      </c>
      <c r="G79" s="867">
        <f>F88</f>
        <v>-23.324999999999999</v>
      </c>
      <c r="J79" s="875">
        <v>30900100006</v>
      </c>
      <c r="K79" s="1066" t="s">
        <v>55</v>
      </c>
      <c r="L79" s="864">
        <v>0</v>
      </c>
      <c r="M79" s="864">
        <v>1954700</v>
      </c>
      <c r="N79" s="953">
        <v>30900100006</v>
      </c>
    </row>
    <row r="80" spans="1:14">
      <c r="A80" s="876">
        <v>20500100001</v>
      </c>
      <c r="B80" s="864" t="s">
        <v>74</v>
      </c>
      <c r="C80" s="864">
        <f t="shared" si="18"/>
        <v>0</v>
      </c>
      <c r="D80" s="864">
        <f t="shared" si="19"/>
        <v>466662815.08999997</v>
      </c>
      <c r="E80" s="864">
        <f t="shared" si="20"/>
        <v>-466662815.08999997</v>
      </c>
      <c r="F80" s="864">
        <f t="shared" si="21"/>
        <v>-466662.81508999999</v>
      </c>
      <c r="G80" s="867">
        <f>+F82</f>
        <v>-2.3999999999999998E-4</v>
      </c>
      <c r="J80" s="875">
        <v>31000400002</v>
      </c>
      <c r="K80" s="1066" t="s">
        <v>63</v>
      </c>
      <c r="L80" s="864">
        <v>0</v>
      </c>
      <c r="M80" s="864">
        <v>252233.79</v>
      </c>
      <c r="N80" s="953">
        <v>31000400002</v>
      </c>
    </row>
    <row r="81" spans="1:15">
      <c r="A81" s="876">
        <v>30100100001</v>
      </c>
      <c r="B81" s="864" t="s">
        <v>48</v>
      </c>
      <c r="C81" s="864">
        <f t="shared" si="18"/>
        <v>0</v>
      </c>
      <c r="D81" s="864">
        <f t="shared" si="19"/>
        <v>1246371.02</v>
      </c>
      <c r="E81" s="864">
        <f t="shared" si="20"/>
        <v>-1246371.02</v>
      </c>
      <c r="F81" s="864">
        <f t="shared" si="21"/>
        <v>-1246.37102</v>
      </c>
      <c r="G81" s="867">
        <f>+F91</f>
        <v>-215.834</v>
      </c>
      <c r="J81" s="875">
        <v>31000500001</v>
      </c>
      <c r="K81" s="1066" t="s">
        <v>64</v>
      </c>
      <c r="L81" s="864">
        <v>0</v>
      </c>
      <c r="M81" s="864">
        <v>109261</v>
      </c>
      <c r="N81" s="953">
        <v>31000500001</v>
      </c>
    </row>
    <row r="82" spans="1:15">
      <c r="A82" s="876">
        <v>30100200001</v>
      </c>
      <c r="B82" s="864" t="s">
        <v>49</v>
      </c>
      <c r="C82" s="864">
        <f t="shared" si="18"/>
        <v>0</v>
      </c>
      <c r="D82" s="864">
        <f t="shared" si="19"/>
        <v>0.24</v>
      </c>
      <c r="E82" s="864">
        <f t="shared" si="20"/>
        <v>-0.24</v>
      </c>
      <c r="F82" s="864">
        <f t="shared" si="21"/>
        <v>-2.3999999999999998E-4</v>
      </c>
      <c r="J82" s="875">
        <v>31000700001</v>
      </c>
      <c r="K82" s="1066" t="s">
        <v>66</v>
      </c>
      <c r="L82" s="864">
        <v>0</v>
      </c>
      <c r="M82" s="864">
        <v>548661.91</v>
      </c>
      <c r="N82" s="953">
        <v>31000700001</v>
      </c>
    </row>
    <row r="83" spans="1:15">
      <c r="A83" s="876">
        <v>30100600001</v>
      </c>
      <c r="B83" s="864" t="s">
        <v>51</v>
      </c>
      <c r="C83" s="864">
        <f t="shared" si="18"/>
        <v>0</v>
      </c>
      <c r="D83" s="864">
        <f t="shared" si="19"/>
        <v>162028.87</v>
      </c>
      <c r="E83" s="864">
        <f t="shared" si="20"/>
        <v>-162028.87</v>
      </c>
      <c r="F83" s="864">
        <f t="shared" si="21"/>
        <v>-162.02886999999998</v>
      </c>
      <c r="G83" s="867">
        <f>+F92+F93</f>
        <v>-2783.4290000000001</v>
      </c>
      <c r="J83" s="875">
        <v>31000800001</v>
      </c>
      <c r="K83" s="1066" t="s">
        <v>68</v>
      </c>
      <c r="L83" s="864">
        <v>0</v>
      </c>
      <c r="M83" s="864">
        <v>4461.9800000000005</v>
      </c>
      <c r="N83" s="953">
        <v>31000800001</v>
      </c>
    </row>
    <row r="84" spans="1:15">
      <c r="A84" s="876">
        <v>30100700001</v>
      </c>
      <c r="B84" s="864" t="s">
        <v>58</v>
      </c>
      <c r="C84" s="864">
        <f t="shared" si="18"/>
        <v>0</v>
      </c>
      <c r="D84" s="864">
        <f t="shared" si="19"/>
        <v>5872249.8700000001</v>
      </c>
      <c r="E84" s="864">
        <f t="shared" si="20"/>
        <v>-5872249.8700000001</v>
      </c>
      <c r="F84" s="864">
        <f t="shared" si="21"/>
        <v>-5872.2498700000006</v>
      </c>
      <c r="G84" s="867">
        <f>+F95+F96</f>
        <v>-361.49478999999997</v>
      </c>
      <c r="J84" s="875">
        <v>31001200001</v>
      </c>
      <c r="K84" s="1066" t="s">
        <v>50</v>
      </c>
      <c r="L84" s="864">
        <v>0</v>
      </c>
      <c r="M84" s="864">
        <v>415088.61</v>
      </c>
      <c r="N84" s="953">
        <v>31001200001</v>
      </c>
    </row>
    <row r="85" spans="1:15">
      <c r="A85" s="876">
        <v>30100800001</v>
      </c>
      <c r="B85" s="864" t="s">
        <v>62</v>
      </c>
      <c r="C85" s="864">
        <f t="shared" si="18"/>
        <v>0</v>
      </c>
      <c r="D85" s="864">
        <f t="shared" si="19"/>
        <v>9720</v>
      </c>
      <c r="E85" s="864">
        <f t="shared" si="20"/>
        <v>-9720</v>
      </c>
      <c r="F85" s="864">
        <f t="shared" si="21"/>
        <v>-9.7200000000000006</v>
      </c>
      <c r="G85" s="867">
        <f t="shared" ref="G85:G91" si="22">+F87</f>
        <v>-74.616160000000008</v>
      </c>
      <c r="J85" s="875">
        <v>31001500001</v>
      </c>
      <c r="K85" s="1066" t="s">
        <v>60</v>
      </c>
      <c r="L85" s="864">
        <v>0.39</v>
      </c>
      <c r="M85" s="864">
        <v>0</v>
      </c>
      <c r="N85" s="953">
        <v>31001500001</v>
      </c>
    </row>
    <row r="86" spans="1:15">
      <c r="A86" s="876">
        <v>30100900001</v>
      </c>
      <c r="B86" s="864" t="s">
        <v>59</v>
      </c>
      <c r="C86" s="864">
        <f t="shared" si="18"/>
        <v>0</v>
      </c>
      <c r="D86" s="864">
        <f t="shared" si="19"/>
        <v>392742</v>
      </c>
      <c r="E86" s="864">
        <f t="shared" si="20"/>
        <v>-392742</v>
      </c>
      <c r="F86" s="864">
        <f t="shared" si="21"/>
        <v>-392.74200000000002</v>
      </c>
      <c r="G86" s="867">
        <f>+F98</f>
        <v>0</v>
      </c>
      <c r="J86" s="875">
        <v>31001700001</v>
      </c>
      <c r="K86" s="1066" t="s">
        <v>67</v>
      </c>
      <c r="L86" s="864">
        <v>0</v>
      </c>
      <c r="M86" s="864">
        <v>65137.75</v>
      </c>
      <c r="N86" s="953">
        <v>31001700001</v>
      </c>
    </row>
    <row r="87" spans="1:15">
      <c r="A87" s="876">
        <v>30200100001</v>
      </c>
      <c r="B87" s="864" t="s">
        <v>52</v>
      </c>
      <c r="C87" s="864">
        <f t="shared" si="18"/>
        <v>0</v>
      </c>
      <c r="D87" s="864">
        <f t="shared" si="19"/>
        <v>74616.160000000003</v>
      </c>
      <c r="E87" s="864">
        <f t="shared" si="20"/>
        <v>-74616.160000000003</v>
      </c>
      <c r="F87" s="864">
        <f t="shared" si="21"/>
        <v>-74.616160000000008</v>
      </c>
      <c r="G87" s="867">
        <f>+F101</f>
        <v>-548.66191000000003</v>
      </c>
      <c r="J87" s="875">
        <v>31200100001</v>
      </c>
      <c r="K87" s="1066" t="s">
        <v>61</v>
      </c>
      <c r="L87" s="864">
        <v>0</v>
      </c>
      <c r="M87" s="864">
        <v>37132.400000000001</v>
      </c>
      <c r="N87" s="953">
        <v>31200100001</v>
      </c>
    </row>
    <row r="88" spans="1:15">
      <c r="A88" s="876">
        <v>30400100001</v>
      </c>
      <c r="B88" s="864" t="s">
        <v>53</v>
      </c>
      <c r="C88" s="864">
        <f t="shared" si="18"/>
        <v>0</v>
      </c>
      <c r="D88" s="864">
        <f t="shared" si="19"/>
        <v>23325</v>
      </c>
      <c r="E88" s="864">
        <f t="shared" si="20"/>
        <v>-23325</v>
      </c>
      <c r="F88" s="864">
        <f t="shared" si="21"/>
        <v>-23.324999999999999</v>
      </c>
      <c r="G88" s="867">
        <f>+F102</f>
        <v>-4.4619800000000005</v>
      </c>
      <c r="J88" s="875">
        <v>314001001</v>
      </c>
      <c r="K88" s="1066" t="s">
        <v>508</v>
      </c>
      <c r="L88" s="864">
        <v>178.74</v>
      </c>
      <c r="M88" s="864">
        <v>0</v>
      </c>
      <c r="N88" s="953">
        <v>314001001</v>
      </c>
    </row>
    <row r="89" spans="1:15">
      <c r="A89" s="876">
        <v>30500100001</v>
      </c>
      <c r="B89" s="864" t="s">
        <v>56</v>
      </c>
      <c r="C89" s="864">
        <f t="shared" si="18"/>
        <v>0</v>
      </c>
      <c r="D89" s="864">
        <f t="shared" si="19"/>
        <v>8934271.2100000009</v>
      </c>
      <c r="E89" s="864">
        <f t="shared" si="20"/>
        <v>-8934271.2100000009</v>
      </c>
      <c r="F89" s="864">
        <f t="shared" si="21"/>
        <v>-8934.2712100000008</v>
      </c>
      <c r="G89" s="867">
        <f>+F90</f>
        <v>-199681.739</v>
      </c>
      <c r="J89" s="875">
        <v>40100100001</v>
      </c>
      <c r="K89" s="1066" t="s">
        <v>78</v>
      </c>
      <c r="L89" s="864">
        <v>6220064.5599999996</v>
      </c>
      <c r="M89" s="864">
        <v>0</v>
      </c>
      <c r="N89" s="953"/>
    </row>
    <row r="90" spans="1:15">
      <c r="A90" s="875">
        <v>30600100001</v>
      </c>
      <c r="B90" s="1066" t="s">
        <v>669</v>
      </c>
      <c r="C90" s="864">
        <f t="shared" si="18"/>
        <v>0</v>
      </c>
      <c r="D90" s="864">
        <f t="shared" si="19"/>
        <v>199681739</v>
      </c>
      <c r="E90" s="864">
        <f t="shared" ref="E90" si="23">+C90-D90</f>
        <v>-199681739</v>
      </c>
      <c r="F90" s="864">
        <f t="shared" ref="F90" si="24">+E90/1000</f>
        <v>-199681.739</v>
      </c>
      <c r="G90" s="867">
        <f>+F103</f>
        <v>-415.08860999999996</v>
      </c>
      <c r="J90" s="875">
        <v>40100300001</v>
      </c>
      <c r="K90" s="1066" t="s">
        <v>577</v>
      </c>
      <c r="L90" s="864">
        <v>1929904.56</v>
      </c>
      <c r="M90" s="864">
        <v>0</v>
      </c>
      <c r="N90" s="953">
        <v>40100300001</v>
      </c>
    </row>
    <row r="91" spans="1:15">
      <c r="A91" s="876">
        <v>30700100001</v>
      </c>
      <c r="B91" s="864" t="s">
        <v>57</v>
      </c>
      <c r="C91" s="864">
        <f t="shared" si="18"/>
        <v>0</v>
      </c>
      <c r="D91" s="864">
        <f t="shared" si="19"/>
        <v>215834</v>
      </c>
      <c r="E91" s="864">
        <f t="shared" si="20"/>
        <v>-215834</v>
      </c>
      <c r="F91" s="864">
        <f t="shared" si="21"/>
        <v>-215.834</v>
      </c>
      <c r="G91" s="867">
        <f t="shared" si="22"/>
        <v>-1954.7</v>
      </c>
      <c r="J91" s="875">
        <v>40100400001</v>
      </c>
      <c r="K91" s="1066" t="s">
        <v>79</v>
      </c>
      <c r="L91" s="864">
        <v>1520563</v>
      </c>
      <c r="M91" s="864">
        <v>0</v>
      </c>
      <c r="N91" s="953">
        <v>40100400001</v>
      </c>
    </row>
    <row r="92" spans="1:15">
      <c r="A92" s="876">
        <v>30900100005</v>
      </c>
      <c r="B92" s="864" t="s">
        <v>54</v>
      </c>
      <c r="C92" s="864">
        <f t="shared" si="18"/>
        <v>0</v>
      </c>
      <c r="D92" s="864">
        <f t="shared" si="19"/>
        <v>828729</v>
      </c>
      <c r="E92" s="864">
        <f t="shared" si="20"/>
        <v>-828729</v>
      </c>
      <c r="F92" s="864">
        <f t="shared" si="21"/>
        <v>-828.72900000000004</v>
      </c>
      <c r="J92" s="875">
        <v>40101000001</v>
      </c>
      <c r="K92" s="1066" t="s">
        <v>80</v>
      </c>
      <c r="L92" s="864">
        <v>0</v>
      </c>
      <c r="M92" s="864">
        <v>4624990</v>
      </c>
      <c r="N92" s="953">
        <v>40101000001</v>
      </c>
    </row>
    <row r="93" spans="1:15">
      <c r="A93" s="876">
        <v>30900100006</v>
      </c>
      <c r="B93" s="864" t="s">
        <v>55</v>
      </c>
      <c r="C93" s="864">
        <f t="shared" si="18"/>
        <v>0</v>
      </c>
      <c r="D93" s="864">
        <f t="shared" si="19"/>
        <v>1954700</v>
      </c>
      <c r="E93" s="864">
        <f t="shared" si="20"/>
        <v>-1954700</v>
      </c>
      <c r="F93" s="864">
        <f t="shared" si="21"/>
        <v>-1954.7</v>
      </c>
      <c r="G93" s="867">
        <f>+F106</f>
        <v>-65.137749999999997</v>
      </c>
      <c r="J93" s="875">
        <v>40101200001</v>
      </c>
      <c r="K93" s="1066" t="s">
        <v>94</v>
      </c>
      <c r="L93" s="864">
        <v>15161467.060000001</v>
      </c>
      <c r="M93" s="864">
        <v>0</v>
      </c>
      <c r="N93" s="953">
        <v>40101200001</v>
      </c>
    </row>
    <row r="94" spans="1:15">
      <c r="A94" s="876">
        <v>40100500001</v>
      </c>
      <c r="B94" s="864" t="s">
        <v>621</v>
      </c>
      <c r="C94" s="864">
        <f t="shared" si="18"/>
        <v>0</v>
      </c>
      <c r="D94" s="864">
        <f t="shared" si="19"/>
        <v>0</v>
      </c>
      <c r="E94" s="864">
        <f t="shared" si="20"/>
        <v>0</v>
      </c>
      <c r="F94" s="864">
        <f t="shared" si="21"/>
        <v>0</v>
      </c>
      <c r="G94" s="867">
        <f>+F96</f>
        <v>-109.261</v>
      </c>
      <c r="J94" s="875">
        <v>40101400001</v>
      </c>
      <c r="K94" s="1066" t="s">
        <v>95</v>
      </c>
      <c r="L94" s="864">
        <v>0</v>
      </c>
      <c r="M94" s="864">
        <v>527</v>
      </c>
      <c r="N94" s="953">
        <v>40101400001</v>
      </c>
      <c r="O94" s="864">
        <f>+L94+L95+L96+L97</f>
        <v>103.06</v>
      </c>
    </row>
    <row r="95" spans="1:15">
      <c r="A95" s="876">
        <v>31000400002</v>
      </c>
      <c r="B95" s="864" t="s">
        <v>63</v>
      </c>
      <c r="C95" s="864">
        <f t="shared" si="18"/>
        <v>0</v>
      </c>
      <c r="D95" s="864">
        <f t="shared" si="19"/>
        <v>252233.79</v>
      </c>
      <c r="E95" s="864">
        <f t="shared" si="20"/>
        <v>-252233.79</v>
      </c>
      <c r="F95" s="864">
        <f t="shared" si="21"/>
        <v>-252.23379</v>
      </c>
      <c r="G95" s="867">
        <f>+F97</f>
        <v>5.9999999999999995E-5</v>
      </c>
      <c r="J95" s="875">
        <v>40101500001</v>
      </c>
      <c r="K95" s="1066" t="s">
        <v>578</v>
      </c>
      <c r="L95" s="864">
        <v>0.06</v>
      </c>
      <c r="M95" s="864">
        <v>0</v>
      </c>
      <c r="N95" s="1058">
        <v>40101500001</v>
      </c>
    </row>
    <row r="96" spans="1:15" s="1057" customFormat="1">
      <c r="A96" s="875">
        <v>31000500001</v>
      </c>
      <c r="B96" s="884" t="s">
        <v>64</v>
      </c>
      <c r="C96" s="864">
        <f t="shared" si="18"/>
        <v>0</v>
      </c>
      <c r="D96" s="864">
        <f t="shared" si="19"/>
        <v>109261</v>
      </c>
      <c r="E96" s="864">
        <f t="shared" si="20"/>
        <v>-109261</v>
      </c>
      <c r="F96" s="864">
        <f t="shared" si="21"/>
        <v>-109.261</v>
      </c>
      <c r="G96" s="867"/>
      <c r="J96" s="875">
        <v>40101600001</v>
      </c>
      <c r="K96" s="1066" t="s">
        <v>96</v>
      </c>
      <c r="L96" s="864">
        <v>103</v>
      </c>
      <c r="M96" s="864">
        <v>0</v>
      </c>
      <c r="N96" s="953">
        <v>40101600001</v>
      </c>
    </row>
    <row r="97" spans="1:14">
      <c r="A97" s="875">
        <v>40101500001</v>
      </c>
      <c r="B97" s="1066" t="s">
        <v>578</v>
      </c>
      <c r="C97" s="864">
        <f t="shared" si="18"/>
        <v>0.06</v>
      </c>
      <c r="D97" s="864">
        <f t="shared" si="19"/>
        <v>0</v>
      </c>
      <c r="E97" s="864">
        <f t="shared" si="20"/>
        <v>0.06</v>
      </c>
      <c r="F97" s="864">
        <f t="shared" si="21"/>
        <v>5.9999999999999995E-5</v>
      </c>
      <c r="G97" s="983"/>
      <c r="J97" s="875">
        <v>40200100001</v>
      </c>
      <c r="K97" s="1066" t="s">
        <v>83</v>
      </c>
      <c r="L97" s="864">
        <v>0</v>
      </c>
      <c r="M97" s="864">
        <v>1404432.55</v>
      </c>
      <c r="N97" s="953">
        <v>40200100001</v>
      </c>
    </row>
    <row r="98" spans="1:14">
      <c r="A98" s="876">
        <v>31000600001</v>
      </c>
      <c r="B98" s="864" t="s">
        <v>65</v>
      </c>
      <c r="C98" s="864">
        <f t="shared" si="18"/>
        <v>0</v>
      </c>
      <c r="D98" s="864">
        <f t="shared" si="19"/>
        <v>0</v>
      </c>
      <c r="E98" s="864">
        <f t="shared" si="20"/>
        <v>0</v>
      </c>
      <c r="F98" s="864">
        <f t="shared" si="21"/>
        <v>0</v>
      </c>
      <c r="G98" s="867">
        <f>-F98-F100-F99</f>
        <v>0</v>
      </c>
      <c r="J98" s="875">
        <v>40200100005</v>
      </c>
      <c r="K98" s="1066" t="s">
        <v>84</v>
      </c>
      <c r="L98" s="864">
        <v>0</v>
      </c>
      <c r="M98" s="864">
        <v>427.92</v>
      </c>
      <c r="N98" s="953">
        <v>40200100005</v>
      </c>
    </row>
    <row r="99" spans="1:14">
      <c r="A99" s="876">
        <v>40102000001</v>
      </c>
      <c r="B99" s="864" t="s">
        <v>622</v>
      </c>
      <c r="C99" s="864">
        <f t="shared" si="18"/>
        <v>0</v>
      </c>
      <c r="D99" s="864">
        <f t="shared" si="19"/>
        <v>0</v>
      </c>
      <c r="E99" s="864">
        <f t="shared" si="20"/>
        <v>0</v>
      </c>
      <c r="F99" s="864">
        <f t="shared" si="21"/>
        <v>0</v>
      </c>
      <c r="G99" s="867">
        <f>+F101</f>
        <v>-548.66191000000003</v>
      </c>
      <c r="J99" s="875">
        <v>40200100014</v>
      </c>
      <c r="K99" s="1066" t="s">
        <v>85</v>
      </c>
      <c r="L99" s="864">
        <v>0</v>
      </c>
      <c r="M99" s="864">
        <v>330214.2</v>
      </c>
      <c r="N99" s="953">
        <v>40200100014</v>
      </c>
    </row>
    <row r="100" spans="1:14">
      <c r="A100" s="876">
        <v>40102100001</v>
      </c>
      <c r="B100" s="864" t="s">
        <v>623</v>
      </c>
      <c r="C100" s="864">
        <f t="shared" si="18"/>
        <v>0</v>
      </c>
      <c r="D100" s="864">
        <f t="shared" si="19"/>
        <v>0</v>
      </c>
      <c r="E100" s="864">
        <f t="shared" si="20"/>
        <v>0</v>
      </c>
      <c r="F100" s="864">
        <f t="shared" si="21"/>
        <v>0</v>
      </c>
      <c r="J100" s="875">
        <v>40200100017</v>
      </c>
      <c r="K100" s="1066" t="s">
        <v>86</v>
      </c>
      <c r="L100" s="864">
        <v>0</v>
      </c>
      <c r="M100" s="864">
        <v>3164</v>
      </c>
      <c r="N100" s="953">
        <v>40200100017</v>
      </c>
    </row>
    <row r="101" spans="1:14">
      <c r="A101" s="876">
        <v>31000700001</v>
      </c>
      <c r="B101" s="864" t="s">
        <v>66</v>
      </c>
      <c r="C101" s="864">
        <f t="shared" ref="C101:C132" si="25">+IFERROR(VLOOKUP(A101,$J$3:$M$146,3,0),0)</f>
        <v>0</v>
      </c>
      <c r="D101" s="864">
        <f t="shared" ref="D101:D132" si="26">+IFERROR(VLOOKUP(A101,$J$3:$M$146,4,0),0)</f>
        <v>548661.91</v>
      </c>
      <c r="E101" s="864">
        <f t="shared" si="20"/>
        <v>-548661.91</v>
      </c>
      <c r="F101" s="864">
        <f t="shared" si="21"/>
        <v>-548.66191000000003</v>
      </c>
      <c r="J101" s="875">
        <v>40200100021</v>
      </c>
      <c r="K101" s="1066" t="s">
        <v>87</v>
      </c>
      <c r="L101" s="864">
        <v>0</v>
      </c>
      <c r="M101" s="864">
        <v>37</v>
      </c>
      <c r="N101" s="953">
        <v>40200100021</v>
      </c>
    </row>
    <row r="102" spans="1:14">
      <c r="A102" s="876">
        <v>31000800001</v>
      </c>
      <c r="B102" s="864" t="s">
        <v>68</v>
      </c>
      <c r="C102" s="864">
        <f t="shared" si="25"/>
        <v>0</v>
      </c>
      <c r="D102" s="864">
        <f t="shared" si="26"/>
        <v>4461.9800000000005</v>
      </c>
      <c r="E102" s="864">
        <f t="shared" si="20"/>
        <v>-4461.9800000000005</v>
      </c>
      <c r="F102" s="864">
        <f t="shared" si="21"/>
        <v>-4.4619800000000005</v>
      </c>
      <c r="G102" s="867">
        <f>+SUM(F102:F104)</f>
        <v>-419.55019999999996</v>
      </c>
      <c r="J102" s="875">
        <v>40200100040</v>
      </c>
      <c r="K102" s="1066" t="s">
        <v>670</v>
      </c>
      <c r="L102" s="864">
        <v>0</v>
      </c>
      <c r="M102" s="864">
        <v>280</v>
      </c>
      <c r="N102" s="953" t="e">
        <v>#N/A</v>
      </c>
    </row>
    <row r="103" spans="1:14">
      <c r="A103" s="876">
        <v>31001200001</v>
      </c>
      <c r="B103" s="864" t="s">
        <v>50</v>
      </c>
      <c r="C103" s="864">
        <f t="shared" si="25"/>
        <v>0</v>
      </c>
      <c r="D103" s="864">
        <f t="shared" si="26"/>
        <v>415088.61</v>
      </c>
      <c r="E103" s="864">
        <f t="shared" si="20"/>
        <v>-415088.61</v>
      </c>
      <c r="F103" s="864">
        <f t="shared" si="21"/>
        <v>-415.08860999999996</v>
      </c>
      <c r="J103" s="875">
        <v>40200100075</v>
      </c>
      <c r="K103" s="1066" t="s">
        <v>509</v>
      </c>
      <c r="L103" s="864">
        <v>0</v>
      </c>
      <c r="M103" s="864">
        <v>177.92000000000002</v>
      </c>
      <c r="N103" s="953">
        <v>40200100075</v>
      </c>
    </row>
    <row r="104" spans="1:14">
      <c r="A104" s="876">
        <v>31001500001</v>
      </c>
      <c r="B104" s="864" t="s">
        <v>60</v>
      </c>
      <c r="C104" s="864">
        <f t="shared" si="25"/>
        <v>0.39</v>
      </c>
      <c r="D104" s="864">
        <f t="shared" si="26"/>
        <v>0</v>
      </c>
      <c r="E104" s="864">
        <f t="shared" si="20"/>
        <v>0.39</v>
      </c>
      <c r="F104" s="864">
        <f t="shared" si="21"/>
        <v>3.8999999999999999E-4</v>
      </c>
      <c r="J104" s="875">
        <v>40200100090</v>
      </c>
      <c r="K104" s="1066" t="s">
        <v>449</v>
      </c>
      <c r="L104" s="864">
        <v>0</v>
      </c>
      <c r="M104" s="864">
        <v>684.92</v>
      </c>
      <c r="N104" s="953">
        <v>40200100090</v>
      </c>
    </row>
    <row r="105" spans="1:14">
      <c r="A105" s="876">
        <v>31001600001</v>
      </c>
      <c r="B105" s="864" t="s">
        <v>69</v>
      </c>
      <c r="C105" s="864">
        <f t="shared" si="25"/>
        <v>0</v>
      </c>
      <c r="D105" s="864">
        <f t="shared" si="26"/>
        <v>0</v>
      </c>
      <c r="E105" s="864">
        <f t="shared" si="20"/>
        <v>0</v>
      </c>
      <c r="F105" s="864">
        <f t="shared" si="21"/>
        <v>0</v>
      </c>
      <c r="J105" s="875">
        <v>40200100096</v>
      </c>
      <c r="K105" s="1066" t="s">
        <v>511</v>
      </c>
      <c r="L105" s="864">
        <v>0</v>
      </c>
      <c r="M105" s="864">
        <v>15273</v>
      </c>
      <c r="N105" s="953">
        <v>40200100096</v>
      </c>
    </row>
    <row r="106" spans="1:14">
      <c r="A106" s="876">
        <v>31001700001</v>
      </c>
      <c r="B106" s="864" t="s">
        <v>67</v>
      </c>
      <c r="C106" s="864">
        <f t="shared" si="25"/>
        <v>0</v>
      </c>
      <c r="D106" s="864">
        <f t="shared" si="26"/>
        <v>65137.75</v>
      </c>
      <c r="E106" s="864">
        <f t="shared" si="20"/>
        <v>-65137.75</v>
      </c>
      <c r="F106" s="864">
        <f t="shared" si="21"/>
        <v>-65.137749999999997</v>
      </c>
      <c r="J106" s="875">
        <v>40200300001</v>
      </c>
      <c r="K106" s="1066" t="s">
        <v>82</v>
      </c>
      <c r="L106" s="864">
        <v>0</v>
      </c>
      <c r="M106" s="864">
        <v>10938.94</v>
      </c>
      <c r="N106" s="953">
        <v>40200300001</v>
      </c>
    </row>
    <row r="107" spans="1:14">
      <c r="A107" s="876">
        <v>31200100001</v>
      </c>
      <c r="B107" s="864" t="s">
        <v>61</v>
      </c>
      <c r="C107" s="864">
        <f t="shared" si="25"/>
        <v>0</v>
      </c>
      <c r="D107" s="864">
        <f t="shared" si="26"/>
        <v>37132.400000000001</v>
      </c>
      <c r="E107" s="864">
        <f t="shared" si="20"/>
        <v>-37132.400000000001</v>
      </c>
      <c r="F107" s="864">
        <f t="shared" si="21"/>
        <v>-37.132400000000004</v>
      </c>
      <c r="J107" s="875">
        <v>40200400001</v>
      </c>
      <c r="K107" s="1066" t="s">
        <v>579</v>
      </c>
      <c r="L107" s="864">
        <v>0</v>
      </c>
      <c r="M107" s="864">
        <v>135359.14000000001</v>
      </c>
      <c r="N107" s="953">
        <v>40200400001</v>
      </c>
    </row>
    <row r="108" spans="1:14">
      <c r="A108" s="876">
        <v>40200700001</v>
      </c>
      <c r="B108" s="864" t="s">
        <v>624</v>
      </c>
      <c r="C108" s="864">
        <f t="shared" si="25"/>
        <v>0</v>
      </c>
      <c r="D108" s="864">
        <f t="shared" si="26"/>
        <v>0</v>
      </c>
      <c r="E108" s="864">
        <f t="shared" si="20"/>
        <v>0</v>
      </c>
      <c r="F108" s="864">
        <f t="shared" si="21"/>
        <v>0</v>
      </c>
      <c r="G108" s="867">
        <f>-SUM(TB!F110:F111)-TB!F114-TB!F100-TB!F94</f>
        <v>-9670.5321199999998</v>
      </c>
      <c r="J108" s="875">
        <v>40201400001</v>
      </c>
      <c r="K108" s="1066" t="s">
        <v>580</v>
      </c>
      <c r="L108" s="864">
        <v>38.17</v>
      </c>
      <c r="M108" s="864">
        <v>0</v>
      </c>
      <c r="N108" s="953">
        <v>40201400001</v>
      </c>
    </row>
    <row r="109" spans="1:14">
      <c r="A109" s="875">
        <v>314001001</v>
      </c>
      <c r="B109" s="884" t="s">
        <v>508</v>
      </c>
      <c r="C109" s="864">
        <f t="shared" si="25"/>
        <v>178.74</v>
      </c>
      <c r="D109" s="864">
        <f t="shared" si="26"/>
        <v>0</v>
      </c>
      <c r="E109" s="864">
        <f t="shared" si="20"/>
        <v>178.74</v>
      </c>
      <c r="F109" s="864">
        <f t="shared" si="21"/>
        <v>0.17874000000000001</v>
      </c>
      <c r="J109" s="875">
        <v>40201500002</v>
      </c>
      <c r="K109" s="1066" t="s">
        <v>581</v>
      </c>
      <c r="L109" s="864">
        <v>0</v>
      </c>
      <c r="M109" s="864">
        <v>27654.62</v>
      </c>
      <c r="N109" s="953">
        <v>40201500002</v>
      </c>
    </row>
    <row r="110" spans="1:14">
      <c r="A110" s="876">
        <v>40100100001</v>
      </c>
      <c r="B110" s="864" t="s">
        <v>78</v>
      </c>
      <c r="C110" s="864">
        <f t="shared" si="25"/>
        <v>6220064.5599999996</v>
      </c>
      <c r="D110" s="864">
        <f t="shared" si="26"/>
        <v>0</v>
      </c>
      <c r="E110" s="864">
        <f t="shared" si="20"/>
        <v>6220064.5599999996</v>
      </c>
      <c r="F110" s="864">
        <f t="shared" si="21"/>
        <v>6220.0645599999998</v>
      </c>
      <c r="J110" s="875">
        <v>40201600001</v>
      </c>
      <c r="K110" s="1066" t="s">
        <v>81</v>
      </c>
      <c r="L110" s="864">
        <v>0</v>
      </c>
      <c r="M110" s="864">
        <v>1252988.3999999999</v>
      </c>
      <c r="N110" s="953">
        <v>40201600001</v>
      </c>
    </row>
    <row r="111" spans="1:14">
      <c r="A111" s="1055">
        <v>40100300001</v>
      </c>
      <c r="B111" s="1056" t="s">
        <v>577</v>
      </c>
      <c r="C111" s="864">
        <f t="shared" si="25"/>
        <v>1929904.56</v>
      </c>
      <c r="D111" s="864">
        <f t="shared" si="26"/>
        <v>0</v>
      </c>
      <c r="E111" s="864">
        <f t="shared" si="20"/>
        <v>1929904.56</v>
      </c>
      <c r="F111" s="864">
        <f t="shared" si="21"/>
        <v>1929.9045599999999</v>
      </c>
      <c r="G111" s="867">
        <f>-(TB!F112+TB!F113+TB!F134+TB!F136+TB!F138+TB!F108)</f>
        <v>1416.00216</v>
      </c>
      <c r="J111" s="875">
        <v>40300100001</v>
      </c>
      <c r="K111" s="1066" t="s">
        <v>93</v>
      </c>
      <c r="L111" s="864">
        <v>0</v>
      </c>
      <c r="M111" s="864">
        <v>20240</v>
      </c>
      <c r="N111" s="953">
        <v>40300100001</v>
      </c>
    </row>
    <row r="112" spans="1:14">
      <c r="A112" s="1111">
        <v>40202400001</v>
      </c>
      <c r="B112" s="1112" t="s">
        <v>625</v>
      </c>
      <c r="C112" s="864">
        <f t="shared" si="25"/>
        <v>0</v>
      </c>
      <c r="D112" s="864">
        <f t="shared" si="26"/>
        <v>0</v>
      </c>
      <c r="E112" s="864">
        <f t="shared" si="20"/>
        <v>0</v>
      </c>
      <c r="F112" s="864">
        <f t="shared" si="21"/>
        <v>0</v>
      </c>
      <c r="J112" s="875">
        <v>40400100001</v>
      </c>
      <c r="K112" s="1066" t="s">
        <v>121</v>
      </c>
      <c r="L112" s="864">
        <v>1350.47</v>
      </c>
      <c r="M112" s="864">
        <v>0</v>
      </c>
      <c r="N112" s="953">
        <v>40400100001</v>
      </c>
    </row>
    <row r="113" spans="1:14">
      <c r="A113" s="1111">
        <v>40202500001</v>
      </c>
      <c r="B113" s="1112" t="s">
        <v>626</v>
      </c>
      <c r="C113" s="864">
        <f t="shared" si="25"/>
        <v>0</v>
      </c>
      <c r="D113" s="864">
        <f t="shared" si="26"/>
        <v>0</v>
      </c>
      <c r="E113" s="864">
        <f t="shared" si="20"/>
        <v>0</v>
      </c>
      <c r="F113" s="864">
        <f t="shared" si="21"/>
        <v>0</v>
      </c>
      <c r="J113" s="875">
        <v>40400200001</v>
      </c>
      <c r="K113" s="1066" t="s">
        <v>122</v>
      </c>
      <c r="L113" s="864">
        <v>1553997.92</v>
      </c>
      <c r="M113" s="864">
        <v>0</v>
      </c>
      <c r="N113" s="953">
        <v>40400200001</v>
      </c>
    </row>
    <row r="114" spans="1:14">
      <c r="A114" s="876">
        <v>40100400001</v>
      </c>
      <c r="B114" s="864" t="s">
        <v>79</v>
      </c>
      <c r="C114" s="864">
        <f t="shared" si="25"/>
        <v>1520563</v>
      </c>
      <c r="D114" s="864">
        <f t="shared" si="26"/>
        <v>0</v>
      </c>
      <c r="E114" s="864">
        <f t="shared" si="20"/>
        <v>1520563</v>
      </c>
      <c r="F114" s="864">
        <f t="shared" si="21"/>
        <v>1520.5630000000001</v>
      </c>
      <c r="J114" s="875">
        <v>50100100001</v>
      </c>
      <c r="K114" s="1066" t="s">
        <v>97</v>
      </c>
      <c r="L114" s="864">
        <v>3907403</v>
      </c>
      <c r="M114" s="864">
        <v>0</v>
      </c>
      <c r="N114" s="953">
        <v>50100100001</v>
      </c>
    </row>
    <row r="115" spans="1:14">
      <c r="A115" s="876">
        <v>40101000001</v>
      </c>
      <c r="B115" s="864" t="s">
        <v>80</v>
      </c>
      <c r="C115" s="864">
        <f t="shared" si="25"/>
        <v>0</v>
      </c>
      <c r="D115" s="864">
        <f t="shared" si="26"/>
        <v>4624990</v>
      </c>
      <c r="E115" s="864">
        <f t="shared" si="20"/>
        <v>-4624990</v>
      </c>
      <c r="F115" s="864">
        <f t="shared" si="21"/>
        <v>-4624.99</v>
      </c>
      <c r="G115" s="867">
        <f>+F116+F117+F118+G95</f>
        <v>15161.04312</v>
      </c>
      <c r="J115" s="875">
        <v>50100100002</v>
      </c>
      <c r="K115" s="1066" t="s">
        <v>98</v>
      </c>
      <c r="L115" s="864">
        <v>507962.39</v>
      </c>
      <c r="M115" s="864">
        <v>0</v>
      </c>
      <c r="N115" s="953">
        <v>50100100002</v>
      </c>
    </row>
    <row r="116" spans="1:14">
      <c r="A116" s="876">
        <v>40101200001</v>
      </c>
      <c r="B116" s="864" t="s">
        <v>94</v>
      </c>
      <c r="C116" s="864">
        <f t="shared" si="25"/>
        <v>15161467.060000001</v>
      </c>
      <c r="D116" s="864">
        <f t="shared" si="26"/>
        <v>0</v>
      </c>
      <c r="E116" s="864">
        <f t="shared" si="20"/>
        <v>15161467.060000001</v>
      </c>
      <c r="F116" s="864">
        <f t="shared" si="21"/>
        <v>15161.467060000001</v>
      </c>
      <c r="G116" s="867">
        <f>+SUM((F119:F131))</f>
        <v>-1754.4115099999999</v>
      </c>
      <c r="J116" s="875">
        <v>50100200001</v>
      </c>
      <c r="K116" s="1066" t="s">
        <v>99</v>
      </c>
      <c r="L116" s="864">
        <v>233302</v>
      </c>
      <c r="M116" s="864">
        <v>0</v>
      </c>
      <c r="N116" s="953">
        <v>50100200001</v>
      </c>
    </row>
    <row r="117" spans="1:14">
      <c r="A117" s="876">
        <v>40101400001</v>
      </c>
      <c r="B117" s="864" t="s">
        <v>95</v>
      </c>
      <c r="C117" s="864">
        <f t="shared" si="25"/>
        <v>0</v>
      </c>
      <c r="D117" s="864">
        <f t="shared" si="26"/>
        <v>527</v>
      </c>
      <c r="E117" s="864">
        <f t="shared" si="20"/>
        <v>-527</v>
      </c>
      <c r="F117" s="864">
        <f t="shared" si="21"/>
        <v>-0.52700000000000002</v>
      </c>
      <c r="G117" s="867">
        <f>+F119+F121</f>
        <v>-1734.6467499999999</v>
      </c>
      <c r="J117" s="875">
        <v>50100200002</v>
      </c>
      <c r="K117" s="1066" t="s">
        <v>100</v>
      </c>
      <c r="L117" s="864">
        <v>30328</v>
      </c>
      <c r="M117" s="864">
        <v>0</v>
      </c>
      <c r="N117" s="953">
        <v>50100200002</v>
      </c>
    </row>
    <row r="118" spans="1:14">
      <c r="A118" s="876">
        <v>40101600001</v>
      </c>
      <c r="B118" s="864" t="s">
        <v>96</v>
      </c>
      <c r="C118" s="864">
        <f t="shared" si="25"/>
        <v>103</v>
      </c>
      <c r="D118" s="864">
        <f t="shared" si="26"/>
        <v>0</v>
      </c>
      <c r="E118" s="864">
        <f t="shared" si="20"/>
        <v>103</v>
      </c>
      <c r="F118" s="864">
        <f t="shared" si="21"/>
        <v>0.10299999999999999</v>
      </c>
      <c r="J118" s="875">
        <v>50100300001</v>
      </c>
      <c r="K118" s="1066" t="s">
        <v>101</v>
      </c>
      <c r="L118" s="864">
        <v>23325</v>
      </c>
      <c r="M118" s="864">
        <v>0</v>
      </c>
      <c r="N118" s="953">
        <v>50100300001</v>
      </c>
    </row>
    <row r="119" spans="1:14">
      <c r="A119" s="876">
        <v>40200100001</v>
      </c>
      <c r="B119" s="864" t="s">
        <v>83</v>
      </c>
      <c r="C119" s="864">
        <f t="shared" si="25"/>
        <v>0</v>
      </c>
      <c r="D119" s="864">
        <f t="shared" si="26"/>
        <v>1404432.55</v>
      </c>
      <c r="E119" s="864">
        <f t="shared" si="20"/>
        <v>-1404432.55</v>
      </c>
      <c r="F119" s="864">
        <f t="shared" si="21"/>
        <v>-1404.43255</v>
      </c>
      <c r="J119" s="875">
        <v>50100500001</v>
      </c>
      <c r="K119" s="1066" t="s">
        <v>108</v>
      </c>
      <c r="L119" s="864">
        <v>116626.19</v>
      </c>
      <c r="M119" s="864">
        <v>0</v>
      </c>
      <c r="N119" s="953">
        <v>50100500001</v>
      </c>
    </row>
    <row r="120" spans="1:14">
      <c r="A120" s="876">
        <v>40200100005</v>
      </c>
      <c r="B120" s="864" t="s">
        <v>84</v>
      </c>
      <c r="C120" s="864">
        <f t="shared" si="25"/>
        <v>0</v>
      </c>
      <c r="D120" s="864">
        <f t="shared" si="26"/>
        <v>427.92</v>
      </c>
      <c r="E120" s="864">
        <f t="shared" si="20"/>
        <v>-427.92</v>
      </c>
      <c r="F120" s="864">
        <f t="shared" si="21"/>
        <v>-0.42792000000000002</v>
      </c>
      <c r="J120" s="875">
        <v>50200100001</v>
      </c>
      <c r="K120" s="1066" t="s">
        <v>102</v>
      </c>
      <c r="L120" s="864">
        <v>252231.44</v>
      </c>
      <c r="M120" s="864">
        <v>0</v>
      </c>
      <c r="N120" s="953">
        <v>50200100001</v>
      </c>
    </row>
    <row r="121" spans="1:14">
      <c r="A121" s="876">
        <v>40200100014</v>
      </c>
      <c r="B121" s="864" t="s">
        <v>85</v>
      </c>
      <c r="C121" s="864">
        <f t="shared" si="25"/>
        <v>0</v>
      </c>
      <c r="D121" s="864">
        <f t="shared" si="26"/>
        <v>330214.2</v>
      </c>
      <c r="E121" s="864">
        <f t="shared" si="20"/>
        <v>-330214.2</v>
      </c>
      <c r="F121" s="864">
        <f t="shared" si="21"/>
        <v>-330.21420000000001</v>
      </c>
      <c r="J121" s="875">
        <v>50200100002</v>
      </c>
      <c r="K121" s="1066" t="s">
        <v>103</v>
      </c>
      <c r="L121" s="864">
        <v>133956</v>
      </c>
      <c r="M121" s="864">
        <v>0</v>
      </c>
      <c r="N121" s="953">
        <v>50200100002</v>
      </c>
    </row>
    <row r="122" spans="1:14">
      <c r="A122" s="876">
        <v>40200100017</v>
      </c>
      <c r="B122" s="864" t="s">
        <v>86</v>
      </c>
      <c r="C122" s="864">
        <f t="shared" si="25"/>
        <v>0</v>
      </c>
      <c r="D122" s="864">
        <f t="shared" si="26"/>
        <v>3164</v>
      </c>
      <c r="E122" s="864">
        <f t="shared" si="20"/>
        <v>-3164</v>
      </c>
      <c r="F122" s="864">
        <f t="shared" si="21"/>
        <v>-3.1640000000000001</v>
      </c>
      <c r="G122" s="867">
        <f>+F124+F120+F122</f>
        <v>-3.59192</v>
      </c>
      <c r="J122" s="875">
        <v>50200300001</v>
      </c>
      <c r="K122" s="1066" t="s">
        <v>104</v>
      </c>
      <c r="L122" s="864">
        <v>5821</v>
      </c>
      <c r="M122" s="864">
        <v>0</v>
      </c>
      <c r="N122" s="953">
        <v>50200300001</v>
      </c>
    </row>
    <row r="123" spans="1:14">
      <c r="A123" s="876">
        <v>40200100021</v>
      </c>
      <c r="B123" s="864" t="s">
        <v>87</v>
      </c>
      <c r="C123" s="864">
        <f t="shared" si="25"/>
        <v>0</v>
      </c>
      <c r="D123" s="864">
        <f t="shared" si="26"/>
        <v>37</v>
      </c>
      <c r="E123" s="864">
        <f t="shared" si="20"/>
        <v>-37</v>
      </c>
      <c r="F123" s="864">
        <f t="shared" si="21"/>
        <v>-3.6999999999999998E-2</v>
      </c>
      <c r="G123" s="867">
        <f>+F125</f>
        <v>0</v>
      </c>
      <c r="J123" s="875">
        <v>50200300002</v>
      </c>
      <c r="K123" s="1066" t="s">
        <v>105</v>
      </c>
      <c r="L123" s="864">
        <v>83383</v>
      </c>
      <c r="M123" s="864">
        <v>0</v>
      </c>
      <c r="N123" s="953">
        <v>50200300002</v>
      </c>
    </row>
    <row r="124" spans="1:14">
      <c r="A124" s="876">
        <v>40200100026</v>
      </c>
      <c r="B124" s="864" t="s">
        <v>88</v>
      </c>
      <c r="C124" s="864">
        <f t="shared" si="25"/>
        <v>0</v>
      </c>
      <c r="D124" s="864">
        <f t="shared" si="26"/>
        <v>0</v>
      </c>
      <c r="E124" s="864">
        <f t="shared" si="20"/>
        <v>0</v>
      </c>
      <c r="F124" s="864">
        <f t="shared" si="21"/>
        <v>0</v>
      </c>
      <c r="J124" s="875">
        <v>50500100002</v>
      </c>
      <c r="K124" s="1066" t="s">
        <v>671</v>
      </c>
      <c r="L124" s="864">
        <v>0</v>
      </c>
      <c r="M124" s="864">
        <v>6269398.6100000003</v>
      </c>
      <c r="N124" s="953" t="e">
        <v>#N/A</v>
      </c>
    </row>
    <row r="125" spans="1:14">
      <c r="A125" s="876">
        <v>40200100034</v>
      </c>
      <c r="B125" s="864" t="s">
        <v>89</v>
      </c>
      <c r="C125" s="864">
        <f t="shared" si="25"/>
        <v>0</v>
      </c>
      <c r="D125" s="864">
        <f t="shared" si="26"/>
        <v>0</v>
      </c>
      <c r="E125" s="864">
        <f t="shared" si="20"/>
        <v>0</v>
      </c>
      <c r="F125" s="864">
        <f t="shared" si="21"/>
        <v>0</v>
      </c>
      <c r="J125" s="875">
        <v>50600100001</v>
      </c>
      <c r="K125" s="1066" t="s">
        <v>107</v>
      </c>
      <c r="L125" s="864">
        <v>145130.92000000001</v>
      </c>
      <c r="M125" s="864">
        <v>0</v>
      </c>
      <c r="N125" s="953">
        <v>50600100001</v>
      </c>
    </row>
    <row r="126" spans="1:14">
      <c r="A126" s="876">
        <v>40200100069</v>
      </c>
      <c r="B126" s="864" t="s">
        <v>90</v>
      </c>
      <c r="C126" s="864">
        <f t="shared" si="25"/>
        <v>0</v>
      </c>
      <c r="D126" s="864">
        <f t="shared" si="26"/>
        <v>0</v>
      </c>
      <c r="E126" s="864">
        <f t="shared" si="20"/>
        <v>0</v>
      </c>
      <c r="F126" s="864">
        <f t="shared" si="21"/>
        <v>0</v>
      </c>
      <c r="G126" s="867">
        <f t="shared" ref="G126:G132" si="27">+F128</f>
        <v>0</v>
      </c>
      <c r="J126" s="875">
        <v>50600200001</v>
      </c>
      <c r="K126" s="1066" t="s">
        <v>110</v>
      </c>
      <c r="L126" s="864">
        <v>434367.52</v>
      </c>
      <c r="M126" s="864">
        <v>0</v>
      </c>
      <c r="N126" s="953">
        <v>50600200001</v>
      </c>
    </row>
    <row r="127" spans="1:14">
      <c r="A127" s="876">
        <v>40200100072</v>
      </c>
      <c r="B127" s="864" t="s">
        <v>91</v>
      </c>
      <c r="C127" s="864">
        <f t="shared" si="25"/>
        <v>0</v>
      </c>
      <c r="D127" s="864">
        <f t="shared" si="26"/>
        <v>0</v>
      </c>
      <c r="E127" s="864">
        <f t="shared" si="20"/>
        <v>0</v>
      </c>
      <c r="F127" s="864">
        <f t="shared" si="21"/>
        <v>0</v>
      </c>
      <c r="G127" s="867">
        <f t="shared" si="27"/>
        <v>-15.273</v>
      </c>
      <c r="J127" s="875">
        <v>50600300009</v>
      </c>
      <c r="K127" s="1066" t="s">
        <v>112</v>
      </c>
      <c r="L127" s="864">
        <v>6931.28</v>
      </c>
      <c r="M127" s="864">
        <v>0</v>
      </c>
      <c r="N127" s="953">
        <v>50600300009</v>
      </c>
    </row>
    <row r="128" spans="1:14">
      <c r="A128" s="875">
        <v>40200100088</v>
      </c>
      <c r="B128" s="884" t="s">
        <v>510</v>
      </c>
      <c r="C128" s="864">
        <f t="shared" si="25"/>
        <v>0</v>
      </c>
      <c r="D128" s="864">
        <f t="shared" si="26"/>
        <v>0</v>
      </c>
      <c r="E128" s="864">
        <f t="shared" si="20"/>
        <v>0</v>
      </c>
      <c r="F128" s="864">
        <f t="shared" si="21"/>
        <v>0</v>
      </c>
      <c r="G128" s="867">
        <f t="shared" si="27"/>
        <v>-0.17792000000000002</v>
      </c>
      <c r="J128" s="875">
        <v>50700100001</v>
      </c>
      <c r="K128" s="1066" t="s">
        <v>113</v>
      </c>
      <c r="L128" s="864">
        <v>25208</v>
      </c>
      <c r="M128" s="864">
        <v>0</v>
      </c>
      <c r="N128" s="953">
        <v>50700100001</v>
      </c>
    </row>
    <row r="129" spans="1:14">
      <c r="A129" s="875">
        <v>40200100096</v>
      </c>
      <c r="B129" s="884" t="s">
        <v>511</v>
      </c>
      <c r="C129" s="864">
        <f t="shared" si="25"/>
        <v>0</v>
      </c>
      <c r="D129" s="864">
        <f t="shared" si="26"/>
        <v>15273</v>
      </c>
      <c r="E129" s="864">
        <f t="shared" si="20"/>
        <v>-15273</v>
      </c>
      <c r="F129" s="864">
        <f t="shared" si="21"/>
        <v>-15.273</v>
      </c>
      <c r="G129" s="867">
        <f t="shared" si="27"/>
        <v>-0.68491999999999997</v>
      </c>
      <c r="J129" s="875">
        <v>51000100001</v>
      </c>
      <c r="K129" s="1066" t="s">
        <v>114</v>
      </c>
      <c r="L129" s="864">
        <v>98</v>
      </c>
      <c r="M129" s="864">
        <v>0</v>
      </c>
      <c r="N129" s="953">
        <v>51000100001</v>
      </c>
    </row>
    <row r="130" spans="1:14">
      <c r="A130" s="875">
        <v>40200100075</v>
      </c>
      <c r="B130" s="884" t="s">
        <v>509</v>
      </c>
      <c r="C130" s="864">
        <f t="shared" si="25"/>
        <v>0</v>
      </c>
      <c r="D130" s="864">
        <f t="shared" si="26"/>
        <v>177.92000000000002</v>
      </c>
      <c r="E130" s="864">
        <f t="shared" si="20"/>
        <v>-177.92000000000002</v>
      </c>
      <c r="F130" s="864">
        <f t="shared" si="21"/>
        <v>-0.17792000000000002</v>
      </c>
      <c r="G130" s="867">
        <f t="shared" si="27"/>
        <v>0</v>
      </c>
      <c r="J130" s="875">
        <v>51000100008</v>
      </c>
      <c r="K130" s="1066" t="s">
        <v>451</v>
      </c>
      <c r="L130" s="864">
        <v>1203</v>
      </c>
      <c r="M130" s="864">
        <v>0</v>
      </c>
      <c r="N130" s="953">
        <v>51000100008</v>
      </c>
    </row>
    <row r="131" spans="1:14">
      <c r="A131" s="876">
        <v>40200100090</v>
      </c>
      <c r="B131" s="864" t="s">
        <v>449</v>
      </c>
      <c r="C131" s="864">
        <f t="shared" si="25"/>
        <v>0</v>
      </c>
      <c r="D131" s="864">
        <f t="shared" si="26"/>
        <v>684.92</v>
      </c>
      <c r="E131" s="864">
        <f t="shared" si="20"/>
        <v>-684.92</v>
      </c>
      <c r="F131" s="864">
        <f t="shared" si="21"/>
        <v>-0.68491999999999997</v>
      </c>
      <c r="G131" s="867">
        <f t="shared" ref="G131" si="28">+F133</f>
        <v>-10.938940000000001</v>
      </c>
      <c r="J131" s="875">
        <v>51000100009</v>
      </c>
      <c r="K131" s="1066" t="s">
        <v>116</v>
      </c>
      <c r="L131" s="864">
        <v>41558</v>
      </c>
      <c r="M131" s="864">
        <v>0</v>
      </c>
      <c r="N131" s="953">
        <v>51000100009</v>
      </c>
    </row>
    <row r="132" spans="1:14">
      <c r="A132" s="876">
        <v>40200200001</v>
      </c>
      <c r="B132" s="864" t="s">
        <v>92</v>
      </c>
      <c r="C132" s="864">
        <f t="shared" si="25"/>
        <v>0</v>
      </c>
      <c r="D132" s="864">
        <f t="shared" si="26"/>
        <v>0</v>
      </c>
      <c r="E132" s="864">
        <f t="shared" si="20"/>
        <v>0</v>
      </c>
      <c r="F132" s="864">
        <f t="shared" si="21"/>
        <v>0</v>
      </c>
      <c r="G132" s="867">
        <f t="shared" si="27"/>
        <v>-135.35914000000002</v>
      </c>
      <c r="J132" s="875">
        <v>51000100010</v>
      </c>
      <c r="K132" s="1066" t="s">
        <v>117</v>
      </c>
      <c r="L132" s="864">
        <v>5141</v>
      </c>
      <c r="M132" s="864">
        <v>0</v>
      </c>
      <c r="N132" s="953">
        <v>51000100010</v>
      </c>
    </row>
    <row r="133" spans="1:14">
      <c r="A133" s="876">
        <v>40200300001</v>
      </c>
      <c r="B133" s="864" t="s">
        <v>82</v>
      </c>
      <c r="C133" s="864">
        <f t="shared" ref="C133:C140" si="29">+IFERROR(VLOOKUP(A133,$J$3:$M$146,3,0),0)</f>
        <v>0</v>
      </c>
      <c r="D133" s="864">
        <f t="shared" ref="D133:D140" si="30">+IFERROR(VLOOKUP(A133,$J$3:$M$146,4,0),0)</f>
        <v>10938.94</v>
      </c>
      <c r="E133" s="864">
        <f t="shared" si="20"/>
        <v>-10938.94</v>
      </c>
      <c r="F133" s="864">
        <f t="shared" si="21"/>
        <v>-10.938940000000001</v>
      </c>
      <c r="J133" s="875">
        <v>51000100012</v>
      </c>
      <c r="K133" s="1066" t="s">
        <v>672</v>
      </c>
      <c r="L133" s="864">
        <v>2342</v>
      </c>
      <c r="M133" s="864">
        <v>0</v>
      </c>
      <c r="N133" s="953"/>
    </row>
    <row r="134" spans="1:14">
      <c r="A134" s="1055">
        <v>40200400001</v>
      </c>
      <c r="B134" s="1056" t="s">
        <v>579</v>
      </c>
      <c r="C134" s="864">
        <f t="shared" si="29"/>
        <v>0</v>
      </c>
      <c r="D134" s="864">
        <f t="shared" si="30"/>
        <v>135359.14000000001</v>
      </c>
      <c r="E134" s="864">
        <f t="shared" si="20"/>
        <v>-135359.14000000001</v>
      </c>
      <c r="F134" s="864">
        <f t="shared" si="21"/>
        <v>-135.35914000000002</v>
      </c>
      <c r="G134" s="867">
        <f>F135</f>
        <v>3.8170000000000003E-2</v>
      </c>
      <c r="J134" s="875">
        <v>51000100016</v>
      </c>
      <c r="K134" s="1066" t="s">
        <v>118</v>
      </c>
      <c r="L134" s="864">
        <v>14</v>
      </c>
      <c r="M134" s="864">
        <v>0</v>
      </c>
      <c r="N134" s="953"/>
    </row>
    <row r="135" spans="1:14">
      <c r="A135" s="1055">
        <v>40201400001</v>
      </c>
      <c r="B135" s="1056" t="s">
        <v>580</v>
      </c>
      <c r="C135" s="864">
        <f t="shared" si="29"/>
        <v>38.17</v>
      </c>
      <c r="D135" s="864">
        <f t="shared" si="30"/>
        <v>0</v>
      </c>
      <c r="E135" s="864">
        <f t="shared" si="20"/>
        <v>38.17</v>
      </c>
      <c r="F135" s="864">
        <f t="shared" si="21"/>
        <v>3.8170000000000003E-2</v>
      </c>
      <c r="J135" s="875">
        <v>51000100017</v>
      </c>
      <c r="K135" s="1066" t="s">
        <v>119</v>
      </c>
      <c r="L135" s="864">
        <v>118</v>
      </c>
      <c r="M135" s="864">
        <v>0</v>
      </c>
      <c r="N135" s="953"/>
    </row>
    <row r="136" spans="1:14">
      <c r="A136" s="1055">
        <v>40201500002</v>
      </c>
      <c r="B136" s="1056" t="s">
        <v>581</v>
      </c>
      <c r="C136" s="864">
        <f t="shared" si="29"/>
        <v>0</v>
      </c>
      <c r="D136" s="864">
        <f t="shared" si="30"/>
        <v>27654.62</v>
      </c>
      <c r="E136" s="864">
        <f t="shared" ref="E136:E156" si="31">+C136-D136</f>
        <v>-27654.62</v>
      </c>
      <c r="F136" s="864">
        <f t="shared" ref="F136:F171" si="32">+E136/1000</f>
        <v>-27.654619999999998</v>
      </c>
      <c r="G136" s="867">
        <f>+F138+F137</f>
        <v>-1252.9884</v>
      </c>
      <c r="J136" s="875">
        <v>51000100021</v>
      </c>
      <c r="K136" s="1066" t="s">
        <v>513</v>
      </c>
      <c r="L136" s="864">
        <v>18</v>
      </c>
      <c r="M136" s="864">
        <v>0</v>
      </c>
    </row>
    <row r="137" spans="1:14">
      <c r="A137" s="876">
        <v>40200900001</v>
      </c>
      <c r="B137" s="864" t="s">
        <v>450</v>
      </c>
      <c r="C137" s="864">
        <f t="shared" si="29"/>
        <v>0</v>
      </c>
      <c r="D137" s="864">
        <f t="shared" si="30"/>
        <v>0</v>
      </c>
      <c r="E137" s="864">
        <f t="shared" si="31"/>
        <v>0</v>
      </c>
      <c r="F137" s="864">
        <f t="shared" si="32"/>
        <v>0</v>
      </c>
      <c r="J137" s="875">
        <v>51000100021</v>
      </c>
      <c r="K137" s="1066" t="s">
        <v>513</v>
      </c>
      <c r="L137" s="864">
        <v>18</v>
      </c>
      <c r="M137" s="864">
        <v>0</v>
      </c>
    </row>
    <row r="138" spans="1:14">
      <c r="A138" s="876">
        <v>40201600001</v>
      </c>
      <c r="B138" s="864" t="s">
        <v>81</v>
      </c>
      <c r="C138" s="864">
        <f t="shared" si="29"/>
        <v>0</v>
      </c>
      <c r="D138" s="864">
        <f t="shared" si="30"/>
        <v>1252988.3999999999</v>
      </c>
      <c r="E138" s="864">
        <f t="shared" si="31"/>
        <v>-1252988.3999999999</v>
      </c>
      <c r="F138" s="864">
        <f t="shared" si="32"/>
        <v>-1252.9884</v>
      </c>
      <c r="G138" s="867">
        <f>+SUM(F148:F156)+F140+F139</f>
        <v>741.58402000000012</v>
      </c>
      <c r="J138" s="875"/>
      <c r="K138" s="884"/>
    </row>
    <row r="139" spans="1:14">
      <c r="A139" s="876">
        <v>40300100001</v>
      </c>
      <c r="B139" s="864" t="s">
        <v>93</v>
      </c>
      <c r="C139" s="864">
        <f t="shared" si="29"/>
        <v>0</v>
      </c>
      <c r="D139" s="864">
        <f t="shared" si="30"/>
        <v>20240</v>
      </c>
      <c r="E139" s="864">
        <f t="shared" si="31"/>
        <v>-20240</v>
      </c>
      <c r="F139" s="864">
        <f t="shared" si="32"/>
        <v>-20.239999999999998</v>
      </c>
      <c r="G139" s="867">
        <f>+F141</f>
        <v>1553.99792</v>
      </c>
      <c r="J139" s="875"/>
      <c r="K139" s="884"/>
    </row>
    <row r="140" spans="1:14">
      <c r="A140" s="876">
        <v>40400100001</v>
      </c>
      <c r="B140" s="864" t="s">
        <v>121</v>
      </c>
      <c r="C140" s="864">
        <f t="shared" si="29"/>
        <v>1350.47</v>
      </c>
      <c r="D140" s="864">
        <f t="shared" si="30"/>
        <v>0</v>
      </c>
      <c r="E140" s="864">
        <f t="shared" si="31"/>
        <v>1350.47</v>
      </c>
      <c r="F140" s="864">
        <f t="shared" si="32"/>
        <v>1.3504700000000001</v>
      </c>
      <c r="G140" s="867">
        <f>+F142</f>
        <v>0</v>
      </c>
      <c r="J140" s="875"/>
      <c r="K140" s="884"/>
    </row>
    <row r="141" spans="1:14">
      <c r="A141" s="876">
        <v>40400200001</v>
      </c>
      <c r="B141" s="864" t="s">
        <v>122</v>
      </c>
      <c r="C141" s="864">
        <f t="shared" ref="C141:C170" si="33">+IFERROR(VLOOKUP(A141,$J$3:$M$146,3,0),0)</f>
        <v>1553997.92</v>
      </c>
      <c r="D141" s="864">
        <f t="shared" ref="D141:D170" si="34">+IFERROR(VLOOKUP(A141,$J$3:$M$146,4,0),0)</f>
        <v>0</v>
      </c>
      <c r="E141" s="864">
        <f t="shared" si="31"/>
        <v>1553997.92</v>
      </c>
      <c r="F141" s="864">
        <f t="shared" si="32"/>
        <v>1553.99792</v>
      </c>
      <c r="G141" s="867">
        <f>+F143</f>
        <v>3907.4029999999998</v>
      </c>
      <c r="J141" s="875"/>
      <c r="K141" s="884"/>
    </row>
    <row r="142" spans="1:14">
      <c r="A142" s="876">
        <v>4060010001</v>
      </c>
      <c r="B142" s="864" t="s">
        <v>120</v>
      </c>
      <c r="C142" s="864">
        <f t="shared" si="33"/>
        <v>0</v>
      </c>
      <c r="D142" s="864">
        <f t="shared" si="34"/>
        <v>0</v>
      </c>
      <c r="E142" s="864">
        <f t="shared" si="31"/>
        <v>0</v>
      </c>
      <c r="F142" s="864">
        <f t="shared" si="32"/>
        <v>0</v>
      </c>
      <c r="G142" s="867">
        <f>+F144</f>
        <v>507.96239000000003</v>
      </c>
      <c r="J142" s="875"/>
      <c r="K142" s="884"/>
    </row>
    <row r="143" spans="1:14">
      <c r="A143" s="876">
        <v>50100100001</v>
      </c>
      <c r="B143" s="864" t="s">
        <v>97</v>
      </c>
      <c r="C143" s="864">
        <f t="shared" si="33"/>
        <v>3907403</v>
      </c>
      <c r="D143" s="864">
        <f t="shared" si="34"/>
        <v>0</v>
      </c>
      <c r="E143" s="864">
        <f t="shared" si="31"/>
        <v>3907403</v>
      </c>
      <c r="F143" s="864">
        <f t="shared" si="32"/>
        <v>3907.4029999999998</v>
      </c>
      <c r="J143" s="875"/>
      <c r="K143" s="884"/>
    </row>
    <row r="144" spans="1:14">
      <c r="A144" s="876">
        <v>50100100002</v>
      </c>
      <c r="B144" s="864" t="s">
        <v>98</v>
      </c>
      <c r="C144" s="864">
        <f t="shared" si="33"/>
        <v>507962.39</v>
      </c>
      <c r="D144" s="864">
        <f t="shared" si="34"/>
        <v>0</v>
      </c>
      <c r="E144" s="864">
        <f t="shared" si="31"/>
        <v>507962.39</v>
      </c>
      <c r="F144" s="864">
        <f t="shared" si="32"/>
        <v>507.96239000000003</v>
      </c>
      <c r="G144" s="867">
        <f>+F146+F145</f>
        <v>263.63</v>
      </c>
      <c r="J144" s="875"/>
      <c r="K144" s="884"/>
    </row>
    <row r="145" spans="1:13">
      <c r="A145" s="876">
        <v>50100200001</v>
      </c>
      <c r="B145" s="864" t="s">
        <v>99</v>
      </c>
      <c r="C145" s="864">
        <f t="shared" si="33"/>
        <v>233302</v>
      </c>
      <c r="D145" s="864">
        <f t="shared" si="34"/>
        <v>0</v>
      </c>
      <c r="E145" s="864">
        <f t="shared" si="31"/>
        <v>233302</v>
      </c>
      <c r="F145" s="864">
        <f t="shared" si="32"/>
        <v>233.30199999999999</v>
      </c>
      <c r="G145" s="867">
        <f>+F147</f>
        <v>0</v>
      </c>
      <c r="J145" s="875"/>
      <c r="K145" s="884"/>
    </row>
    <row r="146" spans="1:13">
      <c r="A146" s="876">
        <v>50100200002</v>
      </c>
      <c r="B146" s="864" t="s">
        <v>100</v>
      </c>
      <c r="C146" s="864">
        <f t="shared" si="33"/>
        <v>30328</v>
      </c>
      <c r="D146" s="864">
        <f t="shared" si="34"/>
        <v>0</v>
      </c>
      <c r="E146" s="864">
        <f t="shared" si="31"/>
        <v>30328</v>
      </c>
      <c r="F146" s="864">
        <f t="shared" si="32"/>
        <v>30.327999999999999</v>
      </c>
      <c r="J146" s="875"/>
      <c r="K146" s="884"/>
    </row>
    <row r="147" spans="1:13">
      <c r="A147" s="875">
        <v>501006001</v>
      </c>
      <c r="B147" s="884" t="s">
        <v>512</v>
      </c>
      <c r="C147" s="864">
        <f t="shared" si="33"/>
        <v>0</v>
      </c>
      <c r="D147" s="864">
        <f t="shared" si="34"/>
        <v>0</v>
      </c>
      <c r="E147" s="864">
        <f t="shared" si="31"/>
        <v>0</v>
      </c>
      <c r="F147" s="864">
        <f t="shared" si="32"/>
        <v>0</v>
      </c>
    </row>
    <row r="148" spans="1:13">
      <c r="A148" s="876">
        <v>50100300001</v>
      </c>
      <c r="B148" s="864" t="s">
        <v>101</v>
      </c>
      <c r="C148" s="864">
        <f t="shared" si="33"/>
        <v>23325</v>
      </c>
      <c r="D148" s="864">
        <f t="shared" si="34"/>
        <v>0</v>
      </c>
      <c r="E148" s="864">
        <f t="shared" si="31"/>
        <v>23325</v>
      </c>
      <c r="F148" s="864">
        <f t="shared" si="32"/>
        <v>23.324999999999999</v>
      </c>
      <c r="L148" s="864">
        <f>SUM(L3:L147)</f>
        <v>822895169.21999967</v>
      </c>
      <c r="M148" s="864">
        <f>SUM(M3:M147)</f>
        <v>822895151.23999989</v>
      </c>
    </row>
    <row r="149" spans="1:13">
      <c r="A149" s="876">
        <v>50100500001</v>
      </c>
      <c r="B149" s="864" t="s">
        <v>108</v>
      </c>
      <c r="C149" s="864">
        <f t="shared" si="33"/>
        <v>116626.19</v>
      </c>
      <c r="D149" s="864">
        <f t="shared" si="34"/>
        <v>0</v>
      </c>
      <c r="E149" s="864">
        <f t="shared" si="31"/>
        <v>116626.19</v>
      </c>
      <c r="F149" s="864">
        <f t="shared" si="32"/>
        <v>116.62619000000001</v>
      </c>
    </row>
    <row r="150" spans="1:13">
      <c r="A150" s="876">
        <v>50100500002</v>
      </c>
      <c r="B150" s="864" t="s">
        <v>109</v>
      </c>
      <c r="C150" s="864">
        <f t="shared" si="33"/>
        <v>0</v>
      </c>
      <c r="D150" s="864">
        <f t="shared" si="34"/>
        <v>0</v>
      </c>
      <c r="E150" s="864">
        <f t="shared" si="31"/>
        <v>0</v>
      </c>
      <c r="F150" s="864">
        <f t="shared" si="32"/>
        <v>0</v>
      </c>
    </row>
    <row r="151" spans="1:13">
      <c r="A151" s="876">
        <v>50200100001</v>
      </c>
      <c r="B151" s="864" t="s">
        <v>102</v>
      </c>
      <c r="C151" s="864">
        <f t="shared" si="33"/>
        <v>252231.44</v>
      </c>
      <c r="D151" s="864">
        <f t="shared" si="34"/>
        <v>0</v>
      </c>
      <c r="E151" s="864">
        <f t="shared" si="31"/>
        <v>252231.44</v>
      </c>
      <c r="F151" s="864">
        <f t="shared" si="32"/>
        <v>252.23143999999999</v>
      </c>
    </row>
    <row r="152" spans="1:13">
      <c r="A152" s="876">
        <v>50200100002</v>
      </c>
      <c r="B152" s="864" t="s">
        <v>103</v>
      </c>
      <c r="C152" s="864">
        <f t="shared" si="33"/>
        <v>133956</v>
      </c>
      <c r="D152" s="864">
        <f t="shared" si="34"/>
        <v>0</v>
      </c>
      <c r="E152" s="864">
        <f t="shared" si="31"/>
        <v>133956</v>
      </c>
      <c r="F152" s="864">
        <f t="shared" si="32"/>
        <v>133.95599999999999</v>
      </c>
    </row>
    <row r="153" spans="1:13">
      <c r="A153" s="876">
        <v>50200300001</v>
      </c>
      <c r="B153" s="864" t="s">
        <v>104</v>
      </c>
      <c r="C153" s="864">
        <f t="shared" si="33"/>
        <v>5821</v>
      </c>
      <c r="D153" s="864">
        <f t="shared" si="34"/>
        <v>0</v>
      </c>
      <c r="E153" s="864">
        <f t="shared" si="31"/>
        <v>5821</v>
      </c>
      <c r="F153" s="864">
        <f t="shared" si="32"/>
        <v>5.8209999999999997</v>
      </c>
      <c r="H153" s="864">
        <f>TB!F154+TB!F153+SUM(TB!F162:F171)</f>
        <v>139.696</v>
      </c>
    </row>
    <row r="154" spans="1:13">
      <c r="A154" s="876">
        <v>50200300002</v>
      </c>
      <c r="B154" s="864" t="s">
        <v>105</v>
      </c>
      <c r="C154" s="864">
        <f t="shared" si="33"/>
        <v>83383</v>
      </c>
      <c r="D154" s="864">
        <f t="shared" si="34"/>
        <v>0</v>
      </c>
      <c r="E154" s="864">
        <f t="shared" si="31"/>
        <v>83383</v>
      </c>
      <c r="F154" s="864">
        <f t="shared" si="32"/>
        <v>83.382999999999996</v>
      </c>
    </row>
    <row r="155" spans="1:13">
      <c r="A155" s="876">
        <v>50500100001</v>
      </c>
      <c r="B155" s="864" t="s">
        <v>106</v>
      </c>
      <c r="C155" s="864">
        <f t="shared" si="33"/>
        <v>0</v>
      </c>
      <c r="D155" s="864">
        <f t="shared" si="34"/>
        <v>0</v>
      </c>
      <c r="E155" s="864">
        <f t="shared" si="31"/>
        <v>0</v>
      </c>
      <c r="F155" s="864">
        <f t="shared" si="32"/>
        <v>0</v>
      </c>
    </row>
    <row r="156" spans="1:13">
      <c r="A156" s="876">
        <v>50600100001</v>
      </c>
      <c r="B156" s="864" t="s">
        <v>107</v>
      </c>
      <c r="C156" s="864">
        <f t="shared" si="33"/>
        <v>145130.92000000001</v>
      </c>
      <c r="D156" s="864">
        <f t="shared" si="34"/>
        <v>0</v>
      </c>
      <c r="E156" s="864">
        <f t="shared" si="31"/>
        <v>145130.92000000001</v>
      </c>
      <c r="F156" s="864">
        <f t="shared" si="32"/>
        <v>145.13092</v>
      </c>
    </row>
    <row r="157" spans="1:13">
      <c r="A157" s="875">
        <v>50600100002</v>
      </c>
      <c r="B157" s="884" t="s">
        <v>515</v>
      </c>
      <c r="C157" s="864">
        <f t="shared" si="33"/>
        <v>0</v>
      </c>
      <c r="D157" s="864">
        <f t="shared" si="34"/>
        <v>0</v>
      </c>
      <c r="E157" s="864">
        <f t="shared" ref="E157:E170" si="35">+C157-D157</f>
        <v>0</v>
      </c>
      <c r="F157" s="864">
        <f t="shared" si="32"/>
        <v>0</v>
      </c>
    </row>
    <row r="158" spans="1:13">
      <c r="A158" s="876">
        <v>50600200001</v>
      </c>
      <c r="B158" s="864" t="s">
        <v>110</v>
      </c>
      <c r="C158" s="864">
        <f t="shared" si="33"/>
        <v>434367.52</v>
      </c>
      <c r="D158" s="864">
        <f t="shared" si="34"/>
        <v>0</v>
      </c>
      <c r="E158" s="864">
        <f t="shared" si="35"/>
        <v>434367.52</v>
      </c>
      <c r="F158" s="864">
        <f t="shared" si="32"/>
        <v>434.36752000000001</v>
      </c>
    </row>
    <row r="159" spans="1:13">
      <c r="A159" s="876">
        <v>50600300006</v>
      </c>
      <c r="B159" s="864" t="s">
        <v>111</v>
      </c>
      <c r="C159" s="864">
        <f t="shared" si="33"/>
        <v>0</v>
      </c>
      <c r="D159" s="864">
        <f t="shared" si="34"/>
        <v>0</v>
      </c>
      <c r="E159" s="864">
        <f t="shared" si="35"/>
        <v>0</v>
      </c>
      <c r="F159" s="864">
        <f t="shared" si="32"/>
        <v>0</v>
      </c>
    </row>
    <row r="160" spans="1:13">
      <c r="A160" s="876">
        <v>50600300009</v>
      </c>
      <c r="B160" s="864" t="s">
        <v>112</v>
      </c>
      <c r="C160" s="864">
        <f t="shared" si="33"/>
        <v>6931.28</v>
      </c>
      <c r="D160" s="864">
        <f t="shared" si="34"/>
        <v>0</v>
      </c>
      <c r="E160" s="864">
        <f t="shared" si="35"/>
        <v>6931.28</v>
      </c>
      <c r="F160" s="864">
        <f t="shared" si="32"/>
        <v>6.9312800000000001</v>
      </c>
    </row>
    <row r="161" spans="1:6">
      <c r="A161" s="876">
        <v>50700100001</v>
      </c>
      <c r="B161" s="864" t="s">
        <v>113</v>
      </c>
      <c r="C161" s="864">
        <f t="shared" si="33"/>
        <v>25208</v>
      </c>
      <c r="D161" s="864">
        <f t="shared" si="34"/>
        <v>0</v>
      </c>
      <c r="E161" s="864">
        <f t="shared" si="35"/>
        <v>25208</v>
      </c>
      <c r="F161" s="864">
        <f t="shared" si="32"/>
        <v>25.207999999999998</v>
      </c>
    </row>
    <row r="162" spans="1:6">
      <c r="A162" s="876">
        <v>51000100001</v>
      </c>
      <c r="B162" s="864" t="s">
        <v>114</v>
      </c>
      <c r="C162" s="864">
        <f t="shared" si="33"/>
        <v>98</v>
      </c>
      <c r="D162" s="864">
        <f t="shared" si="34"/>
        <v>0</v>
      </c>
      <c r="E162" s="864">
        <f t="shared" si="35"/>
        <v>98</v>
      </c>
      <c r="F162" s="864">
        <f t="shared" si="32"/>
        <v>9.8000000000000004E-2</v>
      </c>
    </row>
    <row r="163" spans="1:6">
      <c r="A163" s="876">
        <v>51000100003</v>
      </c>
      <c r="B163" s="864" t="s">
        <v>115</v>
      </c>
      <c r="C163" s="864">
        <f t="shared" si="33"/>
        <v>0</v>
      </c>
      <c r="D163" s="864">
        <f t="shared" si="34"/>
        <v>0</v>
      </c>
      <c r="E163" s="864">
        <f t="shared" si="35"/>
        <v>0</v>
      </c>
      <c r="F163" s="864">
        <f t="shared" si="32"/>
        <v>0</v>
      </c>
    </row>
    <row r="164" spans="1:6">
      <c r="A164" s="876">
        <v>51000100008</v>
      </c>
      <c r="B164" s="864" t="s">
        <v>451</v>
      </c>
      <c r="C164" s="864">
        <f t="shared" si="33"/>
        <v>1203</v>
      </c>
      <c r="D164" s="864">
        <f t="shared" si="34"/>
        <v>0</v>
      </c>
      <c r="E164" s="864">
        <f t="shared" si="35"/>
        <v>1203</v>
      </c>
      <c r="F164" s="864">
        <f t="shared" si="32"/>
        <v>1.2030000000000001</v>
      </c>
    </row>
    <row r="165" spans="1:6">
      <c r="A165" s="876">
        <v>51000100009</v>
      </c>
      <c r="B165" s="864" t="s">
        <v>116</v>
      </c>
      <c r="C165" s="864">
        <f t="shared" si="33"/>
        <v>41558</v>
      </c>
      <c r="D165" s="864">
        <f t="shared" si="34"/>
        <v>0</v>
      </c>
      <c r="E165" s="864">
        <f t="shared" si="35"/>
        <v>41558</v>
      </c>
      <c r="F165" s="864">
        <f t="shared" si="32"/>
        <v>41.558</v>
      </c>
    </row>
    <row r="166" spans="1:6">
      <c r="A166" s="876">
        <v>51000100010</v>
      </c>
      <c r="B166" s="864" t="s">
        <v>117</v>
      </c>
      <c r="C166" s="864">
        <f t="shared" si="33"/>
        <v>5141</v>
      </c>
      <c r="D166" s="864">
        <f t="shared" si="34"/>
        <v>0</v>
      </c>
      <c r="E166" s="864">
        <f t="shared" si="35"/>
        <v>5141</v>
      </c>
      <c r="F166" s="864">
        <f t="shared" si="32"/>
        <v>5.141</v>
      </c>
    </row>
    <row r="167" spans="1:6">
      <c r="A167" s="875">
        <v>51000100014</v>
      </c>
      <c r="B167" s="884" t="s">
        <v>582</v>
      </c>
      <c r="C167" s="864">
        <f t="shared" si="33"/>
        <v>0</v>
      </c>
      <c r="D167" s="864">
        <f t="shared" si="34"/>
        <v>0</v>
      </c>
      <c r="E167" s="864">
        <f t="shared" si="35"/>
        <v>0</v>
      </c>
      <c r="F167" s="864">
        <f t="shared" si="32"/>
        <v>0</v>
      </c>
    </row>
    <row r="168" spans="1:6">
      <c r="A168" s="876">
        <v>51000100016</v>
      </c>
      <c r="B168" s="864" t="s">
        <v>118</v>
      </c>
      <c r="C168" s="864">
        <f t="shared" si="33"/>
        <v>14</v>
      </c>
      <c r="D168" s="864">
        <f t="shared" si="34"/>
        <v>0</v>
      </c>
      <c r="E168" s="864">
        <f t="shared" si="35"/>
        <v>14</v>
      </c>
      <c r="F168" s="864">
        <f t="shared" si="32"/>
        <v>1.4E-2</v>
      </c>
    </row>
    <row r="169" spans="1:6">
      <c r="A169" s="875">
        <v>51000100021</v>
      </c>
      <c r="B169" s="884" t="s">
        <v>513</v>
      </c>
      <c r="C169" s="864">
        <f t="shared" si="33"/>
        <v>18</v>
      </c>
      <c r="D169" s="864">
        <f t="shared" si="34"/>
        <v>0</v>
      </c>
      <c r="E169" s="864">
        <f t="shared" si="35"/>
        <v>18</v>
      </c>
      <c r="F169" s="864">
        <f t="shared" si="32"/>
        <v>1.7999999999999999E-2</v>
      </c>
    </row>
    <row r="170" spans="1:6">
      <c r="A170" s="876">
        <v>51000100017</v>
      </c>
      <c r="B170" s="864" t="s">
        <v>119</v>
      </c>
      <c r="C170" s="864">
        <f t="shared" si="33"/>
        <v>118</v>
      </c>
      <c r="D170" s="864">
        <f t="shared" si="34"/>
        <v>0</v>
      </c>
      <c r="E170" s="864">
        <f t="shared" si="35"/>
        <v>118</v>
      </c>
      <c r="F170" s="864">
        <f t="shared" si="32"/>
        <v>0.11799999999999999</v>
      </c>
    </row>
    <row r="171" spans="1:6">
      <c r="A171" s="875">
        <v>51000100012</v>
      </c>
      <c r="B171" s="1066" t="s">
        <v>672</v>
      </c>
      <c r="C171" s="864">
        <f t="shared" ref="C171" si="36">+IFERROR(VLOOKUP(A171,$J$3:$M$146,3,0),0)</f>
        <v>2342</v>
      </c>
      <c r="D171" s="864">
        <f t="shared" ref="D171" si="37">+IFERROR(VLOOKUP(A171,$J$3:$M$146,4,0),0)</f>
        <v>0</v>
      </c>
      <c r="E171" s="864">
        <f t="shared" ref="E171" si="38">+C171-D171</f>
        <v>2342</v>
      </c>
      <c r="F171" s="864">
        <f t="shared" si="32"/>
        <v>2.3420000000000001</v>
      </c>
    </row>
    <row r="172" spans="1:6">
      <c r="A172" s="875">
        <v>50500100002</v>
      </c>
      <c r="B172" s="1066" t="s">
        <v>671</v>
      </c>
      <c r="C172" s="864">
        <f t="shared" ref="C172" si="39">+IFERROR(VLOOKUP(A172,$J$3:$M$146,3,0),0)</f>
        <v>0</v>
      </c>
      <c r="D172" s="864">
        <f t="shared" ref="D172" si="40">+IFERROR(VLOOKUP(A172,$J$3:$M$146,4,0),0)</f>
        <v>6269398.6100000003</v>
      </c>
      <c r="E172" s="864">
        <f t="shared" ref="E172" si="41">+C172-D172</f>
        <v>-6269398.6100000003</v>
      </c>
      <c r="F172" s="864">
        <f t="shared" ref="F172" si="42">+E172/1000</f>
        <v>-6269.3986100000002</v>
      </c>
    </row>
    <row r="174" spans="1:6">
      <c r="C174" s="864">
        <f>SUM(C3:C173)</f>
        <v>822895151.21999967</v>
      </c>
      <c r="D174" s="864">
        <f>SUM(D3:D173)</f>
        <v>822894871.23999989</v>
      </c>
    </row>
    <row r="175" spans="1:6">
      <c r="C175" s="864">
        <f>L148</f>
        <v>822895169.21999967</v>
      </c>
      <c r="D175" s="864">
        <f>M148</f>
        <v>822895151.23999989</v>
      </c>
    </row>
    <row r="177" spans="3:4">
      <c r="C177" s="864">
        <f>C174-C175</f>
        <v>-18</v>
      </c>
      <c r="D177" s="864">
        <f>D174-D175</f>
        <v>-280</v>
      </c>
    </row>
  </sheetData>
  <conditionalFormatting sqref="A69:A89 A1:A22 J1:J1048576 A24:A35 A91:A170 A173:A1048576 A37:A67">
    <cfRule type="duplicateValues" dxfId="6" priority="7"/>
  </conditionalFormatting>
  <conditionalFormatting sqref="A23">
    <cfRule type="duplicateValues" dxfId="5" priority="6"/>
  </conditionalFormatting>
  <conditionalFormatting sqref="A68">
    <cfRule type="duplicateValues" dxfId="4" priority="5"/>
  </conditionalFormatting>
  <conditionalFormatting sqref="A90">
    <cfRule type="duplicateValues" dxfId="3" priority="4"/>
  </conditionalFormatting>
  <conditionalFormatting sqref="A171">
    <cfRule type="duplicateValues" dxfId="2" priority="3"/>
  </conditionalFormatting>
  <conditionalFormatting sqref="A172">
    <cfRule type="duplicateValues" dxfId="1" priority="2"/>
  </conditionalFormatting>
  <conditionalFormatting sqref="A36">
    <cfRule type="duplicateValues" dxfId="0" priority="1"/>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H26"/>
  <sheetViews>
    <sheetView showGridLines="0" zoomScale="90" zoomScaleNormal="90" workbookViewId="0">
      <selection activeCell="A21" sqref="A21"/>
    </sheetView>
  </sheetViews>
  <sheetFormatPr defaultColWidth="9.109375" defaultRowHeight="12.6"/>
  <cols>
    <col min="1" max="1" width="72.44140625" style="435" bestFit="1" customWidth="1"/>
    <col min="2" max="3" width="12.5546875" style="435" bestFit="1" customWidth="1"/>
    <col min="4" max="4" width="15" style="435" bestFit="1" customWidth="1"/>
    <col min="5" max="16384" width="9.109375" style="435"/>
  </cols>
  <sheetData>
    <row r="2" spans="1:8">
      <c r="A2" s="434" t="s">
        <v>337</v>
      </c>
    </row>
    <row r="4" spans="1:8">
      <c r="B4" s="1441" t="s">
        <v>454</v>
      </c>
      <c r="C4" s="1441"/>
      <c r="D4" s="1441"/>
    </row>
    <row r="5" spans="1:8">
      <c r="B5" s="436" t="s">
        <v>338</v>
      </c>
      <c r="C5" s="436" t="s">
        <v>186</v>
      </c>
      <c r="D5" s="437" t="s">
        <v>0</v>
      </c>
    </row>
    <row r="6" spans="1:8">
      <c r="A6" s="438" t="s">
        <v>339</v>
      </c>
      <c r="B6" s="439"/>
      <c r="C6" s="440"/>
    </row>
    <row r="7" spans="1:8">
      <c r="A7" s="441" t="s">
        <v>134</v>
      </c>
      <c r="B7" s="442">
        <f>BS!I13</f>
        <v>293</v>
      </c>
      <c r="C7" s="443">
        <f>BS!G13</f>
        <v>2992.12032</v>
      </c>
      <c r="D7" s="444">
        <f t="shared" ref="D7:D9" si="0">+C7-B7</f>
        <v>2699.12032</v>
      </c>
    </row>
    <row r="8" spans="1:8">
      <c r="A8" s="441" t="s">
        <v>135</v>
      </c>
      <c r="B8" s="445">
        <f>BS!I14</f>
        <v>4803</v>
      </c>
      <c r="C8" s="446">
        <f>BS!G14</f>
        <v>5600.3217599999998</v>
      </c>
      <c r="D8" s="447">
        <f t="shared" si="0"/>
        <v>797.32175999999981</v>
      </c>
    </row>
    <row r="9" spans="1:8">
      <c r="A9" s="441" t="s">
        <v>136</v>
      </c>
      <c r="B9" s="449">
        <f>+BS!I15</f>
        <v>20614</v>
      </c>
      <c r="C9" s="450">
        <f>+BS!G15</f>
        <v>206774.97703000001</v>
      </c>
      <c r="D9" s="451">
        <f t="shared" si="0"/>
        <v>186160.97703000001</v>
      </c>
    </row>
    <row r="10" spans="1:8">
      <c r="A10" s="448"/>
      <c r="B10" s="868">
        <f>SUM(B7:B9)</f>
        <v>25710</v>
      </c>
      <c r="C10" s="869">
        <f>SUM(C7:C9)</f>
        <v>215367.41911000002</v>
      </c>
      <c r="D10" s="870">
        <f>SUM(D7:D9)</f>
        <v>189657.41911000002</v>
      </c>
    </row>
    <row r="11" spans="1:8" s="454" customFormat="1">
      <c r="A11" s="438" t="s">
        <v>340</v>
      </c>
      <c r="B11" s="446"/>
      <c r="C11" s="452"/>
      <c r="D11" s="453"/>
    </row>
    <row r="12" spans="1:8" s="454" customFormat="1">
      <c r="A12" s="455" t="s">
        <v>139</v>
      </c>
      <c r="B12" s="456">
        <f>BS!I21</f>
        <v>1379</v>
      </c>
      <c r="C12" s="457">
        <f>BS!G21</f>
        <v>1445.5322900000001</v>
      </c>
      <c r="D12" s="444">
        <f t="shared" ref="D12:D17" si="1">+C12-B12</f>
        <v>66.532290000000103</v>
      </c>
    </row>
    <row r="13" spans="1:8" s="454" customFormat="1">
      <c r="A13" s="455" t="s">
        <v>140</v>
      </c>
      <c r="B13" s="458">
        <f>BS!I22</f>
        <v>89</v>
      </c>
      <c r="C13" s="459">
        <f>BS!G22</f>
        <v>84.336160000000007</v>
      </c>
      <c r="D13" s="447">
        <f t="shared" si="1"/>
        <v>-4.6638399999999933</v>
      </c>
    </row>
    <row r="14" spans="1:8" s="454" customFormat="1">
      <c r="A14" s="455" t="s">
        <v>141</v>
      </c>
      <c r="B14" s="458">
        <f>BS!I23</f>
        <v>94</v>
      </c>
      <c r="C14" s="459">
        <f>BS!G23</f>
        <v>23.324999999999999</v>
      </c>
      <c r="D14" s="447">
        <f t="shared" si="1"/>
        <v>-70.674999999999997</v>
      </c>
    </row>
    <row r="15" spans="1:8" s="454" customFormat="1">
      <c r="A15" s="455" t="s">
        <v>142</v>
      </c>
      <c r="B15" s="458">
        <f>+BS!I24</f>
        <v>952</v>
      </c>
      <c r="C15" s="459">
        <f>+BS!G24</f>
        <v>208616.01021000001</v>
      </c>
      <c r="D15" s="447">
        <f t="shared" si="1"/>
        <v>207664.01021000001</v>
      </c>
      <c r="H15" s="460"/>
    </row>
    <row r="16" spans="1:8" s="454" customFormat="1">
      <c r="A16" s="455" t="s">
        <v>143</v>
      </c>
      <c r="B16" s="458">
        <f>BS!I25</f>
        <v>216</v>
      </c>
      <c r="C16" s="459">
        <f>BS!G25</f>
        <v>215.834</v>
      </c>
      <c r="D16" s="447">
        <f t="shared" si="1"/>
        <v>-0.16599999999999682</v>
      </c>
      <c r="H16" s="460"/>
    </row>
    <row r="17" spans="1:8" s="454" customFormat="1">
      <c r="A17" s="461" t="s">
        <v>144</v>
      </c>
      <c r="B17" s="462">
        <f>BS!I26</f>
        <v>15985</v>
      </c>
      <c r="C17" s="463">
        <f>BS!G26</f>
        <v>10444.265910000002</v>
      </c>
      <c r="D17" s="451">
        <f t="shared" si="1"/>
        <v>-5540.7340899999981</v>
      </c>
      <c r="H17" s="460"/>
    </row>
    <row r="18" spans="1:8" s="454" customFormat="1">
      <c r="B18" s="868">
        <f>SUM(B15:B17)</f>
        <v>17153</v>
      </c>
      <c r="C18" s="869">
        <f>SUM(C15:C17)</f>
        <v>219276.11012000003</v>
      </c>
      <c r="D18" s="870">
        <f>SUM(D15:D17)</f>
        <v>202123.11012000003</v>
      </c>
      <c r="H18" s="460"/>
    </row>
    <row r="19" spans="1:8">
      <c r="H19" s="460"/>
    </row>
    <row r="20" spans="1:8">
      <c r="H20" s="448"/>
    </row>
    <row r="21" spans="1:8">
      <c r="A21" s="464" t="s">
        <v>341</v>
      </c>
      <c r="B21" s="465" t="s">
        <v>338</v>
      </c>
      <c r="C21" s="465" t="s">
        <v>186</v>
      </c>
      <c r="D21" s="466" t="s">
        <v>0</v>
      </c>
    </row>
    <row r="22" spans="1:8">
      <c r="A22" s="467"/>
      <c r="B22" s="468">
        <f>BS!I12</f>
        <v>273292</v>
      </c>
      <c r="C22" s="468">
        <f>BS!G12</f>
        <v>297551.52900000004</v>
      </c>
      <c r="D22" s="469">
        <f>+C22-B22</f>
        <v>24259.529000000039</v>
      </c>
    </row>
    <row r="23" spans="1:8">
      <c r="A23" s="470" t="s">
        <v>342</v>
      </c>
      <c r="B23" s="454"/>
      <c r="C23" s="454"/>
      <c r="D23" s="471">
        <v>0</v>
      </c>
    </row>
    <row r="24" spans="1:8">
      <c r="A24" s="470" t="s">
        <v>343</v>
      </c>
      <c r="B24" s="454"/>
      <c r="C24" s="454"/>
      <c r="D24" s="471">
        <f>-IS!E17</f>
        <v>15162.377000000006</v>
      </c>
    </row>
    <row r="25" spans="1:8">
      <c r="A25" s="472" t="s">
        <v>344</v>
      </c>
      <c r="B25" s="473"/>
      <c r="C25" s="473"/>
      <c r="D25" s="474" t="e">
        <f>-OCI!#REF!</f>
        <v>#REF!</v>
      </c>
    </row>
    <row r="26" spans="1:8">
      <c r="A26" s="475" t="s">
        <v>341</v>
      </c>
      <c r="B26" s="473"/>
      <c r="C26" s="473"/>
      <c r="D26" s="476" t="e">
        <f>SUM(D22:D25)</f>
        <v>#REF!</v>
      </c>
    </row>
  </sheetData>
  <mergeCells count="1">
    <mergeCell ref="B4:D4"/>
  </mergeCells>
  <pageMargins left="0.75" right="0.75" top="1" bottom="1" header="0.5" footer="0.5"/>
  <pageSetup orientation="portrait" r:id="rId1"/>
  <headerFooter alignWithMargins="0"/>
  <ignoredErrors>
    <ignoredError sqref="C7:C8 B12:C14 B16:C17"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69"/>
  <sheetViews>
    <sheetView showGridLines="0" view="pageBreakPreview" zoomScale="90" zoomScaleNormal="80" zoomScaleSheetLayoutView="90" workbookViewId="0">
      <selection activeCell="F14" sqref="F14"/>
    </sheetView>
  </sheetViews>
  <sheetFormatPr defaultColWidth="9.109375" defaultRowHeight="13.2"/>
  <cols>
    <col min="1" max="2" width="4.109375" style="573" customWidth="1"/>
    <col min="3" max="3" width="66.5546875" style="573" customWidth="1"/>
    <col min="4" max="4" width="1.33203125" style="573" customWidth="1"/>
    <col min="5" max="5" width="0.6640625" style="573" customWidth="1"/>
    <col min="6" max="6" width="11.6640625" style="573" customWidth="1"/>
    <col min="7" max="7" width="0.88671875" style="573" customWidth="1"/>
    <col min="8" max="8" width="11.6640625" style="573" customWidth="1"/>
    <col min="9" max="9" width="0.88671875" style="573" hidden="1" customWidth="1"/>
    <col min="10" max="10" width="11.6640625" style="573" hidden="1" customWidth="1"/>
    <col min="11" max="11" width="0.88671875" style="573" hidden="1" customWidth="1"/>
    <col min="12" max="12" width="11.6640625" style="573" hidden="1" customWidth="1"/>
    <col min="13" max="13" width="13.88671875" style="290" hidden="1" customWidth="1"/>
    <col min="14" max="14" width="16.33203125" style="573" bestFit="1" customWidth="1"/>
    <col min="15" max="15" width="12.33203125" style="573" bestFit="1" customWidth="1"/>
    <col min="16" max="20" width="9.109375" style="573"/>
    <col min="21" max="21" width="14" style="573" bestFit="1" customWidth="1"/>
    <col min="22" max="22" width="11.6640625" style="573" bestFit="1" customWidth="1"/>
    <col min="23" max="16384" width="9.109375" style="573"/>
  </cols>
  <sheetData>
    <row r="1" spans="1:22">
      <c r="A1" s="48" t="s">
        <v>123</v>
      </c>
      <c r="B1" s="59"/>
      <c r="C1" s="59"/>
      <c r="D1" s="59"/>
      <c r="E1" s="59"/>
      <c r="F1" s="59"/>
      <c r="G1" s="59"/>
      <c r="H1" s="59" t="s">
        <v>179</v>
      </c>
      <c r="I1" s="572"/>
      <c r="J1" s="59"/>
      <c r="K1" s="572"/>
      <c r="L1" s="59" t="s">
        <v>179</v>
      </c>
    </row>
    <row r="2" spans="1:22">
      <c r="A2" s="48" t="s">
        <v>180</v>
      </c>
      <c r="B2" s="59"/>
      <c r="C2" s="59"/>
      <c r="D2" s="59"/>
      <c r="E2" s="59"/>
      <c r="F2" s="59"/>
      <c r="G2" s="59"/>
      <c r="H2" s="59"/>
      <c r="I2" s="572"/>
      <c r="J2" s="59"/>
      <c r="K2" s="572"/>
      <c r="L2" s="59"/>
    </row>
    <row r="3" spans="1:22">
      <c r="A3" s="1" t="s">
        <v>369</v>
      </c>
      <c r="B3" s="59"/>
      <c r="C3" s="59"/>
      <c r="D3" s="59"/>
      <c r="E3" s="59"/>
      <c r="F3" s="59"/>
      <c r="G3" s="59"/>
      <c r="H3" s="60"/>
      <c r="I3" s="572"/>
      <c r="J3" s="59"/>
      <c r="K3" s="572"/>
      <c r="L3" s="60"/>
    </row>
    <row r="4" spans="1:22">
      <c r="A4" s="59"/>
      <c r="B4" s="59"/>
      <c r="C4" s="59"/>
      <c r="D4" s="59"/>
      <c r="E4" s="59"/>
      <c r="F4" s="59"/>
      <c r="G4" s="59"/>
      <c r="H4" s="60"/>
      <c r="I4" s="572"/>
      <c r="J4" s="59"/>
      <c r="K4" s="572"/>
      <c r="L4" s="60"/>
    </row>
    <row r="5" spans="1:22">
      <c r="A5" s="59"/>
      <c r="B5" s="59"/>
      <c r="C5" s="59"/>
      <c r="D5" s="59"/>
      <c r="E5" s="59"/>
      <c r="F5" s="1444" t="s">
        <v>154</v>
      </c>
      <c r="G5" s="1444"/>
      <c r="H5" s="1444"/>
      <c r="I5" s="572"/>
      <c r="J5" s="1444" t="s">
        <v>155</v>
      </c>
      <c r="K5" s="1444"/>
      <c r="L5" s="1444"/>
    </row>
    <row r="6" spans="1:22">
      <c r="A6" s="572"/>
      <c r="B6" s="572"/>
      <c r="C6" s="572"/>
      <c r="D6" s="572"/>
      <c r="E6" s="572"/>
      <c r="F6" s="1445" t="s">
        <v>126</v>
      </c>
      <c r="G6" s="1445"/>
      <c r="H6" s="1445"/>
      <c r="I6" s="60"/>
      <c r="J6" s="1445" t="s">
        <v>126</v>
      </c>
      <c r="K6" s="1445"/>
      <c r="L6" s="1445"/>
    </row>
    <row r="7" spans="1:22">
      <c r="A7" s="572"/>
      <c r="B7" s="572"/>
      <c r="C7" s="572"/>
      <c r="D7" s="572"/>
      <c r="E7" s="572"/>
      <c r="F7" s="61" t="s">
        <v>304</v>
      </c>
      <c r="G7" s="62"/>
      <c r="H7" s="574" t="s">
        <v>128</v>
      </c>
      <c r="I7" s="60"/>
      <c r="J7" s="61" t="s">
        <v>304</v>
      </c>
      <c r="K7" s="62"/>
      <c r="L7" s="574" t="s">
        <v>128</v>
      </c>
      <c r="M7" s="38">
        <v>42979</v>
      </c>
    </row>
    <row r="8" spans="1:22" hidden="1">
      <c r="A8" s="572"/>
      <c r="B8" s="572"/>
      <c r="C8" s="572"/>
      <c r="D8" s="572"/>
      <c r="E8" s="572"/>
      <c r="F8" s="61"/>
      <c r="G8" s="62"/>
      <c r="H8" s="61"/>
      <c r="I8" s="60"/>
      <c r="J8" s="61"/>
      <c r="K8" s="62"/>
      <c r="L8" s="61"/>
      <c r="S8" s="573" t="s">
        <v>181</v>
      </c>
      <c r="U8" s="290">
        <v>58632774</v>
      </c>
      <c r="V8" s="625">
        <f>BS!I37</f>
        <v>38891084</v>
      </c>
    </row>
    <row r="9" spans="1:22">
      <c r="A9" s="63"/>
      <c r="B9" s="572"/>
      <c r="C9" s="572"/>
      <c r="D9" s="572"/>
      <c r="E9" s="572"/>
      <c r="F9" s="1446" t="s">
        <v>182</v>
      </c>
      <c r="G9" s="1446"/>
      <c r="H9" s="1446"/>
      <c r="I9" s="1446"/>
      <c r="J9" s="1446"/>
      <c r="K9" s="1446"/>
      <c r="L9" s="1446"/>
      <c r="S9" s="573" t="s">
        <v>183</v>
      </c>
      <c r="U9" s="290">
        <v>10685657</v>
      </c>
      <c r="V9" s="575">
        <v>3637372</v>
      </c>
    </row>
    <row r="10" spans="1:22">
      <c r="A10" s="63"/>
      <c r="B10" s="572"/>
      <c r="C10" s="576"/>
      <c r="D10" s="572"/>
      <c r="E10" s="572"/>
      <c r="F10" s="572"/>
      <c r="G10" s="572"/>
      <c r="H10" s="577"/>
      <c r="I10" s="577"/>
      <c r="J10" s="572"/>
      <c r="K10" s="577"/>
      <c r="L10" s="577"/>
      <c r="S10" s="573" t="s">
        <v>184</v>
      </c>
      <c r="U10" s="290">
        <v>16098929</v>
      </c>
      <c r="V10" s="575">
        <v>-6380696</v>
      </c>
    </row>
    <row r="11" spans="1:22">
      <c r="A11" s="59" t="s">
        <v>185</v>
      </c>
      <c r="B11" s="572"/>
      <c r="C11" s="572"/>
      <c r="D11" s="572"/>
      <c r="E11" s="572"/>
      <c r="F11" s="64">
        <f>BS!I32</f>
        <v>466663</v>
      </c>
      <c r="G11" s="578"/>
      <c r="H11" s="579">
        <v>626922</v>
      </c>
      <c r="I11" s="579"/>
      <c r="J11" s="64">
        <f>M37</f>
        <v>0</v>
      </c>
      <c r="K11" s="579"/>
      <c r="L11" s="579">
        <v>603089</v>
      </c>
      <c r="M11" s="290">
        <v>675182</v>
      </c>
      <c r="S11" s="573" t="s">
        <v>186</v>
      </c>
      <c r="U11" s="290">
        <v>53219502</v>
      </c>
      <c r="V11" s="625">
        <f>SUM(V8:V10)</f>
        <v>36147760</v>
      </c>
    </row>
    <row r="12" spans="1:22">
      <c r="A12" s="580"/>
      <c r="B12" s="572"/>
      <c r="C12" s="432"/>
      <c r="D12" s="572"/>
      <c r="E12" s="572"/>
      <c r="F12" s="65"/>
      <c r="G12" s="66"/>
      <c r="H12" s="67"/>
      <c r="I12" s="692"/>
      <c r="J12" s="65"/>
      <c r="K12" s="692"/>
      <c r="L12" s="67"/>
      <c r="U12" s="290"/>
    </row>
    <row r="13" spans="1:22">
      <c r="A13" s="68" t="s">
        <v>367</v>
      </c>
      <c r="B13" s="572"/>
      <c r="C13" s="572"/>
      <c r="D13" s="572"/>
      <c r="E13" s="572"/>
      <c r="F13" s="666" t="e">
        <f>-(#REF!+#REF!)+0.3+1</f>
        <v>#REF!</v>
      </c>
      <c r="H13" s="620">
        <v>124488</v>
      </c>
      <c r="I13" s="579"/>
      <c r="J13" s="718"/>
      <c r="K13" s="579"/>
      <c r="L13" s="581"/>
      <c r="M13" s="73"/>
      <c r="U13" s="290"/>
      <c r="V13" s="625"/>
    </row>
    <row r="14" spans="1:22">
      <c r="A14" s="70" t="s">
        <v>368</v>
      </c>
      <c r="B14" s="572"/>
      <c r="C14" s="572"/>
      <c r="D14" s="572"/>
      <c r="E14" s="572"/>
      <c r="F14" s="71" t="e">
        <f>-(#REF!+#REF!)</f>
        <v>#REF!</v>
      </c>
      <c r="G14" s="582"/>
      <c r="H14" s="584">
        <v>-184560</v>
      </c>
      <c r="I14" s="579"/>
      <c r="J14" s="71"/>
      <c r="K14" s="579"/>
      <c r="L14" s="585"/>
      <c r="M14" s="248"/>
    </row>
    <row r="15" spans="1:22">
      <c r="A15" s="586"/>
      <c r="B15" s="572"/>
      <c r="C15" s="572"/>
      <c r="D15" s="572"/>
      <c r="E15" s="572"/>
      <c r="F15" s="65" t="e">
        <f>SUM(F13:F14)</f>
        <v>#REF!</v>
      </c>
      <c r="G15" s="587"/>
      <c r="H15" s="587">
        <f>SUM(H13:H14)</f>
        <v>-60072</v>
      </c>
      <c r="I15" s="579"/>
      <c r="J15" s="65">
        <f>SUM(J13:J14)</f>
        <v>0</v>
      </c>
      <c r="K15" s="579"/>
      <c r="L15" s="587">
        <v>2031</v>
      </c>
      <c r="M15" s="587">
        <f>SUM(M13:M14)</f>
        <v>0</v>
      </c>
    </row>
    <row r="16" spans="1:22">
      <c r="A16" s="233"/>
      <c r="B16" s="572"/>
      <c r="C16" s="572"/>
      <c r="D16" s="572"/>
      <c r="E16" s="572"/>
      <c r="F16" s="72"/>
      <c r="G16" s="572"/>
      <c r="H16" s="579"/>
      <c r="I16" s="579"/>
      <c r="J16" s="72"/>
      <c r="K16" s="579"/>
      <c r="L16" s="579"/>
    </row>
    <row r="17" spans="1:15">
      <c r="A17" s="570" t="s">
        <v>349</v>
      </c>
      <c r="B17" s="572"/>
      <c r="C17" s="572"/>
      <c r="D17" s="572"/>
      <c r="E17" s="572"/>
      <c r="F17" s="719">
        <f>IS!E60</f>
        <v>0</v>
      </c>
      <c r="G17" s="572"/>
      <c r="H17" s="612" t="e">
        <f>IS!G48-IS!#REF!</f>
        <v>#REF!</v>
      </c>
      <c r="I17" s="579"/>
      <c r="J17" s="64"/>
      <c r="K17" s="579"/>
      <c r="L17" s="578"/>
      <c r="M17" s="73"/>
    </row>
    <row r="18" spans="1:15" ht="12.75" customHeight="1">
      <c r="A18" s="570" t="s">
        <v>370</v>
      </c>
      <c r="B18" s="588"/>
      <c r="C18" s="589"/>
      <c r="D18" s="590"/>
      <c r="E18" s="590"/>
      <c r="F18" s="720">
        <f>-IS!E52</f>
        <v>0</v>
      </c>
      <c r="G18" s="591"/>
      <c r="H18" s="585">
        <v>0</v>
      </c>
      <c r="I18" s="579"/>
      <c r="J18" s="72"/>
      <c r="K18" s="579"/>
      <c r="L18" s="579"/>
      <c r="M18" s="248"/>
    </row>
    <row r="19" spans="1:15">
      <c r="A19" s="592"/>
      <c r="B19" s="593"/>
      <c r="C19" s="589"/>
      <c r="D19" s="590"/>
      <c r="E19" s="572"/>
      <c r="F19" s="619">
        <f>SUM(F17:F18)</f>
        <v>0</v>
      </c>
      <c r="G19" s="591"/>
      <c r="H19" s="579" t="e">
        <f>SUM(H17:H18)</f>
        <v>#REF!</v>
      </c>
      <c r="I19" s="579"/>
      <c r="J19" s="66"/>
      <c r="K19" s="579"/>
      <c r="L19" s="579"/>
      <c r="M19" s="288"/>
      <c r="N19" s="575"/>
    </row>
    <row r="20" spans="1:15">
      <c r="A20" s="592"/>
      <c r="B20" s="593"/>
      <c r="C20" s="594"/>
      <c r="D20" s="590"/>
      <c r="E20" s="572"/>
      <c r="F20" s="72"/>
      <c r="G20" s="591"/>
      <c r="H20" s="579"/>
      <c r="I20" s="579"/>
      <c r="J20" s="72"/>
      <c r="K20" s="579"/>
      <c r="L20" s="579"/>
      <c r="M20" s="595"/>
      <c r="N20" s="575"/>
    </row>
    <row r="21" spans="1:15">
      <c r="A21" s="570" t="s">
        <v>371</v>
      </c>
      <c r="B21" s="593"/>
      <c r="C21" s="594"/>
      <c r="D21" s="590"/>
      <c r="E21" s="572"/>
      <c r="F21" s="72"/>
      <c r="G21" s="591"/>
      <c r="H21" s="579"/>
      <c r="I21" s="579"/>
      <c r="J21" s="72"/>
      <c r="K21" s="579"/>
      <c r="L21" s="579"/>
      <c r="M21" s="595"/>
      <c r="N21" s="575"/>
    </row>
    <row r="22" spans="1:15" ht="12.75" customHeight="1">
      <c r="A22" s="570" t="s">
        <v>372</v>
      </c>
      <c r="B22" s="596"/>
      <c r="C22" s="589"/>
      <c r="D22" s="590"/>
      <c r="E22" s="572"/>
      <c r="F22" s="571" t="e">
        <f>OCI!#REF!</f>
        <v>#REF!</v>
      </c>
      <c r="G22" s="591"/>
      <c r="H22" s="597" t="e">
        <f>OCI!#REF!</f>
        <v>#REF!</v>
      </c>
      <c r="I22" s="579"/>
      <c r="J22" s="571"/>
      <c r="K22" s="579"/>
      <c r="L22" s="597"/>
      <c r="M22" s="288"/>
    </row>
    <row r="23" spans="1:15">
      <c r="A23" s="592"/>
      <c r="B23" s="598"/>
      <c r="C23" s="589"/>
      <c r="D23" s="590"/>
      <c r="E23" s="572"/>
      <c r="F23" s="72"/>
      <c r="G23" s="591"/>
      <c r="H23" s="579"/>
      <c r="I23" s="599"/>
      <c r="J23" s="72"/>
      <c r="K23" s="599"/>
      <c r="L23" s="579"/>
      <c r="M23" s="288"/>
      <c r="N23" s="575"/>
    </row>
    <row r="24" spans="1:15" s="601" customFormat="1" ht="21" customHeight="1" thickBot="1">
      <c r="A24" s="604" t="s">
        <v>350</v>
      </c>
      <c r="B24" s="722"/>
      <c r="C24" s="723"/>
      <c r="D24" s="724"/>
      <c r="E24" s="600"/>
      <c r="F24" s="725" t="e">
        <f>F11+F15+F19+F22</f>
        <v>#REF!</v>
      </c>
      <c r="G24" s="607"/>
      <c r="H24" s="726" t="e">
        <f>H11+H15+H19+H22</f>
        <v>#REF!</v>
      </c>
      <c r="I24" s="609"/>
      <c r="J24" s="608"/>
      <c r="K24" s="609"/>
      <c r="L24" s="609"/>
      <c r="M24" s="727"/>
    </row>
    <row r="25" spans="1:15" ht="13.8" thickTop="1">
      <c r="A25" s="233"/>
      <c r="B25" s="572"/>
      <c r="C25" s="572"/>
      <c r="D25" s="572"/>
      <c r="E25" s="572"/>
      <c r="F25" s="66"/>
      <c r="G25" s="582"/>
      <c r="H25" s="579"/>
      <c r="I25" s="579"/>
      <c r="J25" s="66"/>
      <c r="K25" s="579"/>
      <c r="L25" s="579"/>
      <c r="M25" s="288"/>
    </row>
    <row r="26" spans="1:15" s="601" customFormat="1" ht="21" customHeight="1" thickBot="1">
      <c r="A26" s="604" t="s">
        <v>351</v>
      </c>
      <c r="B26" s="600"/>
      <c r="C26" s="600"/>
      <c r="D26" s="600"/>
      <c r="E26" s="600"/>
      <c r="F26" s="728">
        <f>BS!I41</f>
        <v>11.999228409267277</v>
      </c>
      <c r="G26" s="729"/>
      <c r="H26" s="730">
        <v>10.69</v>
      </c>
      <c r="I26" s="609"/>
      <c r="J26" s="731"/>
      <c r="K26" s="609"/>
      <c r="L26" s="609"/>
      <c r="M26" s="732"/>
    </row>
    <row r="27" spans="1:15" ht="14.4" thickTop="1">
      <c r="A27" s="605"/>
      <c r="B27" s="572"/>
      <c r="C27" s="572"/>
      <c r="D27" s="572"/>
      <c r="E27" s="572"/>
      <c r="F27" s="66"/>
      <c r="G27" s="582"/>
      <c r="H27" s="579"/>
      <c r="I27" s="579"/>
      <c r="J27" s="66"/>
      <c r="K27" s="579"/>
      <c r="L27" s="579"/>
      <c r="M27" s="288"/>
    </row>
    <row r="28" spans="1:15" s="601" customFormat="1" ht="21" customHeight="1" thickBot="1">
      <c r="A28" s="604" t="s">
        <v>352</v>
      </c>
      <c r="B28" s="600"/>
      <c r="C28" s="600"/>
      <c r="D28" s="600"/>
      <c r="E28" s="600"/>
      <c r="F28" s="728">
        <f>BS!G41</f>
        <v>11.561311182934514</v>
      </c>
      <c r="G28" s="729"/>
      <c r="H28" s="730">
        <v>13.05</v>
      </c>
      <c r="I28" s="609"/>
      <c r="J28" s="731"/>
      <c r="K28" s="609"/>
      <c r="L28" s="609"/>
      <c r="M28" s="732"/>
    </row>
    <row r="29" spans="1:15" ht="13.8" thickTop="1">
      <c r="A29" s="233"/>
      <c r="B29" s="572"/>
      <c r="C29" s="572"/>
      <c r="D29" s="572"/>
      <c r="E29" s="572"/>
      <c r="F29" s="66"/>
      <c r="G29" s="582"/>
      <c r="H29" s="579"/>
      <c r="I29" s="579"/>
      <c r="J29" s="66"/>
      <c r="K29" s="579"/>
      <c r="L29" s="579"/>
      <c r="M29" s="288"/>
      <c r="N29" s="74"/>
      <c r="O29" s="575"/>
    </row>
    <row r="30" spans="1:15">
      <c r="A30" s="685" t="s">
        <v>353</v>
      </c>
      <c r="B30" s="572"/>
      <c r="C30" s="572"/>
      <c r="D30" s="572"/>
      <c r="E30" s="572"/>
      <c r="F30" s="66"/>
      <c r="G30" s="582"/>
      <c r="H30" s="579"/>
      <c r="I30" s="579"/>
      <c r="J30" s="66"/>
      <c r="K30" s="579"/>
      <c r="L30" s="579"/>
      <c r="M30" s="288"/>
    </row>
    <row r="31" spans="1:15">
      <c r="A31" s="363"/>
      <c r="B31" s="572"/>
      <c r="C31" s="572"/>
      <c r="D31" s="572"/>
      <c r="E31" s="572"/>
      <c r="F31" s="66"/>
      <c r="G31" s="582"/>
      <c r="H31" s="579"/>
      <c r="I31" s="579"/>
      <c r="J31" s="66"/>
      <c r="K31" s="579"/>
      <c r="L31" s="579"/>
      <c r="M31" s="288"/>
      <c r="N31" s="74"/>
      <c r="O31" s="575"/>
    </row>
    <row r="32" spans="1:15">
      <c r="A32" s="685" t="s">
        <v>354</v>
      </c>
      <c r="B32" s="572"/>
      <c r="C32" s="572"/>
      <c r="D32" s="572"/>
      <c r="E32" s="572"/>
      <c r="F32" s="66"/>
      <c r="G32" s="582"/>
      <c r="H32" s="579"/>
      <c r="I32" s="579"/>
      <c r="J32" s="66"/>
      <c r="K32" s="579"/>
      <c r="L32" s="579"/>
      <c r="M32" s="288"/>
    </row>
    <row r="33" spans="1:16">
      <c r="A33" s="606" t="s">
        <v>373</v>
      </c>
      <c r="B33" s="572"/>
      <c r="C33" s="572"/>
      <c r="D33" s="572"/>
      <c r="E33" s="572"/>
      <c r="F33" s="571">
        <v>72282</v>
      </c>
      <c r="G33" s="597"/>
      <c r="H33" s="597">
        <v>-137052</v>
      </c>
      <c r="I33" s="597"/>
      <c r="J33" s="571"/>
      <c r="K33" s="597"/>
      <c r="L33" s="597"/>
      <c r="M33" s="288"/>
      <c r="N33" s="575"/>
    </row>
    <row r="34" spans="1:16">
      <c r="A34" s="606" t="s">
        <v>374</v>
      </c>
      <c r="B34" s="572"/>
      <c r="C34" s="572"/>
      <c r="D34" s="572"/>
      <c r="E34" s="572"/>
      <c r="F34" s="571">
        <v>-4279</v>
      </c>
      <c r="G34" s="597"/>
      <c r="H34" s="597">
        <v>150336</v>
      </c>
      <c r="I34" s="597"/>
      <c r="J34" s="571"/>
      <c r="K34" s="597"/>
      <c r="L34" s="597"/>
      <c r="M34" s="288"/>
      <c r="N34" s="575"/>
    </row>
    <row r="35" spans="1:16">
      <c r="A35" s="76"/>
      <c r="B35" s="572"/>
      <c r="C35" s="572"/>
      <c r="D35" s="572"/>
      <c r="E35" s="572"/>
      <c r="F35" s="613">
        <f>SUM(F33:F34)</f>
        <v>68003</v>
      </c>
      <c r="G35" s="578"/>
      <c r="H35" s="614">
        <f>SUM(H33:H34)</f>
        <v>13284</v>
      </c>
      <c r="I35" s="597"/>
      <c r="J35" s="64">
        <f>SUM(J29:J34)</f>
        <v>0</v>
      </c>
      <c r="K35" s="597"/>
      <c r="L35" s="578">
        <v>89437</v>
      </c>
      <c r="M35" s="615"/>
    </row>
    <row r="36" spans="1:16" ht="12" customHeight="1">
      <c r="A36" s="76"/>
      <c r="B36" s="572"/>
      <c r="C36" s="572"/>
      <c r="D36" s="572"/>
      <c r="E36" s="572"/>
      <c r="F36" s="64"/>
      <c r="G36" s="578"/>
      <c r="H36" s="578"/>
      <c r="I36" s="597"/>
      <c r="J36" s="64"/>
      <c r="K36" s="597"/>
      <c r="L36" s="578"/>
    </row>
    <row r="37" spans="1:16" s="601" customFormat="1" ht="12.75" customHeight="1">
      <c r="A37" s="685" t="s">
        <v>356</v>
      </c>
      <c r="B37" s="600"/>
      <c r="C37" s="600"/>
      <c r="D37" s="600"/>
      <c r="E37" s="607"/>
      <c r="F37" s="608"/>
      <c r="G37" s="609"/>
      <c r="H37" s="609"/>
      <c r="I37" s="610"/>
      <c r="J37" s="608"/>
      <c r="K37" s="607"/>
      <c r="L37" s="609"/>
      <c r="M37" s="609"/>
      <c r="N37" s="78"/>
      <c r="P37" s="79"/>
    </row>
    <row r="38" spans="1:16" s="601" customFormat="1" ht="12.75" customHeight="1">
      <c r="A38" s="606" t="s">
        <v>375</v>
      </c>
      <c r="B38" s="600"/>
      <c r="C38" s="600"/>
      <c r="D38" s="600"/>
      <c r="E38" s="607"/>
      <c r="F38" s="608">
        <f>IS!E57</f>
        <v>0</v>
      </c>
      <c r="G38" s="609"/>
      <c r="H38" s="609"/>
      <c r="I38" s="610"/>
      <c r="J38" s="608"/>
      <c r="K38" s="607"/>
      <c r="L38" s="609"/>
      <c r="M38" s="609"/>
      <c r="N38" s="78"/>
      <c r="P38" s="79"/>
    </row>
    <row r="39" spans="1:16" s="601" customFormat="1" ht="12.75" customHeight="1">
      <c r="A39" s="606" t="s">
        <v>376</v>
      </c>
      <c r="B39" s="600"/>
      <c r="C39" s="600"/>
      <c r="D39" s="600"/>
      <c r="E39" s="607"/>
      <c r="F39" s="608">
        <f>IS!E58</f>
        <v>0</v>
      </c>
      <c r="G39" s="609"/>
      <c r="H39" s="609"/>
      <c r="I39" s="610"/>
      <c r="J39" s="608"/>
      <c r="K39" s="607"/>
      <c r="L39" s="609"/>
      <c r="M39" s="609"/>
      <c r="N39" s="78"/>
      <c r="P39" s="79"/>
    </row>
    <row r="40" spans="1:16" s="601" customFormat="1">
      <c r="A40" s="77"/>
      <c r="B40" s="600"/>
      <c r="C40" s="600"/>
      <c r="D40" s="600"/>
      <c r="E40" s="607"/>
      <c r="F40" s="721">
        <f>SUM(F38:F39)</f>
        <v>0</v>
      </c>
      <c r="G40" s="609"/>
      <c r="H40" s="609">
        <f>IS!G48</f>
        <v>48870</v>
      </c>
      <c r="I40" s="610"/>
      <c r="J40" s="608"/>
      <c r="K40" s="607"/>
      <c r="L40" s="609"/>
      <c r="M40" s="616"/>
      <c r="N40" s="78"/>
      <c r="P40" s="79"/>
    </row>
    <row r="41" spans="1:16" s="601" customFormat="1" ht="12.75" customHeight="1">
      <c r="A41" s="570" t="s">
        <v>357</v>
      </c>
      <c r="B41" s="600"/>
      <c r="C41" s="600"/>
      <c r="D41" s="600"/>
      <c r="E41" s="607"/>
      <c r="F41" s="608"/>
      <c r="G41" s="609"/>
      <c r="H41" s="609"/>
      <c r="I41" s="610"/>
      <c r="J41" s="608"/>
      <c r="K41" s="607"/>
      <c r="L41" s="609"/>
      <c r="M41" s="609"/>
      <c r="N41" s="78"/>
      <c r="P41" s="79"/>
    </row>
    <row r="42" spans="1:16" ht="12" customHeight="1">
      <c r="A42" s="570" t="s">
        <v>358</v>
      </c>
      <c r="B42" s="572"/>
      <c r="C42" s="572"/>
      <c r="D42" s="572"/>
      <c r="E42" s="572"/>
      <c r="F42" s="72"/>
      <c r="G42" s="578"/>
      <c r="H42" s="579"/>
      <c r="I42" s="59"/>
      <c r="J42" s="72"/>
      <c r="K42" s="580"/>
      <c r="L42" s="579"/>
      <c r="M42" s="579"/>
      <c r="N42" s="69"/>
    </row>
    <row r="43" spans="1:16" ht="12" customHeight="1">
      <c r="A43" s="570" t="s">
        <v>359</v>
      </c>
      <c r="B43" s="611"/>
      <c r="C43" s="611"/>
      <c r="D43" s="611"/>
      <c r="E43" s="611"/>
      <c r="F43" s="622">
        <v>0</v>
      </c>
      <c r="G43" s="611"/>
      <c r="H43" s="623">
        <v>-5424</v>
      </c>
      <c r="I43" s="611"/>
      <c r="J43" s="611"/>
      <c r="K43" s="611"/>
      <c r="L43" s="611"/>
      <c r="M43" s="579"/>
      <c r="N43" s="69"/>
    </row>
    <row r="44" spans="1:16" ht="6" customHeight="1">
      <c r="A44" s="611"/>
      <c r="B44" s="611"/>
      <c r="C44" s="611"/>
      <c r="D44" s="611"/>
      <c r="E44" s="611"/>
      <c r="F44" s="611"/>
      <c r="G44" s="611"/>
      <c r="H44" s="611"/>
      <c r="I44" s="611"/>
      <c r="J44" s="611"/>
      <c r="K44" s="611"/>
      <c r="L44" s="611"/>
      <c r="M44" s="579"/>
      <c r="N44" s="69"/>
    </row>
    <row r="45" spans="1:16" ht="18" customHeight="1">
      <c r="A45" s="685" t="s">
        <v>360</v>
      </c>
      <c r="B45" s="611"/>
      <c r="C45" s="611"/>
      <c r="D45" s="611"/>
      <c r="E45" s="611"/>
      <c r="F45" s="622">
        <v>0</v>
      </c>
      <c r="G45" s="611"/>
      <c r="H45" s="622">
        <v>0</v>
      </c>
      <c r="I45" s="611"/>
      <c r="J45" s="611"/>
      <c r="K45" s="611"/>
      <c r="L45" s="611"/>
      <c r="M45" s="579"/>
      <c r="N45" s="69"/>
    </row>
    <row r="46" spans="1:16" ht="10.5" customHeight="1">
      <c r="A46" s="611"/>
      <c r="B46" s="611"/>
      <c r="C46" s="611"/>
      <c r="D46" s="611"/>
      <c r="E46" s="611"/>
      <c r="F46" s="611"/>
      <c r="G46" s="611"/>
      <c r="H46" s="611"/>
      <c r="I46" s="611"/>
      <c r="J46" s="611"/>
      <c r="K46" s="611"/>
      <c r="L46" s="611"/>
      <c r="M46" s="579"/>
      <c r="N46" s="69"/>
    </row>
    <row r="47" spans="1:16" s="601" customFormat="1" ht="21" customHeight="1" thickBot="1">
      <c r="A47" s="604" t="s">
        <v>361</v>
      </c>
      <c r="B47" s="733"/>
      <c r="C47" s="733"/>
      <c r="D47" s="733"/>
      <c r="E47" s="733"/>
      <c r="F47" s="734">
        <f>F35+F40+F43</f>
        <v>68003</v>
      </c>
      <c r="G47" s="733"/>
      <c r="H47" s="735">
        <f>H35+H40+H43</f>
        <v>56730</v>
      </c>
      <c r="I47" s="733"/>
      <c r="J47" s="733"/>
      <c r="K47" s="733"/>
      <c r="L47" s="733"/>
      <c r="M47" s="727"/>
      <c r="N47" s="78"/>
    </row>
    <row r="48" spans="1:16" ht="13.8" thickTop="1">
      <c r="A48" s="611"/>
      <c r="B48" s="611"/>
      <c r="C48" s="611"/>
      <c r="D48" s="611"/>
      <c r="E48" s="611"/>
      <c r="F48" s="611"/>
      <c r="G48" s="611"/>
      <c r="H48" s="611"/>
      <c r="I48" s="611"/>
      <c r="J48" s="611"/>
      <c r="K48" s="611"/>
      <c r="L48" s="611"/>
      <c r="M48" s="579"/>
      <c r="N48" s="69"/>
    </row>
    <row r="49" spans="1:14" ht="18" customHeight="1">
      <c r="A49" s="685" t="s">
        <v>362</v>
      </c>
      <c r="B49" s="611"/>
      <c r="C49" s="611"/>
      <c r="D49" s="611"/>
      <c r="E49" s="611"/>
      <c r="F49" s="611"/>
      <c r="G49" s="611"/>
      <c r="H49" s="611"/>
      <c r="I49" s="611"/>
      <c r="J49" s="611"/>
      <c r="K49" s="611"/>
      <c r="L49" s="611"/>
      <c r="M49" s="579"/>
      <c r="N49" s="69"/>
    </row>
    <row r="50" spans="1:14" ht="12" customHeight="1">
      <c r="A50" s="606" t="s">
        <v>355</v>
      </c>
      <c r="B50" s="611"/>
      <c r="C50" s="611"/>
      <c r="D50" s="611"/>
      <c r="E50" s="611"/>
      <c r="F50" s="624">
        <f>F52-F51</f>
        <v>83165.377000000008</v>
      </c>
      <c r="G50" s="611"/>
      <c r="H50" s="623">
        <f>H52-H51</f>
        <v>37887</v>
      </c>
      <c r="I50" s="611"/>
      <c r="J50" s="611"/>
      <c r="K50" s="611"/>
      <c r="L50" s="611"/>
      <c r="M50" s="579"/>
      <c r="N50" s="69"/>
    </row>
    <row r="51" spans="1:14" ht="12" customHeight="1">
      <c r="A51" s="606" t="s">
        <v>363</v>
      </c>
      <c r="B51" s="611"/>
      <c r="C51" s="611"/>
      <c r="D51" s="611"/>
      <c r="E51" s="611"/>
      <c r="F51" s="624">
        <f>IS!E17</f>
        <v>-15162.377000000006</v>
      </c>
      <c r="G51" s="611"/>
      <c r="H51" s="623">
        <v>18843</v>
      </c>
      <c r="I51" s="611"/>
      <c r="J51" s="611"/>
      <c r="K51" s="611"/>
      <c r="L51" s="611"/>
      <c r="M51" s="579"/>
      <c r="N51" s="69"/>
    </row>
    <row r="52" spans="1:14" s="601" customFormat="1" ht="21" customHeight="1" thickBot="1">
      <c r="A52" s="733"/>
      <c r="B52" s="733"/>
      <c r="C52" s="733"/>
      <c r="D52" s="733"/>
      <c r="E52" s="733"/>
      <c r="F52" s="736">
        <f>F47</f>
        <v>68003</v>
      </c>
      <c r="G52" s="733"/>
      <c r="H52" s="737">
        <f>H47</f>
        <v>56730</v>
      </c>
      <c r="I52" s="733"/>
      <c r="J52" s="733"/>
      <c r="K52" s="733"/>
      <c r="L52" s="733"/>
      <c r="M52" s="727"/>
      <c r="N52" s="78"/>
    </row>
    <row r="53" spans="1:14" ht="11.25" customHeight="1" thickTop="1">
      <c r="A53" s="611"/>
      <c r="B53" s="611"/>
      <c r="C53" s="611"/>
      <c r="D53" s="611"/>
      <c r="E53" s="611"/>
      <c r="F53" s="611"/>
      <c r="G53" s="611"/>
      <c r="H53" s="611"/>
      <c r="I53" s="611"/>
      <c r="J53" s="611"/>
      <c r="K53" s="611"/>
      <c r="L53" s="611"/>
      <c r="M53" s="579"/>
      <c r="N53" s="69"/>
    </row>
    <row r="54" spans="1:14">
      <c r="A54" s="572" t="s">
        <v>396</v>
      </c>
      <c r="B54" s="572"/>
      <c r="C54" s="572"/>
      <c r="D54" s="572"/>
      <c r="E54" s="572"/>
      <c r="F54" s="80"/>
      <c r="G54" s="572"/>
      <c r="H54" s="602"/>
      <c r="I54" s="572"/>
      <c r="K54" s="572"/>
      <c r="L54" s="602"/>
    </row>
    <row r="55" spans="1:14" ht="6.75" customHeight="1">
      <c r="A55" s="572"/>
      <c r="B55" s="572"/>
      <c r="C55" s="572"/>
      <c r="D55" s="572"/>
      <c r="E55" s="572"/>
      <c r="F55" s="81"/>
      <c r="G55" s="572"/>
      <c r="H55" s="602"/>
      <c r="I55" s="572"/>
      <c r="J55" s="576"/>
      <c r="K55" s="572"/>
      <c r="L55" s="602"/>
    </row>
    <row r="56" spans="1:14">
      <c r="A56" s="603"/>
      <c r="B56" s="59"/>
      <c r="C56" s="59"/>
      <c r="D56" s="59"/>
      <c r="E56" s="59"/>
      <c r="F56" s="59"/>
      <c r="G56" s="59"/>
      <c r="H56" s="59"/>
      <c r="I56" s="572"/>
      <c r="J56" s="59"/>
      <c r="K56" s="572"/>
      <c r="L56" s="59"/>
    </row>
    <row r="57" spans="1:14">
      <c r="A57" s="1442" t="s">
        <v>152</v>
      </c>
      <c r="B57" s="1442"/>
      <c r="C57" s="1442"/>
      <c r="D57" s="1442"/>
      <c r="E57" s="1442"/>
      <c r="F57" s="1442"/>
      <c r="G57" s="1442"/>
      <c r="H57" s="1442"/>
      <c r="I57" s="1442"/>
      <c r="J57" s="1442"/>
      <c r="K57" s="1442"/>
      <c r="L57" s="1442"/>
    </row>
    <row r="58" spans="1:14">
      <c r="A58" s="1443" t="s">
        <v>187</v>
      </c>
      <c r="B58" s="1443"/>
      <c r="C58" s="1443"/>
      <c r="D58" s="1443"/>
      <c r="E58" s="1443"/>
      <c r="F58" s="1443"/>
      <c r="G58" s="1443"/>
      <c r="H58" s="1443"/>
      <c r="I58" s="1443"/>
      <c r="J58" s="1443"/>
      <c r="K58" s="1443"/>
      <c r="L58" s="1443"/>
    </row>
    <row r="59" spans="1:14">
      <c r="A59" s="692"/>
      <c r="B59" s="692"/>
      <c r="C59" s="692"/>
      <c r="D59" s="692"/>
      <c r="E59" s="692"/>
      <c r="F59" s="692"/>
      <c r="G59" s="692"/>
      <c r="H59" s="692"/>
      <c r="I59" s="692"/>
      <c r="J59" s="692"/>
      <c r="K59" s="692"/>
      <c r="L59" s="692"/>
    </row>
    <row r="60" spans="1:14">
      <c r="A60" s="572"/>
      <c r="B60" s="692"/>
      <c r="C60" s="692"/>
      <c r="D60" s="692"/>
      <c r="E60" s="82"/>
      <c r="F60" s="692"/>
      <c r="G60" s="692"/>
      <c r="H60" s="692"/>
      <c r="I60" s="572"/>
      <c r="J60" s="692"/>
      <c r="K60" s="572"/>
      <c r="L60" s="692"/>
    </row>
    <row r="61" spans="1:14">
      <c r="A61" s="591"/>
      <c r="B61" s="57"/>
      <c r="C61" s="83"/>
      <c r="D61" s="57"/>
      <c r="E61" s="84"/>
      <c r="F61" s="691"/>
      <c r="G61" s="691"/>
      <c r="H61" s="1442"/>
      <c r="I61" s="1442"/>
      <c r="J61" s="1442"/>
      <c r="K61" s="1442"/>
      <c r="L61" s="1442"/>
    </row>
    <row r="62" spans="1:14">
      <c r="A62" s="364" t="s">
        <v>314</v>
      </c>
      <c r="B62" s="360"/>
      <c r="C62" s="361"/>
      <c r="D62" s="363"/>
      <c r="E62" s="685"/>
      <c r="F62" s="685"/>
      <c r="G62" s="685"/>
      <c r="H62" s="685"/>
      <c r="I62" s="685"/>
      <c r="J62" s="685"/>
      <c r="K62" s="685"/>
      <c r="L62" s="692"/>
    </row>
    <row r="63" spans="1:14">
      <c r="C63" s="583"/>
      <c r="F63" s="85"/>
      <c r="G63" s="86"/>
      <c r="H63" s="87"/>
      <c r="I63" s="87"/>
      <c r="J63" s="85"/>
      <c r="K63" s="86"/>
      <c r="L63" s="88"/>
    </row>
    <row r="65" spans="6:12">
      <c r="F65" s="64"/>
      <c r="J65" s="575"/>
    </row>
    <row r="66" spans="6:12">
      <c r="F66" s="88"/>
      <c r="J66" s="88"/>
    </row>
    <row r="68" spans="6:12">
      <c r="F68" s="64"/>
      <c r="G68" s="64"/>
      <c r="H68" s="578"/>
      <c r="I68" s="64"/>
      <c r="J68" s="64"/>
      <c r="K68" s="64"/>
      <c r="L68" s="578"/>
    </row>
    <row r="69" spans="6:12">
      <c r="F69" s="88"/>
      <c r="H69" s="88"/>
      <c r="J69" s="88"/>
      <c r="L69" s="88"/>
    </row>
  </sheetData>
  <mergeCells count="8">
    <mergeCell ref="A57:L57"/>
    <mergeCell ref="A58:L58"/>
    <mergeCell ref="H61:L61"/>
    <mergeCell ref="F5:H5"/>
    <mergeCell ref="J5:L5"/>
    <mergeCell ref="F6:H6"/>
    <mergeCell ref="J6:L6"/>
    <mergeCell ref="F9:L9"/>
  </mergeCells>
  <pageMargins left="0.75" right="0.35" top="0.65" bottom="0.4" header="0.5" footer="0.28999999999999998"/>
  <pageSetup scale="90" orientation="portrait" horizontalDpi="4294967295" verticalDpi="4294967295" r:id="rId1"/>
  <headerFooter alignWithMargins="0"/>
  <colBreaks count="1" manualBreakCount="1">
    <brk id="12" max="1048575" man="1"/>
  </colBreaks>
  <ignoredErrors>
    <ignoredError sqref="F7:H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showGridLines="0" view="pageBreakPreview" topLeftCell="A25" zoomScaleSheetLayoutView="100" workbookViewId="0">
      <selection activeCell="F45" sqref="F45"/>
    </sheetView>
  </sheetViews>
  <sheetFormatPr defaultColWidth="9.109375" defaultRowHeight="11.4"/>
  <cols>
    <col min="1" max="1" width="5.88671875" style="784" customWidth="1"/>
    <col min="2" max="2" width="4.109375" style="784" customWidth="1"/>
    <col min="3" max="3" width="40.33203125" style="784" customWidth="1"/>
    <col min="4" max="4" width="2.109375" style="784" customWidth="1"/>
    <col min="5" max="5" width="10.5546875" style="785" customWidth="1"/>
    <col min="6" max="7" width="12.109375" style="785" customWidth="1"/>
    <col min="8" max="8" width="11" style="785" customWidth="1"/>
    <col min="9" max="9" width="1.88671875" style="785" customWidth="1"/>
    <col min="10" max="10" width="9.88671875" style="785" customWidth="1"/>
    <col min="11" max="12" width="12.109375" style="784" customWidth="1"/>
    <col min="13" max="13" width="11" style="784" customWidth="1"/>
    <col min="14" max="16384" width="9.109375" style="784"/>
  </cols>
  <sheetData>
    <row r="1" spans="1:13" s="740" customFormat="1" ht="13.8">
      <c r="A1" s="739" t="s">
        <v>123</v>
      </c>
    </row>
    <row r="2" spans="1:13" s="740" customFormat="1" ht="13.8">
      <c r="A2" s="741" t="s">
        <v>397</v>
      </c>
    </row>
    <row r="3" spans="1:13" s="740" customFormat="1" ht="13.8">
      <c r="A3" s="741" t="s">
        <v>398</v>
      </c>
    </row>
    <row r="4" spans="1:13" s="740" customFormat="1" ht="13.8">
      <c r="A4" s="741"/>
    </row>
    <row r="5" spans="1:13" s="740" customFormat="1" ht="13.8">
      <c r="A5" s="1448" t="s">
        <v>399</v>
      </c>
      <c r="B5" s="1448"/>
      <c r="C5" s="1448"/>
      <c r="E5" s="742"/>
      <c r="F5" s="742"/>
      <c r="G5" s="742"/>
      <c r="H5" s="742"/>
      <c r="I5" s="742"/>
      <c r="J5" s="742"/>
    </row>
    <row r="6" spans="1:13" s="740" customFormat="1" ht="28.5" customHeight="1">
      <c r="A6" s="1449" t="s">
        <v>400</v>
      </c>
      <c r="B6" s="1449"/>
      <c r="C6" s="1449"/>
      <c r="E6" s="742"/>
      <c r="F6" s="742"/>
      <c r="G6" s="742"/>
      <c r="H6" s="742"/>
      <c r="I6" s="742"/>
      <c r="J6" s="742"/>
    </row>
    <row r="7" spans="1:13" s="740" customFormat="1" ht="13.8">
      <c r="E7" s="1450" t="s">
        <v>154</v>
      </c>
      <c r="F7" s="1450"/>
      <c r="G7" s="1450"/>
      <c r="H7" s="1450"/>
      <c r="I7" s="1450"/>
      <c r="J7" s="1450"/>
      <c r="K7" s="1450"/>
      <c r="L7" s="1450"/>
      <c r="M7" s="1450"/>
    </row>
    <row r="8" spans="1:13" s="740" customFormat="1" ht="13.8">
      <c r="A8" s="741"/>
      <c r="C8" s="742"/>
      <c r="E8" s="1451" t="s">
        <v>126</v>
      </c>
      <c r="F8" s="1451"/>
      <c r="G8" s="1451"/>
      <c r="H8" s="1451"/>
      <c r="I8" s="1451"/>
      <c r="J8" s="1451"/>
      <c r="K8" s="1451"/>
      <c r="L8" s="1451"/>
      <c r="M8" s="1451"/>
    </row>
    <row r="9" spans="1:13" s="740" customFormat="1" ht="13.8">
      <c r="A9" s="741"/>
      <c r="C9" s="742"/>
      <c r="E9" s="1452">
        <v>2017</v>
      </c>
      <c r="F9" s="1452"/>
      <c r="G9" s="1452"/>
      <c r="H9" s="1452"/>
      <c r="I9" s="743"/>
      <c r="J9" s="1452">
        <v>2016</v>
      </c>
      <c r="K9" s="1452"/>
      <c r="L9" s="1452"/>
      <c r="M9" s="1452"/>
    </row>
    <row r="10" spans="1:13" s="740" customFormat="1" ht="13.8">
      <c r="A10" s="741"/>
      <c r="E10" s="1447" t="s">
        <v>401</v>
      </c>
      <c r="F10" s="1447"/>
      <c r="G10" s="1447"/>
      <c r="H10" s="1447"/>
      <c r="I10" s="1447"/>
      <c r="J10" s="1447"/>
      <c r="K10" s="1447"/>
      <c r="L10" s="1447"/>
      <c r="M10" s="1447"/>
    </row>
    <row r="11" spans="1:13" s="740" customFormat="1" ht="8.1" customHeight="1" thickBot="1">
      <c r="A11" s="741"/>
      <c r="E11" s="744"/>
      <c r="F11" s="744"/>
      <c r="G11" s="744"/>
      <c r="H11" s="744"/>
      <c r="I11" s="744"/>
      <c r="J11" s="744"/>
      <c r="K11" s="744"/>
      <c r="L11" s="744"/>
      <c r="M11" s="744"/>
    </row>
    <row r="12" spans="1:13" s="745" customFormat="1" ht="97.2" thickBot="1">
      <c r="E12" s="746" t="s">
        <v>402</v>
      </c>
      <c r="F12" s="746" t="s">
        <v>403</v>
      </c>
      <c r="G12" s="746" t="s">
        <v>404</v>
      </c>
      <c r="H12" s="746" t="s">
        <v>237</v>
      </c>
      <c r="I12" s="747"/>
      <c r="J12" s="746" t="s">
        <v>402</v>
      </c>
      <c r="K12" s="746" t="s">
        <v>403</v>
      </c>
      <c r="L12" s="746" t="s">
        <v>404</v>
      </c>
      <c r="M12" s="746" t="s">
        <v>237</v>
      </c>
    </row>
    <row r="13" spans="1:13" s="748" customFormat="1" ht="8.1" customHeight="1">
      <c r="E13" s="749"/>
      <c r="F13" s="749"/>
      <c r="G13" s="749"/>
      <c r="H13" s="749"/>
      <c r="I13" s="750"/>
      <c r="J13" s="749"/>
      <c r="K13" s="749"/>
      <c r="L13" s="749"/>
      <c r="M13" s="749"/>
    </row>
    <row r="14" spans="1:13" s="740" customFormat="1" ht="13.8">
      <c r="A14" s="740" t="s">
        <v>185</v>
      </c>
      <c r="E14" s="751">
        <f>H14-F14-G14</f>
        <v>404545</v>
      </c>
      <c r="F14" s="751">
        <v>68003</v>
      </c>
      <c r="G14" s="751">
        <v>-5885</v>
      </c>
      <c r="H14" s="751">
        <f>BS!I32</f>
        <v>466663</v>
      </c>
      <c r="I14" s="742"/>
      <c r="J14" s="751">
        <f>M14-K14-L14</f>
        <v>603291</v>
      </c>
      <c r="K14" s="751">
        <v>13284</v>
      </c>
      <c r="L14" s="751">
        <v>10347</v>
      </c>
      <c r="M14" s="751">
        <v>626922</v>
      </c>
    </row>
    <row r="15" spans="1:13" s="740" customFormat="1" ht="8.1" customHeight="1">
      <c r="A15" s="741"/>
      <c r="E15" s="742"/>
      <c r="F15" s="742"/>
      <c r="G15" s="742"/>
      <c r="H15" s="742"/>
      <c r="I15" s="742"/>
      <c r="J15" s="742"/>
      <c r="K15" s="742"/>
      <c r="L15" s="742"/>
      <c r="M15" s="742"/>
    </row>
    <row r="16" spans="1:13" s="740" customFormat="1" ht="8.1" customHeight="1">
      <c r="A16" s="741"/>
      <c r="E16" s="742"/>
      <c r="F16" s="742"/>
      <c r="G16" s="742"/>
      <c r="H16" s="742"/>
      <c r="I16" s="742"/>
      <c r="J16" s="742"/>
      <c r="K16" s="742"/>
      <c r="L16" s="742"/>
      <c r="M16" s="742"/>
    </row>
    <row r="17" spans="1:17" s="740" customFormat="1" ht="13.8">
      <c r="A17" s="752" t="s">
        <v>405</v>
      </c>
      <c r="B17" s="752"/>
      <c r="C17" s="752"/>
      <c r="D17" s="752"/>
      <c r="E17" s="742"/>
      <c r="F17" s="742"/>
      <c r="G17" s="742"/>
      <c r="H17" s="742"/>
      <c r="I17" s="753"/>
      <c r="J17" s="742"/>
      <c r="K17" s="742"/>
      <c r="L17" s="742"/>
      <c r="M17" s="742"/>
    </row>
    <row r="18" spans="1:17" s="740" customFormat="1" ht="13.8">
      <c r="A18" s="754" t="s">
        <v>406</v>
      </c>
      <c r="E18" s="742"/>
      <c r="F18" s="742"/>
      <c r="G18" s="742"/>
      <c r="H18" s="742"/>
      <c r="I18" s="753"/>
      <c r="J18" s="742"/>
      <c r="K18" s="742"/>
      <c r="L18" s="742"/>
      <c r="M18" s="742"/>
    </row>
    <row r="19" spans="1:17" s="740" customFormat="1" ht="13.8">
      <c r="A19" s="755" t="s">
        <v>407</v>
      </c>
      <c r="E19" s="756">
        <f>(3637372*11.53)/1000</f>
        <v>41938.899159999994</v>
      </c>
      <c r="F19" s="756">
        <v>0</v>
      </c>
      <c r="G19" s="756">
        <v>0</v>
      </c>
      <c r="H19" s="756">
        <f>SUM(E19:G19)</f>
        <v>41938.899159999994</v>
      </c>
      <c r="I19" s="753"/>
      <c r="J19" s="742"/>
      <c r="K19" s="742"/>
      <c r="L19" s="742"/>
      <c r="M19" s="742"/>
    </row>
    <row r="20" spans="1:17" s="740" customFormat="1" ht="13.8">
      <c r="A20" s="754" t="s">
        <v>408</v>
      </c>
      <c r="E20" s="757">
        <f>E21-E19</f>
        <v>-1603.5991599999907</v>
      </c>
      <c r="F20" s="757">
        <v>0</v>
      </c>
      <c r="G20" s="757">
        <v>0</v>
      </c>
      <c r="H20" s="757">
        <f>SUM(E20:G20)</f>
        <v>-1603.5991599999907</v>
      </c>
      <c r="I20" s="753"/>
      <c r="J20" s="742"/>
      <c r="K20" s="742"/>
      <c r="L20" s="742"/>
      <c r="M20" s="742"/>
    </row>
    <row r="21" spans="1:17" s="740" customFormat="1" ht="13.8">
      <c r="A21" s="752" t="s">
        <v>409</v>
      </c>
      <c r="B21" s="752"/>
      <c r="C21" s="752"/>
      <c r="D21" s="752"/>
      <c r="E21" s="758">
        <v>40335.300000000003</v>
      </c>
      <c r="F21" s="758">
        <f>SUM(F19:F20)</f>
        <v>0</v>
      </c>
      <c r="G21" s="758">
        <f>SUM(G19:G20)</f>
        <v>0</v>
      </c>
      <c r="H21" s="758">
        <f>SUM(H19:H20)</f>
        <v>40335.300000000003</v>
      </c>
      <c r="I21" s="753"/>
      <c r="J21" s="759">
        <v>124488</v>
      </c>
      <c r="K21" s="759">
        <v>0</v>
      </c>
      <c r="L21" s="759">
        <v>0</v>
      </c>
      <c r="M21" s="759">
        <v>124488</v>
      </c>
    </row>
    <row r="22" spans="1:17" s="740" customFormat="1" ht="8.1" customHeight="1">
      <c r="E22" s="760"/>
      <c r="F22" s="760"/>
      <c r="G22" s="760"/>
      <c r="H22" s="760"/>
      <c r="I22" s="760"/>
      <c r="J22" s="760"/>
      <c r="K22" s="760"/>
      <c r="L22" s="760"/>
      <c r="M22" s="760"/>
    </row>
    <row r="23" spans="1:17" s="740" customFormat="1" ht="13.8">
      <c r="A23" s="752" t="s">
        <v>410</v>
      </c>
      <c r="B23" s="752"/>
      <c r="C23" s="752"/>
      <c r="D23" s="752"/>
      <c r="E23" s="753"/>
      <c r="F23" s="753"/>
      <c r="G23" s="753"/>
      <c r="H23" s="753"/>
      <c r="I23" s="760"/>
      <c r="J23" s="760"/>
      <c r="K23" s="760"/>
      <c r="L23" s="760"/>
      <c r="M23" s="760"/>
    </row>
    <row r="24" spans="1:17" s="740" customFormat="1" ht="13.8">
      <c r="A24" s="754" t="s">
        <v>406</v>
      </c>
      <c r="E24" s="760"/>
      <c r="F24" s="760"/>
      <c r="G24" s="760"/>
      <c r="H24" s="760"/>
      <c r="I24" s="760"/>
      <c r="J24" s="760"/>
      <c r="K24" s="760"/>
      <c r="L24" s="760"/>
      <c r="M24" s="760"/>
    </row>
    <row r="25" spans="1:17" s="740" customFormat="1" ht="13.8">
      <c r="A25" s="761" t="s">
        <v>407</v>
      </c>
      <c r="E25" s="756">
        <f>(6380696*11.53)/1000</f>
        <v>73569.424879999991</v>
      </c>
      <c r="F25" s="756">
        <v>0</v>
      </c>
      <c r="G25" s="756">
        <v>0</v>
      </c>
      <c r="H25" s="756">
        <f>SUM(E25:G25)</f>
        <v>73569.424879999991</v>
      </c>
      <c r="I25" s="760"/>
      <c r="J25" s="742"/>
      <c r="K25" s="742"/>
      <c r="L25" s="742"/>
      <c r="M25" s="742"/>
    </row>
    <row r="26" spans="1:17" s="740" customFormat="1" ht="13.8">
      <c r="A26" s="754" t="s">
        <v>411</v>
      </c>
      <c r="E26" s="762"/>
      <c r="F26" s="762"/>
      <c r="G26" s="762"/>
      <c r="H26" s="762"/>
      <c r="I26" s="760"/>
      <c r="J26" s="742"/>
      <c r="K26" s="742"/>
      <c r="L26" s="742"/>
      <c r="M26" s="742"/>
    </row>
    <row r="27" spans="1:17" s="740" customFormat="1" ht="13.8">
      <c r="A27" s="754"/>
      <c r="B27" s="763" t="s">
        <v>412</v>
      </c>
      <c r="E27" s="764">
        <v>0</v>
      </c>
      <c r="F27" s="764">
        <f>IS!E52</f>
        <v>0</v>
      </c>
      <c r="G27" s="764">
        <v>0</v>
      </c>
      <c r="H27" s="764">
        <f>+SUM(E27:G27)</f>
        <v>0</v>
      </c>
      <c r="I27" s="760"/>
      <c r="J27" s="742"/>
      <c r="K27" s="742"/>
      <c r="L27" s="742"/>
      <c r="M27" s="742"/>
    </row>
    <row r="28" spans="1:17" s="740" customFormat="1" ht="13.8">
      <c r="A28" s="754"/>
      <c r="B28" s="763" t="s">
        <v>413</v>
      </c>
      <c r="E28" s="764">
        <v>0</v>
      </c>
      <c r="F28" s="764">
        <v>0</v>
      </c>
      <c r="G28" s="764">
        <v>0</v>
      </c>
      <c r="H28" s="764">
        <f t="shared" ref="H28:H29" si="0">SUM(E28:G28)</f>
        <v>0</v>
      </c>
      <c r="I28" s="760"/>
      <c r="J28" s="742"/>
      <c r="K28" s="742"/>
      <c r="L28" s="742"/>
      <c r="M28" s="742"/>
    </row>
    <row r="29" spans="1:17" s="740" customFormat="1" ht="13.8">
      <c r="A29" s="754" t="s">
        <v>414</v>
      </c>
      <c r="E29" s="757">
        <f>E30-E25</f>
        <v>-3358.4248799999914</v>
      </c>
      <c r="F29" s="757">
        <v>0</v>
      </c>
      <c r="G29" s="757">
        <v>0</v>
      </c>
      <c r="H29" s="757">
        <f t="shared" si="0"/>
        <v>-3358.4248799999914</v>
      </c>
      <c r="I29" s="760"/>
      <c r="J29" s="742"/>
      <c r="K29" s="742"/>
      <c r="L29" s="742"/>
      <c r="M29" s="742"/>
    </row>
    <row r="30" spans="1:17" s="752" customFormat="1" ht="13.8">
      <c r="A30" s="752" t="s">
        <v>415</v>
      </c>
      <c r="E30" s="765">
        <v>70211</v>
      </c>
      <c r="F30" s="765">
        <f>SUM(F27:F29)</f>
        <v>0</v>
      </c>
      <c r="G30" s="765">
        <f>SUM(G27:G29)</f>
        <v>0</v>
      </c>
      <c r="H30" s="765">
        <f>H25-H27+H29</f>
        <v>70211</v>
      </c>
      <c r="I30" s="753"/>
      <c r="J30" s="765">
        <v>184560</v>
      </c>
      <c r="K30" s="765">
        <v>0</v>
      </c>
      <c r="L30" s="765">
        <v>0</v>
      </c>
      <c r="M30" s="765">
        <v>184560</v>
      </c>
    </row>
    <row r="31" spans="1:17" s="740" customFormat="1" ht="13.8"/>
    <row r="32" spans="1:17" s="740" customFormat="1" ht="13.8">
      <c r="A32" s="793" t="s">
        <v>416</v>
      </c>
      <c r="B32" s="741"/>
      <c r="C32" s="741"/>
      <c r="D32" s="790"/>
      <c r="J32" s="794"/>
      <c r="K32" s="794"/>
      <c r="L32" s="794"/>
      <c r="M32" s="794"/>
      <c r="Q32" s="740">
        <v>601564</v>
      </c>
    </row>
    <row r="33" spans="1:17" s="740" customFormat="1" ht="13.8">
      <c r="A33" s="795" t="s">
        <v>417</v>
      </c>
      <c r="B33" s="741"/>
      <c r="C33" s="741"/>
      <c r="D33" s="790"/>
      <c r="E33" s="796">
        <v>0</v>
      </c>
      <c r="F33" s="796">
        <v>0</v>
      </c>
      <c r="G33" s="796">
        <v>0</v>
      </c>
      <c r="H33" s="796">
        <v>0</v>
      </c>
      <c r="J33" s="749">
        <v>0</v>
      </c>
      <c r="K33" s="749">
        <v>0</v>
      </c>
      <c r="L33" s="749">
        <v>0</v>
      </c>
      <c r="M33" s="749">
        <v>0</v>
      </c>
      <c r="Q33" s="789" t="e">
        <f>H39-Q32</f>
        <v>#REF!</v>
      </c>
    </row>
    <row r="34" spans="1:17" s="740" customFormat="1" ht="8.1" customHeight="1">
      <c r="D34" s="766"/>
      <c r="E34" s="760"/>
      <c r="F34" s="760"/>
      <c r="G34" s="760"/>
      <c r="H34" s="760"/>
      <c r="I34" s="760"/>
      <c r="J34" s="760"/>
      <c r="K34" s="760"/>
      <c r="L34" s="760"/>
      <c r="M34" s="760"/>
    </row>
    <row r="35" spans="1:17" s="740" customFormat="1" ht="13.8">
      <c r="A35" s="740" t="s">
        <v>418</v>
      </c>
      <c r="D35" s="766"/>
      <c r="E35" s="756">
        <v>0</v>
      </c>
      <c r="F35" s="756">
        <f>OCI!F10</f>
        <v>-16693.395640000006</v>
      </c>
      <c r="G35" s="756" t="e">
        <f>OCI!#REF!</f>
        <v>#REF!</v>
      </c>
      <c r="H35" s="756" t="e">
        <f>SUM(E35:G35)</f>
        <v>#REF!</v>
      </c>
      <c r="I35" s="760"/>
      <c r="J35" s="756">
        <v>0</v>
      </c>
      <c r="K35" s="756">
        <f>OCI!H10</f>
        <v>48870</v>
      </c>
      <c r="L35" s="756" t="e">
        <f>OCI!#REF!</f>
        <v>#REF!</v>
      </c>
      <c r="M35" s="756" t="e">
        <f>SUM(J35:L35)</f>
        <v>#REF!</v>
      </c>
    </row>
    <row r="36" spans="1:17" s="740" customFormat="1" ht="13.8">
      <c r="A36" s="740" t="s">
        <v>419</v>
      </c>
      <c r="D36" s="766"/>
      <c r="E36" s="757">
        <v>0</v>
      </c>
      <c r="F36" s="757">
        <v>0</v>
      </c>
      <c r="G36" s="757">
        <v>0</v>
      </c>
      <c r="H36" s="757">
        <f>SUM(E36:G36)</f>
        <v>0</v>
      </c>
      <c r="I36" s="760"/>
      <c r="J36" s="757">
        <v>0</v>
      </c>
      <c r="K36" s="757">
        <v>0</v>
      </c>
      <c r="L36" s="757">
        <v>0</v>
      </c>
      <c r="M36" s="757">
        <f>SUM(J36:L36)</f>
        <v>0</v>
      </c>
    </row>
    <row r="37" spans="1:17" s="740" customFormat="1" ht="13.8">
      <c r="A37" s="740" t="s">
        <v>420</v>
      </c>
      <c r="E37" s="767">
        <f>SUM(E35:E36)</f>
        <v>0</v>
      </c>
      <c r="F37" s="767">
        <f>SUM(F35:F36)</f>
        <v>-16693.395640000006</v>
      </c>
      <c r="G37" s="767" t="e">
        <f>SUM(G35:G36)</f>
        <v>#REF!</v>
      </c>
      <c r="H37" s="767" t="e">
        <f>SUM(H35:H36)</f>
        <v>#REF!</v>
      </c>
      <c r="I37" s="742"/>
      <c r="J37" s="767">
        <f>SUM(J35:J36)</f>
        <v>0</v>
      </c>
      <c r="K37" s="767">
        <f>SUM(K35:K36)</f>
        <v>48870</v>
      </c>
      <c r="L37" s="767" t="e">
        <f>SUM(L35:L36)</f>
        <v>#REF!</v>
      </c>
      <c r="M37" s="767" t="e">
        <f>SUM(M35:M36)</f>
        <v>#REF!</v>
      </c>
    </row>
    <row r="38" spans="1:17" s="740" customFormat="1" ht="8.1" customHeight="1">
      <c r="E38" s="768"/>
      <c r="F38" s="768"/>
      <c r="G38" s="768"/>
      <c r="H38" s="768"/>
      <c r="I38" s="742"/>
      <c r="J38" s="768"/>
      <c r="K38" s="768"/>
      <c r="L38" s="768"/>
      <c r="M38" s="768"/>
    </row>
    <row r="39" spans="1:17" s="740" customFormat="1" ht="14.4" thickBot="1">
      <c r="A39" s="741" t="s">
        <v>421</v>
      </c>
      <c r="D39" s="766"/>
      <c r="E39" s="769">
        <f>E14+E21-E30</f>
        <v>374669.3</v>
      </c>
      <c r="F39" s="769">
        <f>F37+F30+F21+F14</f>
        <v>51309.604359999998</v>
      </c>
      <c r="G39" s="769" t="e">
        <f>G37+G14</f>
        <v>#REF!</v>
      </c>
      <c r="H39" s="769" t="e">
        <f>H14+H21-H30+H37</f>
        <v>#REF!</v>
      </c>
      <c r="I39" s="760"/>
      <c r="J39" s="769">
        <f>J14+J21-J30</f>
        <v>543219</v>
      </c>
      <c r="K39" s="769">
        <f>K37+K14</f>
        <v>62154</v>
      </c>
      <c r="L39" s="769" t="e">
        <f>L37+L14</f>
        <v>#REF!</v>
      </c>
      <c r="M39" s="769" t="e">
        <f>M14+M21-M30+M37</f>
        <v>#REF!</v>
      </c>
    </row>
    <row r="40" spans="1:17" s="740" customFormat="1" ht="8.1" customHeight="1" thickTop="1">
      <c r="A40" s="741"/>
      <c r="D40" s="766"/>
      <c r="E40" s="760"/>
      <c r="F40" s="760"/>
      <c r="G40" s="760"/>
      <c r="H40" s="760"/>
      <c r="I40" s="760"/>
      <c r="J40" s="760"/>
      <c r="K40" s="760"/>
      <c r="L40" s="760"/>
      <c r="M40" s="760"/>
    </row>
    <row r="41" spans="1:17" s="740" customFormat="1" ht="13.8">
      <c r="A41" s="740" t="s">
        <v>422</v>
      </c>
      <c r="D41" s="766"/>
      <c r="E41" s="760"/>
      <c r="F41" s="760"/>
      <c r="G41" s="760"/>
      <c r="H41" s="760"/>
      <c r="I41" s="760"/>
      <c r="J41" s="760"/>
      <c r="K41" s="760"/>
      <c r="L41" s="760"/>
      <c r="M41" s="760"/>
    </row>
    <row r="42" spans="1:17" s="740" customFormat="1" ht="13.8">
      <c r="A42" s="740" t="s">
        <v>423</v>
      </c>
      <c r="D42" s="766"/>
      <c r="E42" s="742"/>
      <c r="F42" s="770">
        <v>72282</v>
      </c>
      <c r="G42" s="760"/>
      <c r="H42" s="742"/>
      <c r="I42" s="760"/>
      <c r="J42" s="760"/>
      <c r="K42" s="770">
        <v>-137052</v>
      </c>
      <c r="L42" s="760"/>
    </row>
    <row r="43" spans="1:17" s="740" customFormat="1" ht="13.8">
      <c r="A43" s="740" t="s">
        <v>424</v>
      </c>
      <c r="D43" s="766"/>
      <c r="E43" s="742"/>
      <c r="F43" s="771">
        <v>-4279</v>
      </c>
      <c r="G43" s="760"/>
      <c r="H43" s="742"/>
      <c r="I43" s="760"/>
      <c r="J43" s="760"/>
      <c r="K43" s="771">
        <v>150336</v>
      </c>
      <c r="L43" s="760"/>
    </row>
    <row r="44" spans="1:17" s="740" customFormat="1" ht="13.8">
      <c r="D44" s="766"/>
      <c r="E44" s="742"/>
      <c r="F44" s="770">
        <f>SUM(F42:F43)</f>
        <v>68003</v>
      </c>
      <c r="G44" s="760"/>
      <c r="H44" s="742"/>
      <c r="I44" s="760"/>
      <c r="J44" s="760"/>
      <c r="K44" s="770">
        <f>SUM(K42:K43)</f>
        <v>13284</v>
      </c>
      <c r="L44" s="760"/>
    </row>
    <row r="45" spans="1:17" s="740" customFormat="1" ht="13.8">
      <c r="D45" s="766"/>
      <c r="E45" s="742"/>
      <c r="F45" s="770"/>
      <c r="G45" s="760"/>
      <c r="H45" s="742"/>
      <c r="I45" s="760"/>
      <c r="J45" s="760"/>
      <c r="K45" s="760"/>
      <c r="L45" s="760"/>
      <c r="M45" s="760"/>
    </row>
    <row r="46" spans="1:17" s="740" customFormat="1" ht="13.8">
      <c r="A46" s="772" t="s">
        <v>349</v>
      </c>
      <c r="D46" s="766"/>
      <c r="E46" s="742"/>
      <c r="F46" s="760"/>
      <c r="G46" s="760"/>
      <c r="H46" s="742"/>
      <c r="I46" s="760"/>
      <c r="J46" s="760"/>
      <c r="K46" s="760"/>
      <c r="L46" s="760"/>
      <c r="M46" s="760"/>
    </row>
    <row r="47" spans="1:17" s="740" customFormat="1" ht="13.8">
      <c r="A47" s="740" t="s">
        <v>425</v>
      </c>
      <c r="D47" s="766"/>
      <c r="E47" s="742"/>
      <c r="F47" s="756">
        <v>0</v>
      </c>
      <c r="G47" s="760"/>
      <c r="H47" s="742"/>
      <c r="I47" s="760"/>
      <c r="J47" s="760"/>
      <c r="K47" s="760"/>
      <c r="L47" s="760"/>
      <c r="M47" s="760"/>
    </row>
    <row r="48" spans="1:17" s="740" customFormat="1" ht="13.8">
      <c r="A48" s="740" t="s">
        <v>426</v>
      </c>
      <c r="D48" s="766"/>
      <c r="E48" s="742"/>
      <c r="F48" s="773">
        <f>IS!E58</f>
        <v>0</v>
      </c>
      <c r="G48" s="774"/>
      <c r="H48" s="742"/>
      <c r="I48" s="760"/>
      <c r="J48" s="760"/>
      <c r="K48" s="760"/>
      <c r="L48" s="760"/>
      <c r="M48" s="760"/>
    </row>
    <row r="49" spans="1:15" s="740" customFormat="1" ht="13.8">
      <c r="D49" s="766"/>
      <c r="E49" s="742"/>
      <c r="F49" s="775">
        <f>SUM(F47:F48)</f>
        <v>0</v>
      </c>
      <c r="G49" s="774"/>
      <c r="H49" s="742"/>
      <c r="I49" s="760"/>
      <c r="J49" s="760"/>
      <c r="K49" s="760">
        <v>96524.322</v>
      </c>
      <c r="L49" s="760"/>
      <c r="M49" s="760"/>
    </row>
    <row r="50" spans="1:15" s="740" customFormat="1" ht="8.1" customHeight="1">
      <c r="D50" s="766"/>
      <c r="E50" s="774"/>
      <c r="F50" s="774"/>
      <c r="G50" s="774"/>
      <c r="H50" s="774"/>
      <c r="I50" s="774"/>
      <c r="J50" s="774"/>
      <c r="K50" s="774"/>
      <c r="L50" s="774"/>
      <c r="M50" s="774"/>
    </row>
    <row r="51" spans="1:15" s="740" customFormat="1" ht="8.1" customHeight="1">
      <c r="D51" s="766"/>
      <c r="E51" s="774"/>
      <c r="F51" s="774"/>
      <c r="G51" s="774"/>
      <c r="H51" s="774"/>
      <c r="I51" s="774"/>
      <c r="J51" s="774"/>
      <c r="K51" s="774"/>
      <c r="L51" s="774"/>
      <c r="M51" s="774"/>
    </row>
    <row r="52" spans="1:15" s="740" customFormat="1" ht="13.8">
      <c r="A52" s="776"/>
      <c r="D52" s="766"/>
      <c r="E52" s="774"/>
      <c r="F52" s="774"/>
      <c r="G52" s="774"/>
      <c r="H52" s="774"/>
      <c r="I52" s="774"/>
      <c r="J52" s="774"/>
      <c r="K52" s="774"/>
      <c r="L52" s="774"/>
      <c r="M52" s="774"/>
      <c r="O52" s="789"/>
    </row>
    <row r="53" spans="1:15" s="740" customFormat="1" ht="13.8">
      <c r="A53" s="777"/>
      <c r="D53" s="766"/>
      <c r="E53" s="774"/>
      <c r="F53" s="774"/>
      <c r="G53" s="774"/>
      <c r="H53" s="774"/>
      <c r="I53" s="774"/>
      <c r="J53" s="774"/>
      <c r="K53" s="774"/>
      <c r="L53" s="774"/>
      <c r="M53" s="774"/>
    </row>
    <row r="54" spans="1:15" s="740" customFormat="1" ht="13.8">
      <c r="A54" s="772" t="s">
        <v>178</v>
      </c>
      <c r="D54" s="766"/>
      <c r="E54" s="774"/>
      <c r="F54" s="775">
        <f>IS!E60</f>
        <v>0</v>
      </c>
      <c r="G54" s="774"/>
      <c r="I54" s="774"/>
      <c r="J54" s="774"/>
      <c r="K54" s="775">
        <v>-5424</v>
      </c>
      <c r="L54" s="774"/>
    </row>
    <row r="55" spans="1:15" s="740" customFormat="1" ht="8.1" customHeight="1">
      <c r="D55" s="766"/>
      <c r="E55" s="774"/>
      <c r="F55" s="774"/>
      <c r="G55" s="774"/>
      <c r="H55" s="774"/>
      <c r="I55" s="774"/>
      <c r="J55" s="774"/>
      <c r="K55" s="774"/>
      <c r="L55" s="774"/>
      <c r="M55" s="774"/>
    </row>
    <row r="56" spans="1:15" s="740" customFormat="1" ht="13.8">
      <c r="A56" s="740" t="str">
        <f>A36</f>
        <v>Distribution during the period</v>
      </c>
      <c r="D56" s="766"/>
      <c r="E56" s="760"/>
      <c r="F56" s="775">
        <v>0</v>
      </c>
      <c r="G56" s="760"/>
      <c r="H56" s="742"/>
      <c r="I56" s="760"/>
      <c r="J56" s="760"/>
      <c r="K56" s="775">
        <v>0</v>
      </c>
      <c r="L56" s="760"/>
      <c r="O56" s="789">
        <f>K58-K39</f>
        <v>42230.322</v>
      </c>
    </row>
    <row r="57" spans="1:15" s="740" customFormat="1" ht="8.1" customHeight="1">
      <c r="D57" s="766"/>
      <c r="E57" s="760"/>
      <c r="F57" s="760"/>
      <c r="G57" s="760"/>
      <c r="H57" s="760"/>
      <c r="I57" s="760"/>
      <c r="J57" s="760"/>
      <c r="K57" s="760"/>
      <c r="L57" s="760"/>
    </row>
    <row r="58" spans="1:15" s="740" customFormat="1" ht="15" customHeight="1" thickBot="1">
      <c r="A58" s="740" t="s">
        <v>427</v>
      </c>
      <c r="D58" s="766"/>
      <c r="E58" s="760"/>
      <c r="F58" s="769">
        <f>F44+F54</f>
        <v>68003</v>
      </c>
      <c r="G58" s="760"/>
      <c r="H58" s="742"/>
      <c r="I58" s="760"/>
      <c r="J58" s="760"/>
      <c r="K58" s="769">
        <f>K44+K49+K54</f>
        <v>104384.322</v>
      </c>
      <c r="L58" s="760"/>
    </row>
    <row r="59" spans="1:15" s="740" customFormat="1" ht="8.1" customHeight="1" thickTop="1">
      <c r="D59" s="766"/>
      <c r="E59" s="760"/>
      <c r="F59" s="760"/>
      <c r="G59" s="760"/>
      <c r="H59" s="742"/>
      <c r="I59" s="760"/>
      <c r="J59" s="760"/>
      <c r="K59" s="760"/>
      <c r="L59" s="760"/>
    </row>
    <row r="60" spans="1:15" s="740" customFormat="1" ht="13.8">
      <c r="A60" s="740" t="s">
        <v>427</v>
      </c>
      <c r="D60" s="766"/>
      <c r="E60" s="760"/>
      <c r="F60" s="760"/>
      <c r="G60" s="760"/>
      <c r="H60" s="742"/>
      <c r="I60" s="760"/>
      <c r="J60" s="760"/>
      <c r="K60" s="760"/>
      <c r="L60" s="760"/>
    </row>
    <row r="61" spans="1:15" s="740" customFormat="1" ht="13.8">
      <c r="A61" s="740" t="s">
        <v>423</v>
      </c>
      <c r="D61" s="766"/>
      <c r="E61" s="760"/>
      <c r="F61" s="770">
        <f>F63-F62</f>
        <v>83165.377000000008</v>
      </c>
      <c r="G61" s="760"/>
      <c r="H61" s="742"/>
      <c r="I61" s="760"/>
      <c r="J61" s="760"/>
      <c r="K61" s="770">
        <v>85541.322</v>
      </c>
      <c r="L61" s="760"/>
    </row>
    <row r="62" spans="1:15" s="740" customFormat="1" ht="13.8">
      <c r="A62" s="740" t="s">
        <v>424</v>
      </c>
      <c r="D62" s="766"/>
      <c r="E62" s="760"/>
      <c r="F62" s="770">
        <f>IS!E17</f>
        <v>-15162.377000000006</v>
      </c>
      <c r="G62" s="760"/>
      <c r="H62" s="742"/>
      <c r="I62" s="760"/>
      <c r="J62" s="760"/>
      <c r="K62" s="770">
        <v>18843</v>
      </c>
      <c r="L62" s="760"/>
    </row>
    <row r="63" spans="1:15" s="740" customFormat="1" ht="14.4" thickBot="1">
      <c r="D63" s="766"/>
      <c r="E63" s="760"/>
      <c r="F63" s="769">
        <f>F58</f>
        <v>68003</v>
      </c>
      <c r="G63" s="760"/>
      <c r="H63" s="742"/>
      <c r="I63" s="760"/>
      <c r="J63" s="760"/>
      <c r="K63" s="769">
        <v>104384.322</v>
      </c>
      <c r="L63" s="760"/>
    </row>
    <row r="64" spans="1:15" s="740" customFormat="1" ht="8.1" customHeight="1" thickTop="1">
      <c r="D64" s="766"/>
      <c r="E64" s="760"/>
      <c r="F64" s="760"/>
      <c r="G64" s="760"/>
      <c r="H64" s="760"/>
      <c r="I64" s="760"/>
      <c r="J64" s="760"/>
    </row>
    <row r="65" spans="1:13" s="740" customFormat="1" ht="13.8">
      <c r="D65" s="766"/>
      <c r="F65" s="749"/>
      <c r="G65" s="749"/>
      <c r="H65" s="749" t="s">
        <v>428</v>
      </c>
      <c r="I65" s="749"/>
      <c r="J65" s="749"/>
      <c r="K65" s="749"/>
      <c r="L65" s="749"/>
      <c r="M65" s="749" t="s">
        <v>428</v>
      </c>
    </row>
    <row r="66" spans="1:13" s="740" customFormat="1" ht="8.1" customHeight="1">
      <c r="D66" s="766"/>
      <c r="E66" s="760"/>
      <c r="F66" s="760"/>
      <c r="G66" s="760"/>
      <c r="H66" s="760"/>
      <c r="I66" s="760"/>
      <c r="J66" s="760"/>
    </row>
    <row r="67" spans="1:13" s="740" customFormat="1" ht="14.4" thickBot="1">
      <c r="A67" s="740" t="s">
        <v>429</v>
      </c>
      <c r="D67" s="778"/>
      <c r="F67" s="779"/>
      <c r="G67" s="779"/>
      <c r="H67" s="780">
        <v>11.526752201818599</v>
      </c>
      <c r="I67" s="779"/>
      <c r="M67" s="780">
        <v>10.69</v>
      </c>
    </row>
    <row r="68" spans="1:13" s="740" customFormat="1" ht="14.4" thickTop="1">
      <c r="D68" s="766"/>
      <c r="F68" s="781"/>
      <c r="G68" s="781"/>
      <c r="H68" s="749"/>
      <c r="I68" s="781"/>
      <c r="M68" s="749"/>
    </row>
    <row r="69" spans="1:13" s="740" customFormat="1" ht="14.4" thickBot="1">
      <c r="A69" s="740" t="s">
        <v>430</v>
      </c>
      <c r="D69" s="766"/>
      <c r="F69" s="782"/>
      <c r="G69" s="782"/>
      <c r="H69" s="780">
        <v>10.774558605877949</v>
      </c>
      <c r="I69" s="783"/>
      <c r="M69" s="780">
        <v>13.05</v>
      </c>
    </row>
    <row r="70" spans="1:13" s="740" customFormat="1" ht="14.4" thickTop="1">
      <c r="D70" s="766"/>
      <c r="E70" s="781"/>
      <c r="F70" s="781"/>
      <c r="G70" s="781"/>
      <c r="H70" s="781"/>
      <c r="I70" s="781"/>
      <c r="J70" s="760"/>
    </row>
    <row r="71" spans="1:13">
      <c r="E71" s="784"/>
      <c r="F71" s="784"/>
      <c r="G71" s="784"/>
      <c r="H71" s="784"/>
      <c r="I71" s="784"/>
      <c r="J71" s="784"/>
    </row>
    <row r="72" spans="1:13">
      <c r="J72" s="784"/>
    </row>
    <row r="73" spans="1:13">
      <c r="J73" s="784"/>
    </row>
    <row r="74" spans="1:13" ht="12">
      <c r="C74" s="786"/>
      <c r="E74" s="784"/>
      <c r="F74" s="784"/>
      <c r="G74" s="784"/>
      <c r="H74" s="784"/>
      <c r="I74" s="784"/>
      <c r="J74" s="784"/>
    </row>
    <row r="75" spans="1:13">
      <c r="E75" s="787"/>
      <c r="F75" s="787"/>
      <c r="G75" s="787"/>
      <c r="H75" s="787"/>
      <c r="I75" s="787"/>
      <c r="J75" s="784"/>
    </row>
    <row r="76" spans="1:13" s="788" customFormat="1">
      <c r="A76" s="784"/>
      <c r="B76" s="784"/>
      <c r="C76" s="784"/>
      <c r="D76" s="784"/>
      <c r="E76" s="784"/>
      <c r="F76" s="784"/>
      <c r="G76" s="784"/>
      <c r="H76" s="784"/>
      <c r="I76" s="784"/>
      <c r="J76" s="784"/>
    </row>
    <row r="77" spans="1:13" s="788" customFormat="1">
      <c r="A77" s="784"/>
      <c r="B77" s="784"/>
      <c r="C77" s="784"/>
      <c r="D77" s="784"/>
      <c r="E77" s="784"/>
      <c r="F77" s="784"/>
      <c r="G77" s="784"/>
      <c r="H77" s="784"/>
      <c r="I77" s="784"/>
      <c r="J77" s="784"/>
    </row>
    <row r="78" spans="1:13" s="788" customFormat="1">
      <c r="A78" s="784"/>
      <c r="B78" s="784"/>
      <c r="C78" s="784"/>
      <c r="D78" s="784"/>
      <c r="E78" s="784"/>
      <c r="F78" s="784"/>
      <c r="G78" s="784"/>
      <c r="H78" s="784"/>
      <c r="I78" s="784"/>
      <c r="J78" s="784"/>
    </row>
    <row r="79" spans="1:13" s="788" customFormat="1">
      <c r="A79" s="784"/>
      <c r="B79" s="784"/>
      <c r="C79" s="784"/>
      <c r="D79" s="784"/>
      <c r="E79" s="785"/>
      <c r="F79" s="785"/>
      <c r="G79" s="785"/>
      <c r="H79" s="785"/>
      <c r="I79" s="785"/>
      <c r="J79" s="785"/>
    </row>
    <row r="80" spans="1:13" s="788" customFormat="1">
      <c r="A80" s="784"/>
      <c r="B80" s="784"/>
      <c r="C80" s="784"/>
      <c r="D80" s="784"/>
      <c r="E80" s="785"/>
      <c r="F80" s="785"/>
      <c r="G80" s="785"/>
      <c r="H80" s="785"/>
      <c r="I80" s="785"/>
      <c r="J80" s="785"/>
    </row>
    <row r="81" spans="1:10" s="788" customFormat="1">
      <c r="A81" s="784"/>
      <c r="B81" s="784"/>
      <c r="C81" s="784"/>
      <c r="D81" s="784"/>
      <c r="E81" s="785"/>
      <c r="F81" s="785"/>
      <c r="G81" s="785"/>
      <c r="H81" s="785"/>
      <c r="I81" s="785"/>
      <c r="J81" s="785"/>
    </row>
    <row r="82" spans="1:10" s="788" customFormat="1">
      <c r="A82" s="784"/>
      <c r="B82" s="784"/>
      <c r="C82" s="784"/>
      <c r="D82" s="784"/>
      <c r="E82" s="785"/>
      <c r="F82" s="785"/>
      <c r="G82" s="785"/>
      <c r="H82" s="785"/>
      <c r="I82" s="785"/>
      <c r="J82" s="785"/>
    </row>
    <row r="83" spans="1:10" s="788" customFormat="1">
      <c r="A83" s="784"/>
      <c r="B83" s="784"/>
      <c r="C83" s="784"/>
      <c r="D83" s="784"/>
      <c r="E83" s="785"/>
      <c r="F83" s="785"/>
      <c r="G83" s="785"/>
      <c r="H83" s="785"/>
      <c r="I83" s="785"/>
      <c r="J83" s="785"/>
    </row>
  </sheetData>
  <mergeCells count="7">
    <mergeCell ref="E10:M10"/>
    <mergeCell ref="A5:C5"/>
    <mergeCell ref="A6:C6"/>
    <mergeCell ref="E7:M7"/>
    <mergeCell ref="E8:M8"/>
    <mergeCell ref="E9:H9"/>
    <mergeCell ref="J9:M9"/>
  </mergeCells>
  <pageMargins left="0.7" right="0.7" top="0.75" bottom="0.75" header="0.3" footer="0.3"/>
  <pageSetup scale="62" orientation="portrait" horizontalDpi="4294967295" verticalDpi="4294967295"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57"/>
  <sheetViews>
    <sheetView showGridLines="0" tabSelected="1" view="pageBreakPreview" zoomScale="80" zoomScaleNormal="80" zoomScaleSheetLayoutView="80" workbookViewId="0"/>
  </sheetViews>
  <sheetFormatPr defaultColWidth="9.109375" defaultRowHeight="13.2"/>
  <cols>
    <col min="1" max="2" width="9.109375" style="363"/>
    <col min="3" max="3" width="42" style="363" customWidth="1"/>
    <col min="4" max="4" width="6" style="363" customWidth="1"/>
    <col min="5" max="5" width="8" style="363" customWidth="1"/>
    <col min="6" max="6" width="1" style="363" customWidth="1"/>
    <col min="7" max="7" width="12.6640625" style="363" customWidth="1"/>
    <col min="8" max="8" width="0.88671875" style="498" customWidth="1"/>
    <col min="9" max="9" width="12.6640625" style="363" customWidth="1"/>
    <col min="10" max="10" width="10.88671875" style="363" bestFit="1" customWidth="1"/>
    <col min="11" max="11" width="15.33203125" style="363" bestFit="1" customWidth="1"/>
    <col min="12" max="17" width="9.109375" style="363" customWidth="1"/>
    <col min="18" max="16384" width="9.109375" style="363"/>
  </cols>
  <sheetData>
    <row r="1" spans="1:15">
      <c r="A1" s="1" t="s">
        <v>123</v>
      </c>
      <c r="B1" s="193"/>
      <c r="C1" s="193"/>
      <c r="D1" s="193"/>
      <c r="E1" s="2"/>
      <c r="F1" s="2"/>
      <c r="G1" s="193"/>
      <c r="H1" s="194"/>
      <c r="I1" s="193"/>
    </row>
    <row r="2" spans="1:15">
      <c r="A2" s="1" t="s">
        <v>321</v>
      </c>
      <c r="B2" s="193"/>
      <c r="C2" s="193"/>
      <c r="D2" s="193"/>
      <c r="E2" s="2"/>
      <c r="F2" s="2"/>
      <c r="G2" s="193"/>
      <c r="H2" s="194"/>
      <c r="I2" s="193"/>
    </row>
    <row r="3" spans="1:15">
      <c r="A3" s="1" t="s">
        <v>654</v>
      </c>
      <c r="B3" s="193"/>
      <c r="C3" s="193"/>
      <c r="D3" s="193"/>
      <c r="E3" s="2"/>
      <c r="F3" s="2"/>
      <c r="G3" s="193"/>
      <c r="H3" s="194"/>
      <c r="I3" s="193"/>
    </row>
    <row r="4" spans="1:15">
      <c r="A4" s="1"/>
      <c r="B4" s="193"/>
      <c r="C4" s="193"/>
      <c r="D4" s="193"/>
      <c r="E4" s="2"/>
      <c r="F4" s="2"/>
      <c r="G4" s="193"/>
      <c r="H4" s="194"/>
      <c r="I4" s="193"/>
    </row>
    <row r="5" spans="1:15">
      <c r="A5" s="193"/>
      <c r="B5" s="193"/>
      <c r="C5" s="193"/>
      <c r="D5" s="193"/>
      <c r="E5" s="3"/>
      <c r="F5" s="3"/>
      <c r="G5" s="537" t="s">
        <v>124</v>
      </c>
      <c r="H5" s="195"/>
      <c r="I5" s="485" t="s">
        <v>125</v>
      </c>
    </row>
    <row r="6" spans="1:15">
      <c r="A6" s="196"/>
      <c r="B6" s="196"/>
      <c r="C6" s="196"/>
      <c r="D6" s="196"/>
      <c r="E6" s="4"/>
      <c r="F6" s="4"/>
      <c r="G6" s="5" t="s">
        <v>571</v>
      </c>
      <c r="H6" s="197"/>
      <c r="I6" s="198" t="s">
        <v>127</v>
      </c>
    </row>
    <row r="7" spans="1:15">
      <c r="A7" s="193"/>
      <c r="B7" s="193"/>
      <c r="C7" s="193"/>
      <c r="D7" s="193"/>
      <c r="E7" s="6"/>
      <c r="F7" s="6"/>
      <c r="G7" s="7" t="s">
        <v>653</v>
      </c>
      <c r="H7" s="8"/>
      <c r="I7" s="199" t="s">
        <v>653</v>
      </c>
    </row>
    <row r="8" spans="1:15">
      <c r="A8" s="200"/>
      <c r="B8" s="200"/>
      <c r="C8" s="200"/>
      <c r="D8" s="200"/>
      <c r="E8" s="686" t="s">
        <v>129</v>
      </c>
      <c r="F8" s="686"/>
      <c r="G8" s="1300" t="s">
        <v>130</v>
      </c>
      <c r="H8" s="1301"/>
      <c r="I8" s="1301"/>
    </row>
    <row r="9" spans="1:15">
      <c r="A9" s="9" t="s">
        <v>131</v>
      </c>
      <c r="B9" s="201"/>
      <c r="C9" s="201"/>
      <c r="D9" s="201"/>
      <c r="E9" s="10"/>
      <c r="F9" s="10"/>
      <c r="G9" s="202"/>
      <c r="H9" s="203"/>
      <c r="I9" s="204"/>
    </row>
    <row r="10" spans="1:15">
      <c r="A10" s="9"/>
      <c r="B10" s="201"/>
      <c r="C10" s="201"/>
      <c r="D10" s="201"/>
      <c r="E10" s="10"/>
      <c r="F10" s="10"/>
      <c r="G10" s="202"/>
      <c r="H10" s="203"/>
      <c r="I10" s="204"/>
    </row>
    <row r="11" spans="1:15" ht="15" customHeight="1">
      <c r="A11" s="201" t="s">
        <v>132</v>
      </c>
      <c r="B11" s="201"/>
      <c r="C11" s="201"/>
      <c r="D11" s="201"/>
      <c r="E11" s="202">
        <f>'Note 1-5'!A100</f>
        <v>6</v>
      </c>
      <c r="F11" s="202"/>
      <c r="G11" s="665">
        <f>'Note 1-5'!G104</f>
        <v>148665.51221999998</v>
      </c>
      <c r="H11" s="208"/>
      <c r="I11" s="1036">
        <v>186376</v>
      </c>
      <c r="J11" s="917">
        <f>I11-G11</f>
        <v>37710.487780000025</v>
      </c>
    </row>
    <row r="12" spans="1:15" ht="15" customHeight="1">
      <c r="A12" s="201" t="s">
        <v>133</v>
      </c>
      <c r="B12" s="201"/>
      <c r="C12" s="201"/>
      <c r="D12" s="201"/>
      <c r="E12" s="206">
        <f>'Note 1-5'!A116</f>
        <v>7</v>
      </c>
      <c r="F12" s="206"/>
      <c r="G12" s="665">
        <f>'Note 1-5'!G123</f>
        <v>297551.52900000004</v>
      </c>
      <c r="H12" s="208"/>
      <c r="I12" s="1036">
        <v>273292</v>
      </c>
      <c r="J12" s="917">
        <f t="shared" ref="J12:J15" si="0">I12-G12</f>
        <v>-24259.529000000039</v>
      </c>
    </row>
    <row r="13" spans="1:15" ht="15" customHeight="1">
      <c r="A13" s="201" t="s">
        <v>134</v>
      </c>
      <c r="B13" s="201"/>
      <c r="C13" s="201"/>
      <c r="D13" s="201"/>
      <c r="E13" s="202"/>
      <c r="F13" s="202"/>
      <c r="G13" s="665">
        <f>+TB!G43</f>
        <v>2992.12032</v>
      </c>
      <c r="H13" s="208"/>
      <c r="I13" s="1036">
        <v>293</v>
      </c>
      <c r="J13" s="917">
        <f t="shared" si="0"/>
        <v>-2699.12032</v>
      </c>
      <c r="L13" s="699" t="s">
        <v>305</v>
      </c>
      <c r="M13" s="363" t="s">
        <v>306</v>
      </c>
    </row>
    <row r="14" spans="1:15" ht="15" customHeight="1">
      <c r="A14" s="201" t="s">
        <v>135</v>
      </c>
      <c r="B14" s="201"/>
      <c r="C14" s="201"/>
      <c r="D14" s="201"/>
      <c r="E14" s="202"/>
      <c r="F14" s="202"/>
      <c r="G14" s="665">
        <f>+TB!G61</f>
        <v>5600.3217599999998</v>
      </c>
      <c r="H14" s="208"/>
      <c r="I14" s="1036">
        <v>4803</v>
      </c>
      <c r="J14" s="917">
        <f t="shared" si="0"/>
        <v>-797.32175999999981</v>
      </c>
      <c r="L14" s="700"/>
      <c r="M14" s="700"/>
      <c r="O14" s="700"/>
    </row>
    <row r="15" spans="1:15" ht="15" customHeight="1">
      <c r="A15" s="201" t="s">
        <v>572</v>
      </c>
      <c r="B15" s="201"/>
      <c r="C15" s="201"/>
      <c r="D15" s="201"/>
      <c r="E15" s="202"/>
      <c r="F15" s="202"/>
      <c r="G15" s="665">
        <f>TB!F35</f>
        <v>206774.97703000001</v>
      </c>
      <c r="H15" s="208"/>
      <c r="I15" s="1036">
        <v>20614</v>
      </c>
      <c r="J15" s="917">
        <f t="shared" si="0"/>
        <v>-186160.97703000001</v>
      </c>
      <c r="L15" s="700"/>
      <c r="M15" s="700"/>
      <c r="O15" s="700"/>
    </row>
    <row r="16" spans="1:15" ht="15" customHeight="1">
      <c r="A16" s="11" t="s">
        <v>137</v>
      </c>
      <c r="B16" s="201"/>
      <c r="C16" s="201"/>
      <c r="D16" s="201"/>
      <c r="E16" s="202"/>
      <c r="F16" s="202"/>
      <c r="G16" s="12">
        <f>SUM(G11:G15)</f>
        <v>661584.46033000003</v>
      </c>
      <c r="H16" s="208"/>
      <c r="I16" s="212">
        <f>SUM(I11:I15)</f>
        <v>485378</v>
      </c>
      <c r="J16" s="503">
        <f>G16-467941</f>
        <v>193643.46033000003</v>
      </c>
      <c r="M16" s="363" t="s">
        <v>627</v>
      </c>
    </row>
    <row r="17" spans="1:13" ht="15" customHeight="1">
      <c r="A17" s="201"/>
      <c r="B17" s="201"/>
      <c r="C17" s="201"/>
      <c r="D17" s="201"/>
      <c r="E17" s="13"/>
      <c r="F17" s="13"/>
      <c r="G17" s="14"/>
      <c r="H17" s="208"/>
      <c r="I17" s="209"/>
      <c r="J17" s="503"/>
    </row>
    <row r="18" spans="1:13" ht="15" customHeight="1">
      <c r="A18" s="201"/>
      <c r="B18" s="201"/>
      <c r="C18" s="201"/>
      <c r="D18" s="201"/>
      <c r="E18" s="13"/>
      <c r="F18" s="13"/>
      <c r="G18" s="14"/>
      <c r="H18" s="208"/>
      <c r="I18" s="209"/>
    </row>
    <row r="19" spans="1:13" ht="15" customHeight="1">
      <c r="A19" s="9" t="s">
        <v>138</v>
      </c>
      <c r="B19" s="201"/>
      <c r="C19" s="201"/>
      <c r="D19" s="201"/>
      <c r="E19" s="13"/>
      <c r="F19" s="13"/>
      <c r="G19" s="14"/>
      <c r="H19" s="208"/>
      <c r="I19" s="209"/>
    </row>
    <row r="20" spans="1:13" ht="15" customHeight="1">
      <c r="A20" s="9"/>
      <c r="B20" s="201"/>
      <c r="C20" s="201"/>
      <c r="D20" s="201"/>
      <c r="E20" s="13"/>
      <c r="F20" s="13"/>
      <c r="G20" s="14"/>
      <c r="H20" s="208"/>
      <c r="I20" s="209"/>
      <c r="K20" s="503"/>
    </row>
    <row r="21" spans="1:13" ht="15" customHeight="1">
      <c r="A21" s="207" t="s">
        <v>139</v>
      </c>
      <c r="B21" s="207"/>
      <c r="C21" s="207"/>
      <c r="D21" s="201"/>
      <c r="E21" s="1101">
        <f>'Note 5.5-6.2'!A70</f>
        <v>9</v>
      </c>
      <c r="F21" s="15"/>
      <c r="G21" s="701">
        <f>'Note 5.5-6.2'!G77</f>
        <v>1445.5322900000001</v>
      </c>
      <c r="H21" s="702"/>
      <c r="I21" s="1037">
        <v>1379</v>
      </c>
      <c r="J21" s="917">
        <f t="shared" ref="J21:J26" si="1">G21-I21</f>
        <v>66.532290000000103</v>
      </c>
      <c r="L21" s="700"/>
      <c r="M21" s="503"/>
    </row>
    <row r="22" spans="1:13" ht="15" customHeight="1">
      <c r="A22" s="207" t="s">
        <v>140</v>
      </c>
      <c r="B22" s="207"/>
      <c r="C22" s="207"/>
      <c r="D22" s="201"/>
      <c r="E22" s="15"/>
      <c r="F22" s="15"/>
      <c r="G22" s="703">
        <f>-TB!G78</f>
        <v>84.336160000000007</v>
      </c>
      <c r="H22" s="208"/>
      <c r="I22" s="1038">
        <v>89</v>
      </c>
      <c r="J22" s="917">
        <f t="shared" si="1"/>
        <v>-4.6638399999999933</v>
      </c>
    </row>
    <row r="23" spans="1:13" ht="15" customHeight="1">
      <c r="A23" s="207" t="s">
        <v>141</v>
      </c>
      <c r="B23" s="207"/>
      <c r="C23" s="207"/>
      <c r="D23" s="201"/>
      <c r="E23" s="1101"/>
      <c r="F23" s="15"/>
      <c r="G23" s="703">
        <f>-TB!G79</f>
        <v>23.324999999999999</v>
      </c>
      <c r="H23" s="208"/>
      <c r="I23" s="1038">
        <v>94</v>
      </c>
      <c r="J23" s="917">
        <f t="shared" si="1"/>
        <v>-70.674999999999997</v>
      </c>
    </row>
    <row r="24" spans="1:13" ht="15" customHeight="1">
      <c r="A24" s="207" t="s">
        <v>142</v>
      </c>
      <c r="B24" s="207"/>
      <c r="C24" s="207"/>
      <c r="D24" s="201"/>
      <c r="E24" s="1101"/>
      <c r="F24" s="15"/>
      <c r="G24" s="703">
        <f>-TB!F89-TB!G89</f>
        <v>208616.01021000001</v>
      </c>
      <c r="H24" s="208"/>
      <c r="I24" s="1038">
        <v>952</v>
      </c>
      <c r="J24" s="917">
        <f t="shared" si="1"/>
        <v>207664.01021000001</v>
      </c>
    </row>
    <row r="25" spans="1:13" ht="15" customHeight="1">
      <c r="A25" s="207" t="s">
        <v>143</v>
      </c>
      <c r="B25" s="201"/>
      <c r="C25" s="201"/>
      <c r="D25" s="201"/>
      <c r="E25" s="13"/>
      <c r="F25" s="13"/>
      <c r="G25" s="703">
        <f>-TB!G81</f>
        <v>215.834</v>
      </c>
      <c r="H25" s="208"/>
      <c r="I25" s="1038">
        <v>216</v>
      </c>
      <c r="J25" s="917">
        <f t="shared" si="1"/>
        <v>-0.16599999999999682</v>
      </c>
    </row>
    <row r="26" spans="1:13" ht="15" customHeight="1">
      <c r="A26" s="201" t="s">
        <v>144</v>
      </c>
      <c r="B26" s="201"/>
      <c r="C26" s="201"/>
      <c r="D26" s="201"/>
      <c r="E26" s="206" t="str">
        <f>'Note 5.5-6.2'!A35</f>
        <v>8.</v>
      </c>
      <c r="F26" s="206"/>
      <c r="G26" s="704">
        <f>'Note 5.5-6.2'!G47</f>
        <v>10444.265910000002</v>
      </c>
      <c r="I26" s="1039">
        <v>15985</v>
      </c>
      <c r="J26" s="917">
        <f t="shared" si="1"/>
        <v>-5540.7340899999981</v>
      </c>
    </row>
    <row r="27" spans="1:13" ht="15" customHeight="1">
      <c r="A27" s="11" t="s">
        <v>145</v>
      </c>
      <c r="B27" s="201"/>
      <c r="C27" s="201"/>
      <c r="D27" s="201"/>
      <c r="E27" s="13"/>
      <c r="F27" s="13"/>
      <c r="G27" s="14">
        <f>SUM(G21:G26)</f>
        <v>220829.30356999999</v>
      </c>
      <c r="H27" s="208"/>
      <c r="I27" s="209">
        <f>SUM(I21:I26)</f>
        <v>18715</v>
      </c>
      <c r="K27" s="503">
        <f>23119-G27</f>
        <v>-197710.30356999999</v>
      </c>
    </row>
    <row r="28" spans="1:13">
      <c r="A28" s="201"/>
      <c r="B28" s="201"/>
      <c r="C28" s="201"/>
      <c r="D28" s="201"/>
      <c r="E28" s="13"/>
      <c r="F28" s="13"/>
      <c r="G28" s="14"/>
      <c r="H28" s="208"/>
      <c r="I28" s="209"/>
      <c r="J28" s="503"/>
    </row>
    <row r="29" spans="1:13">
      <c r="A29" s="201"/>
      <c r="B29" s="201"/>
      <c r="C29" s="201"/>
      <c r="D29" s="201"/>
      <c r="E29" s="13"/>
      <c r="F29" s="13"/>
      <c r="G29" s="14"/>
      <c r="H29" s="208"/>
      <c r="I29" s="209"/>
    </row>
    <row r="30" spans="1:13" s="512" customFormat="1" ht="21" customHeight="1" thickBot="1">
      <c r="A30" s="11" t="s">
        <v>146</v>
      </c>
      <c r="B30" s="201"/>
      <c r="C30" s="201"/>
      <c r="D30" s="210"/>
      <c r="E30" s="13"/>
      <c r="F30" s="13"/>
      <c r="G30" s="16">
        <f>+G16-G27</f>
        <v>440755.15676000004</v>
      </c>
      <c r="H30" s="208"/>
      <c r="I30" s="211">
        <f>I16-I27</f>
        <v>466663</v>
      </c>
      <c r="K30" s="952">
        <v>570999922</v>
      </c>
      <c r="L30" s="952">
        <f>K30/1000</f>
        <v>570999.92200000002</v>
      </c>
    </row>
    <row r="31" spans="1:13" ht="21.75" customHeight="1" thickTop="1">
      <c r="A31" s="11"/>
      <c r="B31" s="201"/>
      <c r="C31" s="201"/>
      <c r="D31" s="201"/>
      <c r="E31" s="13"/>
      <c r="F31" s="13"/>
      <c r="G31" s="12"/>
      <c r="H31" s="208"/>
      <c r="I31" s="212"/>
    </row>
    <row r="32" spans="1:13" ht="13.8" thickBot="1">
      <c r="A32" s="11" t="s">
        <v>366</v>
      </c>
      <c r="B32" s="201"/>
      <c r="C32" s="201"/>
      <c r="D32" s="201"/>
      <c r="E32" s="13"/>
      <c r="F32" s="13"/>
      <c r="G32" s="621">
        <f>'UHF-Updated'!H31</f>
        <v>440755.45148000005</v>
      </c>
      <c r="H32" s="208"/>
      <c r="I32" s="213">
        <f>I30</f>
        <v>466663</v>
      </c>
      <c r="J32" s="503">
        <f>G32-G30</f>
        <v>0.29472000000532717</v>
      </c>
    </row>
    <row r="33" spans="1:11" ht="19.5" customHeight="1" thickTop="1">
      <c r="A33" s="201"/>
      <c r="B33" s="201"/>
      <c r="C33" s="201"/>
      <c r="D33" s="201"/>
      <c r="E33" s="17"/>
      <c r="F33" s="17"/>
      <c r="G33" s="208"/>
      <c r="H33" s="203"/>
      <c r="I33" s="204"/>
    </row>
    <row r="34" spans="1:11" ht="20.25" customHeight="1">
      <c r="A34" s="11" t="s">
        <v>147</v>
      </c>
      <c r="B34" s="201"/>
      <c r="C34" s="201"/>
      <c r="D34" s="201"/>
      <c r="E34" s="206" t="str">
        <f>'7- 15'!A2</f>
        <v>10.</v>
      </c>
      <c r="F34" s="206"/>
      <c r="G34" s="208"/>
      <c r="H34" s="203"/>
      <c r="I34" s="204"/>
    </row>
    <row r="35" spans="1:11" ht="18.75" customHeight="1">
      <c r="A35" s="201"/>
      <c r="B35" s="201"/>
      <c r="C35" s="201"/>
      <c r="D35" s="201"/>
      <c r="E35" s="18"/>
      <c r="F35" s="18"/>
      <c r="G35" s="1302" t="s">
        <v>148</v>
      </c>
      <c r="H35" s="1303"/>
      <c r="I35" s="1303"/>
    </row>
    <row r="36" spans="1:11">
      <c r="A36" s="201"/>
      <c r="B36" s="201"/>
      <c r="C36" s="201"/>
      <c r="D36" s="201"/>
      <c r="E36" s="18"/>
      <c r="F36" s="18"/>
      <c r="G36" s="687"/>
      <c r="H36" s="19"/>
      <c r="I36" s="1040"/>
    </row>
    <row r="37" spans="1:11" ht="13.8" thickBot="1">
      <c r="A37" s="11" t="s">
        <v>149</v>
      </c>
      <c r="B37" s="201"/>
      <c r="C37" s="201"/>
      <c r="D37" s="201"/>
      <c r="E37" s="13"/>
      <c r="F37" s="13"/>
      <c r="G37" s="20">
        <v>38123284.615900002</v>
      </c>
      <c r="H37" s="214"/>
      <c r="I37" s="1041">
        <v>38891084</v>
      </c>
      <c r="J37" s="890"/>
      <c r="K37" s="890"/>
    </row>
    <row r="38" spans="1:11" ht="24" customHeight="1" thickTop="1">
      <c r="A38" s="201"/>
      <c r="B38" s="201"/>
      <c r="C38" s="201"/>
      <c r="D38" s="201"/>
      <c r="E38" s="13"/>
      <c r="F38" s="13"/>
      <c r="G38" s="209"/>
      <c r="H38" s="203"/>
      <c r="I38" s="204"/>
    </row>
    <row r="39" spans="1:11">
      <c r="A39" s="215"/>
      <c r="B39" s="201"/>
      <c r="C39" s="201"/>
      <c r="D39" s="201"/>
      <c r="E39" s="13"/>
      <c r="F39" s="13"/>
      <c r="G39" s="1300" t="s">
        <v>150</v>
      </c>
      <c r="H39" s="1301"/>
      <c r="I39" s="1301"/>
    </row>
    <row r="40" spans="1:11">
      <c r="A40" s="215"/>
      <c r="B40" s="201"/>
      <c r="C40" s="201"/>
      <c r="D40" s="201"/>
      <c r="E40" s="13"/>
      <c r="F40" s="13"/>
      <c r="G40" s="687"/>
      <c r="H40" s="19"/>
      <c r="I40" s="1040"/>
    </row>
    <row r="41" spans="1:11" ht="13.8" thickBot="1">
      <c r="A41" s="11" t="s">
        <v>151</v>
      </c>
      <c r="B41" s="201"/>
      <c r="C41" s="201"/>
      <c r="D41" s="201"/>
      <c r="E41" s="13"/>
      <c r="F41" s="13"/>
      <c r="G41" s="21">
        <f>+G30/G37*1000</f>
        <v>11.561311182934514</v>
      </c>
      <c r="H41" s="216"/>
      <c r="I41" s="217">
        <f>I32/(I37/10)*100</f>
        <v>11.999228409267277</v>
      </c>
      <c r="J41" s="503"/>
    </row>
    <row r="42" spans="1:11" ht="13.8" thickTop="1">
      <c r="A42" s="218"/>
      <c r="B42" s="218"/>
      <c r="C42" s="200"/>
      <c r="D42" s="200"/>
      <c r="E42" s="22"/>
      <c r="F42" s="22"/>
      <c r="G42" s="219"/>
      <c r="H42" s="220"/>
      <c r="I42" s="219"/>
    </row>
    <row r="43" spans="1:11" ht="15" customHeight="1">
      <c r="A43" s="200"/>
      <c r="B43" s="200"/>
      <c r="C43" s="200"/>
      <c r="D43" s="200"/>
      <c r="E43" s="6"/>
      <c r="F43" s="6"/>
      <c r="G43" s="221"/>
      <c r="H43" s="220"/>
      <c r="I43" s="207"/>
      <c r="J43" s="705"/>
    </row>
    <row r="44" spans="1:11">
      <c r="A44" s="200" t="s">
        <v>731</v>
      </c>
      <c r="B44" s="200"/>
      <c r="C44" s="200"/>
      <c r="D44" s="200"/>
      <c r="E44" s="6"/>
      <c r="F44" s="6"/>
      <c r="G44" s="221"/>
      <c r="H44" s="220"/>
      <c r="I44" s="207"/>
    </row>
    <row r="45" spans="1:11" ht="28.5" customHeight="1">
      <c r="A45" s="200"/>
      <c r="B45" s="200"/>
      <c r="C45" s="200"/>
      <c r="D45" s="200"/>
      <c r="E45" s="6"/>
      <c r="F45" s="6"/>
      <c r="G45" s="221"/>
      <c r="H45" s="220"/>
      <c r="I45" s="207"/>
    </row>
    <row r="46" spans="1:11">
      <c r="A46" s="1301"/>
      <c r="B46" s="1301"/>
      <c r="C46" s="1301"/>
      <c r="D46" s="1301"/>
      <c r="E46" s="1301"/>
      <c r="F46" s="1301"/>
      <c r="G46" s="1301"/>
      <c r="H46" s="1301"/>
      <c r="I46" s="1301"/>
    </row>
    <row r="47" spans="1:11">
      <c r="A47" s="1301"/>
      <c r="B47" s="1301"/>
      <c r="C47" s="1301"/>
      <c r="D47" s="1301"/>
      <c r="E47" s="1301"/>
      <c r="F47" s="1301"/>
      <c r="G47" s="1301"/>
      <c r="H47" s="1301"/>
      <c r="I47" s="1301"/>
    </row>
    <row r="48" spans="1:11">
      <c r="A48" s="23"/>
      <c r="B48" s="24"/>
      <c r="C48" s="24"/>
      <c r="D48" s="689"/>
      <c r="E48" s="25"/>
      <c r="F48" s="25"/>
      <c r="G48" s="24"/>
      <c r="H48" s="26"/>
      <c r="I48" s="204"/>
    </row>
    <row r="49" spans="1:10" ht="21" customHeight="1">
      <c r="A49" s="23"/>
      <c r="B49" s="24"/>
      <c r="C49" s="24"/>
      <c r="D49" s="689"/>
      <c r="E49" s="25"/>
      <c r="F49" s="25"/>
      <c r="G49" s="24"/>
      <c r="H49" s="26"/>
      <c r="I49" s="204"/>
    </row>
    <row r="50" spans="1:10">
      <c r="A50" s="23"/>
      <c r="B50" s="24"/>
      <c r="C50" s="24"/>
      <c r="D50" s="689"/>
      <c r="E50" s="25"/>
      <c r="F50" s="25"/>
      <c r="G50" s="24"/>
      <c r="H50" s="26"/>
      <c r="I50" s="204"/>
    </row>
    <row r="51" spans="1:10">
      <c r="A51" s="23"/>
      <c r="B51" s="24"/>
      <c r="C51" s="24"/>
      <c r="D51" s="689"/>
      <c r="E51" s="25"/>
      <c r="F51" s="25"/>
      <c r="G51" s="24"/>
      <c r="H51" s="26"/>
      <c r="I51" s="204"/>
    </row>
    <row r="52" spans="1:10">
      <c r="A52" s="23"/>
      <c r="B52" s="24"/>
      <c r="C52" s="24"/>
      <c r="D52" s="1034"/>
      <c r="E52" s="25"/>
      <c r="F52" s="25"/>
      <c r="G52" s="24"/>
      <c r="H52" s="26"/>
      <c r="I52" s="204"/>
    </row>
    <row r="53" spans="1:10">
      <c r="A53" s="1299"/>
      <c r="B53" s="1299"/>
      <c r="C53" s="1299"/>
      <c r="D53" s="1299"/>
      <c r="E53" s="1299"/>
      <c r="F53" s="1299"/>
      <c r="G53" s="1299"/>
      <c r="H53" s="1299"/>
      <c r="I53" s="1299"/>
      <c r="J53" s="362"/>
    </row>
    <row r="54" spans="1:10">
      <c r="A54" s="222"/>
      <c r="B54" s="28"/>
      <c r="C54" s="27"/>
      <c r="D54" s="27"/>
      <c r="E54" s="29"/>
      <c r="F54" s="29"/>
      <c r="G54" s="27"/>
      <c r="H54" s="187"/>
      <c r="I54" s="220"/>
    </row>
    <row r="55" spans="1:10">
      <c r="A55" s="207"/>
      <c r="B55" s="204"/>
      <c r="C55" s="204"/>
      <c r="D55" s="202"/>
      <c r="E55" s="10"/>
      <c r="F55" s="10"/>
      <c r="G55" s="223"/>
      <c r="H55" s="220"/>
      <c r="I55" s="223"/>
    </row>
    <row r="57" spans="1:10">
      <c r="G57" s="706">
        <f>G30-G32</f>
        <v>-0.29472000000532717</v>
      </c>
    </row>
  </sheetData>
  <mergeCells count="6">
    <mergeCell ref="A53:I53"/>
    <mergeCell ref="G8:I8"/>
    <mergeCell ref="G35:I35"/>
    <mergeCell ref="G39:I39"/>
    <mergeCell ref="A46:I46"/>
    <mergeCell ref="A47:I47"/>
  </mergeCells>
  <pageMargins left="0.75" right="0.41" top="0.56000000000000005" bottom="0.25" header="0.5" footer="0.17"/>
  <pageSetup scale="90" orientation="portrait" r:id="rId1"/>
  <headerFooter alignWithMargins="0"/>
  <ignoredErrors>
    <ignoredError sqref="G31:H31 G41:I41 H32 G17:G20 G13 G22 G25 H30" unlockedFormula="1"/>
    <ignoredError sqref="H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N81"/>
  <sheetViews>
    <sheetView showGridLines="0" view="pageBreakPreview" topLeftCell="A37" zoomScale="90" zoomScaleNormal="80" zoomScaleSheetLayoutView="90" workbookViewId="0">
      <selection activeCell="C20" sqref="C20"/>
    </sheetView>
  </sheetViews>
  <sheetFormatPr defaultColWidth="12.6640625" defaultRowHeight="13.2"/>
  <cols>
    <col min="1" max="1" width="5.6640625" style="218" customWidth="1"/>
    <col min="2" max="2" width="18.6640625" style="218" customWidth="1"/>
    <col min="3" max="3" width="41.44140625" style="327" customWidth="1"/>
    <col min="4" max="4" width="11.33203125" style="34" customWidth="1"/>
    <col min="5" max="5" width="11.6640625" style="543" customWidth="1"/>
    <col min="6" max="6" width="1" style="327" customWidth="1"/>
    <col min="7" max="7" width="11.33203125" style="543" customWidth="1"/>
    <col min="8" max="8" width="12.88671875" style="543" customWidth="1"/>
    <col min="9" max="9" width="15.88671875" style="543" bestFit="1" customWidth="1"/>
    <col min="10" max="10" width="12.33203125" style="543" bestFit="1" customWidth="1"/>
    <col min="11" max="11" width="12" style="543" customWidth="1"/>
    <col min="12" max="12" width="12.33203125" style="543" bestFit="1" customWidth="1"/>
    <col min="13" max="16" width="10" style="543" customWidth="1"/>
    <col min="17" max="16384" width="12.6640625" style="327"/>
  </cols>
  <sheetData>
    <row r="1" spans="1:16">
      <c r="A1" s="30" t="s">
        <v>123</v>
      </c>
      <c r="B1" s="30"/>
      <c r="C1" s="30"/>
      <c r="D1" s="31"/>
      <c r="E1" s="32"/>
      <c r="F1" s="541"/>
      <c r="G1" s="542"/>
      <c r="H1" s="542"/>
      <c r="I1" s="542"/>
      <c r="J1" s="542"/>
      <c r="K1" s="542"/>
      <c r="L1" s="542"/>
      <c r="M1" s="542"/>
      <c r="N1" s="542"/>
      <c r="O1" s="542"/>
      <c r="P1" s="542"/>
    </row>
    <row r="2" spans="1:16">
      <c r="A2" s="30" t="s">
        <v>153</v>
      </c>
      <c r="B2" s="30"/>
      <c r="C2" s="30"/>
      <c r="D2" s="31"/>
      <c r="E2" s="32"/>
      <c r="F2" s="541"/>
      <c r="G2" s="542"/>
      <c r="H2" s="542"/>
      <c r="I2" s="542"/>
      <c r="J2" s="542"/>
      <c r="K2" s="542"/>
      <c r="L2" s="542"/>
      <c r="M2" s="542"/>
      <c r="N2" s="542"/>
      <c r="O2" s="542"/>
      <c r="P2" s="542"/>
    </row>
    <row r="3" spans="1:16">
      <c r="A3" s="30" t="s">
        <v>655</v>
      </c>
      <c r="B3" s="30"/>
      <c r="C3" s="30"/>
      <c r="D3" s="31"/>
      <c r="E3" s="32"/>
      <c r="F3" s="541"/>
      <c r="G3" s="542"/>
      <c r="H3" s="542"/>
      <c r="I3" s="542"/>
      <c r="J3" s="542"/>
      <c r="K3" s="542"/>
      <c r="L3" s="542"/>
      <c r="M3" s="542"/>
      <c r="N3" s="542"/>
      <c r="O3" s="542"/>
      <c r="P3" s="542"/>
    </row>
    <row r="4" spans="1:16">
      <c r="A4" s="541"/>
      <c r="B4" s="541"/>
      <c r="C4" s="541"/>
      <c r="D4" s="31"/>
      <c r="E4" s="542"/>
      <c r="F4" s="541"/>
      <c r="H4" s="33"/>
      <c r="I4" s="33"/>
      <c r="J4" s="33"/>
    </row>
    <row r="5" spans="1:16" ht="15.9" customHeight="1">
      <c r="A5" s="541"/>
      <c r="B5" s="541"/>
      <c r="C5" s="30"/>
      <c r="E5" s="1305" t="s">
        <v>571</v>
      </c>
      <c r="F5" s="1306"/>
      <c r="G5" s="1306"/>
      <c r="H5" s="33"/>
      <c r="I5" s="33"/>
      <c r="J5" s="33"/>
      <c r="K5" s="35"/>
      <c r="L5" s="35"/>
      <c r="M5" s="35"/>
      <c r="N5" s="35"/>
      <c r="O5" s="35"/>
      <c r="P5" s="35"/>
    </row>
    <row r="6" spans="1:16">
      <c r="A6" s="541"/>
      <c r="B6" s="541"/>
      <c r="C6" s="30"/>
      <c r="D6" s="31"/>
      <c r="E6" s="36" t="s">
        <v>653</v>
      </c>
      <c r="F6" s="37"/>
      <c r="G6" s="916" t="s">
        <v>607</v>
      </c>
      <c r="H6" s="327"/>
      <c r="I6" s="33"/>
      <c r="J6" s="33"/>
      <c r="K6" s="544"/>
      <c r="L6" s="544"/>
      <c r="M6" s="544"/>
      <c r="N6" s="544"/>
      <c r="O6" s="544"/>
      <c r="P6" s="544"/>
    </row>
    <row r="7" spans="1:16">
      <c r="B7" s="541"/>
      <c r="C7" s="39"/>
      <c r="D7" s="688" t="s">
        <v>129</v>
      </c>
      <c r="E7" s="1307" t="s">
        <v>156</v>
      </c>
      <c r="F7" s="1308"/>
      <c r="G7" s="1308"/>
      <c r="H7" s="690"/>
      <c r="I7" s="690"/>
      <c r="J7" s="690"/>
      <c r="K7" s="690"/>
      <c r="L7" s="690"/>
      <c r="M7" s="690"/>
      <c r="N7" s="690"/>
      <c r="O7" s="690"/>
      <c r="P7" s="690"/>
    </row>
    <row r="8" spans="1:16">
      <c r="A8" s="30" t="s">
        <v>157</v>
      </c>
      <c r="B8" s="541"/>
      <c r="C8" s="545"/>
      <c r="D8" s="40"/>
      <c r="E8" s="546"/>
      <c r="F8" s="545"/>
      <c r="H8" s="327"/>
      <c r="K8" s="543">
        <v>22495413</v>
      </c>
    </row>
    <row r="9" spans="1:16">
      <c r="A9" s="30"/>
      <c r="B9" s="541"/>
      <c r="C9" s="545"/>
      <c r="D9" s="40"/>
      <c r="E9" s="546"/>
      <c r="F9" s="545"/>
      <c r="H9" s="327"/>
      <c r="K9" s="543">
        <v>-2217120</v>
      </c>
    </row>
    <row r="10" spans="1:16" ht="15" customHeight="1">
      <c r="A10" s="547" t="s">
        <v>158</v>
      </c>
      <c r="B10" s="541"/>
      <c r="C10" s="548"/>
      <c r="D10" s="41"/>
      <c r="E10" s="42">
        <f>-TB!F115</f>
        <v>4624.99</v>
      </c>
      <c r="F10" s="548"/>
      <c r="G10" s="548">
        <v>515.06574999999998</v>
      </c>
      <c r="H10" s="542"/>
      <c r="I10" s="542"/>
      <c r="J10" s="542"/>
      <c r="K10" s="542">
        <v>-58846</v>
      </c>
      <c r="L10" s="542"/>
      <c r="M10" s="542"/>
      <c r="N10" s="542"/>
      <c r="O10" s="542"/>
      <c r="P10" s="542"/>
    </row>
    <row r="11" spans="1:16" ht="15" customHeight="1">
      <c r="A11" s="541" t="s">
        <v>159</v>
      </c>
      <c r="B11" s="541"/>
      <c r="C11" s="548"/>
      <c r="D11" s="41"/>
      <c r="E11" s="43">
        <f>-(TB!F112+TB!F113+TB!F134+TB!F136+TB!F138+TB!F108)</f>
        <v>1416.00216</v>
      </c>
      <c r="F11" s="548"/>
      <c r="G11" s="549">
        <v>1215.05422</v>
      </c>
      <c r="H11" s="542"/>
      <c r="I11" s="337">
        <f>-521+399-231</f>
        <v>-353</v>
      </c>
      <c r="J11" s="337"/>
      <c r="K11" s="337">
        <v>-112500</v>
      </c>
      <c r="L11" s="337"/>
      <c r="M11" s="337"/>
      <c r="N11" s="337"/>
      <c r="O11" s="337"/>
      <c r="P11" s="337"/>
    </row>
    <row r="12" spans="1:16" ht="15" customHeight="1">
      <c r="A12" s="541" t="s">
        <v>573</v>
      </c>
      <c r="B12" s="541"/>
      <c r="C12" s="548"/>
      <c r="D12" s="41"/>
      <c r="E12" s="43">
        <f>-TB!G116</f>
        <v>1754.4115099999999</v>
      </c>
      <c r="F12" s="548"/>
      <c r="G12" s="548">
        <v>1524.97433</v>
      </c>
      <c r="H12" s="542"/>
      <c r="I12" s="337"/>
      <c r="J12" s="337"/>
      <c r="K12" s="337">
        <f>SUM(K8:K11)</f>
        <v>20106947</v>
      </c>
      <c r="L12" s="337"/>
      <c r="M12" s="337"/>
      <c r="N12" s="337"/>
      <c r="O12" s="337"/>
      <c r="P12" s="337"/>
    </row>
    <row r="13" spans="1:16" ht="15" customHeight="1">
      <c r="A13" s="541" t="s">
        <v>160</v>
      </c>
      <c r="B13" s="541"/>
      <c r="C13" s="548"/>
      <c r="D13" s="41"/>
      <c r="E13" s="43">
        <f>-TB!F133</f>
        <v>10.938940000000001</v>
      </c>
      <c r="F13" s="548"/>
      <c r="G13" s="549">
        <v>10.856059999999999</v>
      </c>
      <c r="H13" s="542"/>
      <c r="I13" s="337"/>
      <c r="J13" s="337"/>
      <c r="K13" s="337">
        <f>20106-20503</f>
        <v>-397</v>
      </c>
      <c r="L13" s="337"/>
      <c r="M13" s="337"/>
      <c r="N13" s="337"/>
      <c r="O13" s="337"/>
      <c r="P13" s="337"/>
    </row>
    <row r="14" spans="1:16" ht="15" customHeight="1">
      <c r="A14" s="547" t="s">
        <v>647</v>
      </c>
      <c r="B14" s="541"/>
      <c r="E14" s="42">
        <f>-SUM(TB!F110:F111)-TB!F114-TB!F100-TB!F94</f>
        <v>-9670.5321199999998</v>
      </c>
      <c r="F14" s="542"/>
      <c r="G14" s="44">
        <v>24447.317970000004</v>
      </c>
      <c r="H14" s="44"/>
      <c r="I14" s="44"/>
      <c r="J14" s="44"/>
      <c r="K14" s="44"/>
      <c r="L14" s="44"/>
      <c r="M14" s="44">
        <v>775741</v>
      </c>
      <c r="N14" s="44"/>
      <c r="O14" s="44"/>
      <c r="P14" s="44"/>
    </row>
    <row r="15" spans="1:16" ht="15" customHeight="1">
      <c r="A15" s="541" t="s">
        <v>161</v>
      </c>
      <c r="B15" s="541"/>
      <c r="C15" s="548"/>
      <c r="D15" s="41"/>
      <c r="E15" s="42">
        <f>-TB!F139</f>
        <v>20.239999999999998</v>
      </c>
      <c r="F15" s="548"/>
      <c r="G15" s="549">
        <v>25.654100000000003</v>
      </c>
      <c r="H15" s="542"/>
      <c r="I15" s="542"/>
      <c r="J15" s="542"/>
      <c r="K15" s="542"/>
      <c r="L15" s="542"/>
      <c r="M15" s="542">
        <v>-632005</v>
      </c>
      <c r="N15" s="542"/>
      <c r="O15" s="542"/>
      <c r="P15" s="542"/>
    </row>
    <row r="16" spans="1:16" ht="15" customHeight="1">
      <c r="A16" s="547" t="s">
        <v>648</v>
      </c>
      <c r="B16" s="541"/>
      <c r="C16" s="549"/>
      <c r="D16" s="46"/>
      <c r="E16" s="47"/>
      <c r="F16" s="549"/>
      <c r="G16" s="337"/>
      <c r="H16" s="337"/>
      <c r="I16" s="337"/>
      <c r="J16" s="337"/>
      <c r="K16" s="337"/>
      <c r="L16" s="337"/>
      <c r="M16" s="337">
        <v>-1126438</v>
      </c>
      <c r="N16" s="337"/>
      <c r="O16" s="337"/>
      <c r="P16" s="337"/>
    </row>
    <row r="17" spans="1:16" ht="15" customHeight="1">
      <c r="A17" s="286" t="s">
        <v>162</v>
      </c>
      <c r="B17" s="541"/>
      <c r="C17" s="549"/>
      <c r="D17" s="545">
        <f>'Note 5.5-6.2'!A28</f>
        <v>7.3999999999999986</v>
      </c>
      <c r="E17" s="42">
        <f>'Note 5.1'!L119</f>
        <v>-15162.377000000006</v>
      </c>
      <c r="F17" s="44" t="s">
        <v>163</v>
      </c>
      <c r="G17" s="549">
        <v>27973.302999999898</v>
      </c>
      <c r="H17" s="549"/>
      <c r="I17" s="549"/>
      <c r="J17" s="549"/>
      <c r="L17" s="549"/>
      <c r="M17" s="549">
        <v>-10879765</v>
      </c>
      <c r="N17" s="549"/>
      <c r="O17" s="549"/>
      <c r="P17" s="549"/>
    </row>
    <row r="18" spans="1:16" ht="15" customHeight="1">
      <c r="A18" s="48" t="s">
        <v>525</v>
      </c>
      <c r="B18" s="541"/>
      <c r="C18" s="548"/>
      <c r="D18" s="41"/>
      <c r="E18" s="568">
        <f>SUM(E10:E17)</f>
        <v>-17006.326510000006</v>
      </c>
      <c r="F18" s="548"/>
      <c r="G18" s="550">
        <f>SUM(G10:G17)</f>
        <v>55712.225429999904</v>
      </c>
      <c r="H18" s="542">
        <f>55712-E18</f>
        <v>72718.326510000014</v>
      </c>
      <c r="I18" s="337"/>
      <c r="J18" s="337"/>
      <c r="K18" s="337"/>
      <c r="L18" s="337"/>
      <c r="M18" s="337">
        <v>-367</v>
      </c>
      <c r="N18" s="337"/>
      <c r="O18" s="337"/>
      <c r="P18" s="337"/>
    </row>
    <row r="19" spans="1:16">
      <c r="C19" s="543"/>
      <c r="D19" s="49"/>
      <c r="E19" s="32"/>
      <c r="F19" s="542"/>
      <c r="G19" s="542"/>
      <c r="H19" s="542">
        <f>H18-E18</f>
        <v>89724.653020000027</v>
      </c>
      <c r="I19" s="542"/>
      <c r="J19" s="542"/>
      <c r="K19" s="542"/>
      <c r="L19" s="542"/>
      <c r="M19" s="542">
        <v>-114900</v>
      </c>
      <c r="N19" s="542"/>
      <c r="O19" s="542"/>
      <c r="P19" s="542"/>
    </row>
    <row r="20" spans="1:16" ht="15" customHeight="1">
      <c r="A20" s="48" t="s">
        <v>164</v>
      </c>
      <c r="B20" s="541"/>
      <c r="C20" s="548"/>
      <c r="D20" s="41"/>
      <c r="E20" s="42"/>
      <c r="F20" s="548"/>
      <c r="G20" s="548"/>
      <c r="H20" s="542"/>
      <c r="I20" s="542"/>
      <c r="J20" s="542"/>
      <c r="K20" s="542"/>
      <c r="L20" s="542"/>
      <c r="M20" s="542">
        <v>-77</v>
      </c>
      <c r="N20" s="542"/>
      <c r="O20" s="542"/>
      <c r="P20" s="542"/>
    </row>
    <row r="21" spans="1:16" ht="9" customHeight="1">
      <c r="B21" s="541"/>
      <c r="C21" s="548"/>
      <c r="D21" s="41"/>
      <c r="E21" s="42"/>
      <c r="F21" s="548"/>
      <c r="G21" s="548"/>
      <c r="H21" s="542"/>
      <c r="I21" s="542"/>
      <c r="J21" s="542"/>
      <c r="K21" s="542"/>
      <c r="L21" s="542"/>
      <c r="M21" s="542"/>
      <c r="N21" s="542"/>
      <c r="O21" s="542"/>
      <c r="P21" s="542"/>
    </row>
    <row r="22" spans="1:16" ht="15" customHeight="1">
      <c r="A22" s="541" t="s">
        <v>165</v>
      </c>
      <c r="B22" s="541"/>
      <c r="C22" s="549"/>
      <c r="D22" s="46"/>
      <c r="E22" s="707">
        <f>TB!F143</f>
        <v>3907.4029999999998</v>
      </c>
      <c r="F22" s="549" t="s">
        <v>163</v>
      </c>
      <c r="G22" s="551">
        <v>2343.3200000000002</v>
      </c>
      <c r="H22" s="337"/>
      <c r="I22" s="337"/>
      <c r="J22" s="337"/>
      <c r="K22" s="337"/>
      <c r="L22" s="337"/>
      <c r="M22" s="337"/>
      <c r="N22" s="337"/>
      <c r="O22" s="337"/>
      <c r="P22" s="337"/>
    </row>
    <row r="23" spans="1:16" ht="15" customHeight="1">
      <c r="A23" s="541" t="s">
        <v>562</v>
      </c>
      <c r="B23" s="541"/>
      <c r="C23" s="549"/>
      <c r="D23" s="202"/>
      <c r="E23" s="708"/>
      <c r="F23" s="549"/>
      <c r="G23" s="552"/>
      <c r="H23" s="337"/>
      <c r="I23" s="337"/>
      <c r="J23" s="337"/>
      <c r="K23" s="337"/>
      <c r="L23" s="337"/>
      <c r="M23" s="337"/>
      <c r="N23" s="337"/>
      <c r="O23" s="337"/>
      <c r="P23" s="337"/>
    </row>
    <row r="24" spans="1:16" ht="15" customHeight="1">
      <c r="A24" s="553" t="s">
        <v>166</v>
      </c>
      <c r="B24" s="541"/>
      <c r="C24" s="549"/>
      <c r="D24" s="202"/>
      <c r="E24" s="708">
        <f>TB!F144</f>
        <v>507.96239000000003</v>
      </c>
      <c r="F24" s="549"/>
      <c r="G24" s="552">
        <v>304.63160000000005</v>
      </c>
      <c r="H24" s="337"/>
      <c r="I24" s="337"/>
      <c r="J24" s="337"/>
      <c r="K24" s="337"/>
      <c r="L24" s="337"/>
      <c r="M24" s="337"/>
      <c r="N24" s="337"/>
      <c r="O24" s="337"/>
      <c r="P24" s="337"/>
    </row>
    <row r="25" spans="1:16" ht="15" customHeight="1">
      <c r="A25" s="541" t="s">
        <v>167</v>
      </c>
      <c r="B25" s="541"/>
      <c r="C25" s="549"/>
      <c r="D25" s="46"/>
      <c r="E25" s="708"/>
      <c r="F25" s="549"/>
      <c r="G25" s="552"/>
      <c r="H25" s="337"/>
      <c r="I25" s="337"/>
      <c r="J25" s="337"/>
      <c r="K25" s="337"/>
      <c r="L25" s="337"/>
      <c r="M25" s="337"/>
      <c r="N25" s="337"/>
      <c r="O25" s="337"/>
      <c r="P25" s="337"/>
    </row>
    <row r="26" spans="1:16" ht="15" customHeight="1">
      <c r="A26" s="553" t="s">
        <v>168</v>
      </c>
      <c r="B26" s="541"/>
      <c r="C26" s="549"/>
      <c r="D26" s="46"/>
      <c r="E26" s="708">
        <f>TB!F145</f>
        <v>233.30199999999999</v>
      </c>
      <c r="F26" s="549"/>
      <c r="G26" s="552">
        <v>234.35300000000001</v>
      </c>
      <c r="H26" s="337"/>
      <c r="I26" s="337"/>
      <c r="J26" s="337"/>
      <c r="K26" s="337"/>
      <c r="L26" s="337"/>
      <c r="M26" s="337"/>
      <c r="N26" s="337"/>
      <c r="O26" s="337"/>
      <c r="P26" s="337"/>
    </row>
    <row r="27" spans="1:16" ht="15" customHeight="1">
      <c r="A27" s="541" t="s">
        <v>365</v>
      </c>
      <c r="B27" s="541"/>
      <c r="C27" s="549"/>
      <c r="D27" s="554"/>
      <c r="E27" s="708">
        <f>TB!F146</f>
        <v>30.327999999999999</v>
      </c>
      <c r="F27" s="549"/>
      <c r="G27" s="552">
        <v>30.466999999999999</v>
      </c>
      <c r="H27" s="337"/>
      <c r="I27" s="337"/>
      <c r="J27" s="337"/>
      <c r="K27" s="337"/>
      <c r="L27" s="337"/>
      <c r="M27" s="337"/>
      <c r="N27" s="337"/>
      <c r="O27" s="337"/>
      <c r="P27" s="337"/>
    </row>
    <row r="28" spans="1:16" ht="15" customHeight="1">
      <c r="A28" s="555" t="s">
        <v>169</v>
      </c>
      <c r="B28" s="541"/>
      <c r="C28" s="549"/>
      <c r="D28" s="544"/>
      <c r="E28" s="708">
        <f>TB!F148</f>
        <v>23.324999999999999</v>
      </c>
      <c r="F28" s="549" t="s">
        <v>163</v>
      </c>
      <c r="G28" s="552">
        <v>23.427</v>
      </c>
      <c r="H28" s="337"/>
      <c r="I28" s="337"/>
      <c r="J28" s="337"/>
      <c r="K28" s="337"/>
      <c r="L28" s="337"/>
      <c r="M28" s="337"/>
      <c r="N28" s="337"/>
      <c r="O28" s="337"/>
      <c r="P28" s="337"/>
    </row>
    <row r="29" spans="1:16" ht="15" customHeight="1">
      <c r="A29" s="541" t="s">
        <v>170</v>
      </c>
      <c r="B29" s="541"/>
      <c r="C29" s="549"/>
      <c r="D29" s="554"/>
      <c r="E29" s="708">
        <f>TB!F149</f>
        <v>116.62619000000001</v>
      </c>
      <c r="F29" s="549"/>
      <c r="G29" s="552">
        <v>117.15779000000001</v>
      </c>
      <c r="H29" s="337"/>
      <c r="I29" s="337"/>
      <c r="J29" s="337"/>
      <c r="K29" s="337"/>
      <c r="L29" s="337"/>
      <c r="M29" s="337"/>
      <c r="N29" s="337"/>
      <c r="O29" s="337"/>
      <c r="P29" s="337"/>
    </row>
    <row r="30" spans="1:16" ht="15" customHeight="1">
      <c r="A30" s="541" t="s">
        <v>500</v>
      </c>
      <c r="B30" s="541"/>
      <c r="C30" s="549"/>
      <c r="D30" s="554"/>
      <c r="E30" s="708">
        <f>TB!F147</f>
        <v>0</v>
      </c>
      <c r="F30" s="549"/>
      <c r="G30" s="552">
        <v>1581.63012</v>
      </c>
      <c r="H30" s="337"/>
      <c r="I30" s="337"/>
      <c r="J30" s="337"/>
      <c r="K30" s="337"/>
      <c r="L30" s="337"/>
      <c r="M30" s="337"/>
      <c r="N30" s="337"/>
      <c r="O30" s="337"/>
      <c r="P30" s="337"/>
    </row>
    <row r="31" spans="1:16" ht="15" customHeight="1">
      <c r="A31" s="541" t="s">
        <v>171</v>
      </c>
      <c r="B31" s="541"/>
      <c r="C31" s="549"/>
      <c r="D31" s="46"/>
      <c r="E31" s="708">
        <f>TB!F151+TB!F152</f>
        <v>386.18743999999998</v>
      </c>
      <c r="F31" s="549"/>
      <c r="G31" s="552">
        <v>868.33758999999998</v>
      </c>
      <c r="H31" s="337"/>
      <c r="I31" s="337"/>
      <c r="J31" s="337"/>
      <c r="K31" s="337"/>
      <c r="L31" s="337"/>
      <c r="M31" s="337"/>
      <c r="N31" s="337"/>
      <c r="O31" s="337"/>
      <c r="P31" s="337"/>
    </row>
    <row r="32" spans="1:16" ht="15" customHeight="1">
      <c r="A32" s="541" t="s">
        <v>563</v>
      </c>
      <c r="B32" s="541"/>
      <c r="C32" s="549"/>
      <c r="D32" s="46"/>
      <c r="E32" s="708">
        <f>TB!F154+TB!F153+SUM(TB!F162:F171)</f>
        <v>139.696</v>
      </c>
      <c r="F32" s="549"/>
      <c r="G32" s="552">
        <v>153.52611000000002</v>
      </c>
      <c r="H32" s="337"/>
      <c r="I32" s="337"/>
      <c r="J32" s="337"/>
      <c r="K32" s="337"/>
      <c r="L32" s="337"/>
      <c r="M32" s="337"/>
      <c r="N32" s="337"/>
      <c r="O32" s="337"/>
      <c r="P32" s="337"/>
    </row>
    <row r="33" spans="1:222" ht="15" customHeight="1">
      <c r="A33" s="541" t="s">
        <v>172</v>
      </c>
      <c r="B33" s="541"/>
      <c r="C33" s="549"/>
      <c r="D33" s="46"/>
      <c r="E33" s="708">
        <f>TB!F160</f>
        <v>6.9312800000000001</v>
      </c>
      <c r="F33" s="549"/>
      <c r="G33" s="552">
        <v>6.9312800000000001</v>
      </c>
      <c r="H33" s="337"/>
      <c r="I33" s="337"/>
      <c r="J33" s="337"/>
      <c r="K33" s="337"/>
      <c r="L33" s="337"/>
      <c r="M33" s="337"/>
      <c r="N33" s="337"/>
      <c r="O33" s="337"/>
      <c r="P33" s="337"/>
    </row>
    <row r="34" spans="1:222" ht="15" customHeight="1">
      <c r="A34" s="541" t="s">
        <v>173</v>
      </c>
      <c r="B34" s="541"/>
      <c r="C34" s="549"/>
      <c r="D34" s="46"/>
      <c r="E34" s="708">
        <f>TB!F156+TB!F157</f>
        <v>145.13092</v>
      </c>
      <c r="F34" s="549"/>
      <c r="G34" s="552">
        <v>145.13092</v>
      </c>
      <c r="H34" s="337"/>
      <c r="I34" s="337"/>
      <c r="J34" s="337"/>
      <c r="K34" s="337"/>
      <c r="L34" s="337"/>
      <c r="M34" s="337"/>
      <c r="N34" s="337"/>
      <c r="O34" s="337"/>
      <c r="P34" s="337"/>
    </row>
    <row r="35" spans="1:222" ht="15" customHeight="1">
      <c r="A35" s="541" t="s">
        <v>174</v>
      </c>
      <c r="B35" s="541"/>
      <c r="C35" s="549"/>
      <c r="D35" s="46"/>
      <c r="E35" s="708">
        <f>TB!F161</f>
        <v>25.207999999999998</v>
      </c>
      <c r="F35" s="549"/>
      <c r="G35" s="552">
        <v>1.9092499999999999</v>
      </c>
      <c r="H35" s="337"/>
      <c r="I35" s="337"/>
      <c r="J35" s="337"/>
      <c r="K35" s="337"/>
      <c r="L35" s="337"/>
      <c r="M35" s="337"/>
      <c r="N35" s="337"/>
      <c r="O35" s="337"/>
      <c r="P35" s="337"/>
    </row>
    <row r="36" spans="1:222" ht="15" customHeight="1">
      <c r="A36" s="541" t="s">
        <v>175</v>
      </c>
      <c r="B36" s="541"/>
      <c r="C36" s="549"/>
      <c r="D36" s="46"/>
      <c r="E36" s="709">
        <f>TB!F158</f>
        <v>434.36752000000001</v>
      </c>
      <c r="F36" s="549"/>
      <c r="G36" s="556">
        <v>34.367520000000006</v>
      </c>
      <c r="H36" s="337"/>
      <c r="I36" s="337"/>
      <c r="J36" s="337"/>
      <c r="K36" s="337"/>
      <c r="L36" s="337"/>
      <c r="M36" s="337"/>
      <c r="N36" s="337"/>
      <c r="O36" s="337"/>
      <c r="P36" s="337"/>
    </row>
    <row r="37" spans="1:222" ht="15" customHeight="1">
      <c r="A37" s="48" t="s">
        <v>176</v>
      </c>
      <c r="B37" s="541"/>
      <c r="C37" s="549"/>
      <c r="D37" s="46"/>
      <c r="E37" s="43">
        <f>SUM(E22:E36)</f>
        <v>5956.4677399999982</v>
      </c>
      <c r="F37" s="549"/>
      <c r="G37" s="549">
        <f>SUM(G22:G36)</f>
        <v>5845.1891799999994</v>
      </c>
      <c r="H37" s="543">
        <f>E37-3850</f>
        <v>2106.4677399999982</v>
      </c>
      <c r="I37" s="549"/>
      <c r="J37" s="549"/>
      <c r="K37" s="549"/>
      <c r="L37" s="549"/>
      <c r="M37" s="549"/>
      <c r="N37" s="549"/>
      <c r="O37" s="549"/>
      <c r="P37" s="549"/>
    </row>
    <row r="38" spans="1:222">
      <c r="A38" s="48"/>
      <c r="B38" s="541"/>
      <c r="C38" s="549"/>
      <c r="D38" s="46"/>
      <c r="E38" s="43"/>
      <c r="F38" s="549"/>
      <c r="G38" s="549"/>
      <c r="I38" s="549"/>
      <c r="J38" s="549"/>
      <c r="K38" s="549"/>
      <c r="L38" s="549"/>
      <c r="M38" s="549"/>
      <c r="N38" s="549"/>
      <c r="O38" s="549"/>
      <c r="P38" s="549"/>
    </row>
    <row r="39" spans="1:222">
      <c r="A39" s="50" t="s">
        <v>651</v>
      </c>
      <c r="B39" s="541"/>
      <c r="C39" s="549"/>
      <c r="D39" s="46"/>
      <c r="E39" s="45">
        <f>E18-E37</f>
        <v>-22962.794250000006</v>
      </c>
      <c r="F39" s="915"/>
      <c r="G39" s="550">
        <f>G18-G37-0.49</f>
        <v>49866.546249999905</v>
      </c>
      <c r="I39" s="549"/>
      <c r="J39" s="549"/>
      <c r="K39" s="549"/>
      <c r="L39" s="549"/>
      <c r="M39" s="549"/>
      <c r="N39" s="549"/>
      <c r="O39" s="549"/>
      <c r="P39" s="549"/>
    </row>
    <row r="40" spans="1:222">
      <c r="A40" s="48"/>
      <c r="B40" s="541"/>
      <c r="C40" s="549"/>
      <c r="D40" s="46"/>
      <c r="E40" s="43"/>
      <c r="F40" s="915"/>
      <c r="G40" s="549"/>
      <c r="I40" s="549"/>
      <c r="J40" s="549"/>
      <c r="K40" s="549"/>
      <c r="L40" s="549"/>
      <c r="M40" s="549"/>
      <c r="N40" s="549"/>
      <c r="O40" s="549"/>
      <c r="P40" s="549"/>
    </row>
    <row r="41" spans="1:222">
      <c r="A41" s="50"/>
      <c r="B41" s="541"/>
      <c r="C41" s="549"/>
      <c r="D41" s="46"/>
      <c r="E41" s="43"/>
      <c r="F41" s="549"/>
      <c r="G41" s="861"/>
      <c r="H41" s="327"/>
      <c r="I41" s="549"/>
      <c r="J41" s="549"/>
      <c r="K41" s="549"/>
      <c r="L41" s="549"/>
      <c r="M41" s="549"/>
      <c r="N41" s="549"/>
      <c r="O41" s="549"/>
      <c r="P41" s="549"/>
    </row>
    <row r="42" spans="1:222">
      <c r="A42" s="862" t="s">
        <v>673</v>
      </c>
      <c r="B42" s="541"/>
      <c r="C42" s="549"/>
      <c r="D42" s="1145">
        <f>'Note 5.5-6.2'!A49</f>
        <v>8.1</v>
      </c>
      <c r="E42" s="43">
        <f>-TB!F172</f>
        <v>6269.3986100000002</v>
      </c>
      <c r="F42" s="549"/>
      <c r="G42" s="861">
        <v>-997</v>
      </c>
      <c r="H42" s="327"/>
      <c r="I42" s="549">
        <f>E37-E42</f>
        <v>-312.93087000000196</v>
      </c>
      <c r="J42" s="549"/>
      <c r="K42" s="549"/>
      <c r="L42" s="549"/>
      <c r="M42" s="549"/>
      <c r="N42" s="549"/>
      <c r="O42" s="549"/>
      <c r="P42" s="549"/>
    </row>
    <row r="43" spans="1:222">
      <c r="A43" s="862"/>
      <c r="B43" s="541"/>
      <c r="C43" s="549"/>
      <c r="D43" s="46"/>
      <c r="E43" s="43"/>
      <c r="F43" s="549"/>
      <c r="G43" s="861"/>
      <c r="H43" s="327"/>
      <c r="I43" s="549"/>
      <c r="J43" s="549"/>
      <c r="K43" s="549"/>
      <c r="L43" s="549"/>
      <c r="M43" s="549"/>
      <c r="N43" s="549"/>
      <c r="O43" s="549"/>
      <c r="P43" s="549"/>
    </row>
    <row r="44" spans="1:222" ht="14.4">
      <c r="A44" s="50" t="s">
        <v>650</v>
      </c>
      <c r="B44" s="541"/>
      <c r="C44" s="549"/>
      <c r="D44" s="46"/>
      <c r="E44" s="863">
        <f>E39+E42</f>
        <v>-16693.395640000006</v>
      </c>
      <c r="F44" s="863"/>
      <c r="G44" s="1042">
        <f>G39+G42</f>
        <v>48869.546249999905</v>
      </c>
      <c r="I44" s="549"/>
      <c r="J44" s="549"/>
      <c r="K44" s="549"/>
      <c r="L44" s="549"/>
      <c r="M44" s="549"/>
      <c r="N44" s="549"/>
      <c r="O44" s="549"/>
      <c r="P44" s="549"/>
    </row>
    <row r="45" spans="1:222" s="559" customFormat="1">
      <c r="A45" s="48"/>
      <c r="B45" s="557"/>
      <c r="C45" s="558"/>
      <c r="D45" s="51"/>
      <c r="E45" s="47"/>
      <c r="F45" s="337"/>
      <c r="G45" s="337"/>
      <c r="H45" s="337"/>
      <c r="I45" s="337"/>
      <c r="J45" s="337"/>
      <c r="K45" s="337"/>
      <c r="L45" s="337"/>
      <c r="M45" s="337"/>
      <c r="N45" s="337"/>
      <c r="O45" s="337"/>
      <c r="P45" s="337"/>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5"/>
      <c r="BE45" s="345"/>
      <c r="BF45" s="345"/>
      <c r="BG45" s="345"/>
      <c r="BH45" s="345"/>
      <c r="BI45" s="345"/>
      <c r="BJ45" s="345"/>
      <c r="BK45" s="345"/>
      <c r="BL45" s="345"/>
      <c r="BM45" s="345"/>
      <c r="BN45" s="345"/>
      <c r="BO45" s="345"/>
      <c r="BP45" s="345"/>
      <c r="BQ45" s="345"/>
      <c r="BR45" s="345"/>
      <c r="BS45" s="345"/>
      <c r="BT45" s="345"/>
      <c r="BU45" s="345"/>
      <c r="BV45" s="345"/>
      <c r="BW45" s="345"/>
      <c r="BX45" s="345"/>
      <c r="BY45" s="345"/>
      <c r="BZ45" s="345"/>
      <c r="CA45" s="345"/>
      <c r="CB45" s="345"/>
      <c r="CC45" s="345"/>
      <c r="CD45" s="345"/>
      <c r="CE45" s="345"/>
      <c r="CF45" s="345"/>
      <c r="CG45" s="345"/>
      <c r="CH45" s="345"/>
      <c r="CI45" s="345"/>
      <c r="CJ45" s="345"/>
      <c r="CK45" s="345"/>
      <c r="CL45" s="345"/>
      <c r="CM45" s="345"/>
      <c r="CN45" s="345"/>
      <c r="CO45" s="345"/>
      <c r="CP45" s="345"/>
      <c r="CQ45" s="345"/>
      <c r="CR45" s="345"/>
      <c r="CS45" s="345"/>
      <c r="CT45" s="345"/>
      <c r="CU45" s="345"/>
      <c r="CV45" s="345"/>
      <c r="CW45" s="345"/>
      <c r="CX45" s="345"/>
      <c r="CY45" s="345"/>
      <c r="CZ45" s="345"/>
      <c r="DA45" s="345"/>
      <c r="DB45" s="345"/>
      <c r="DC45" s="345"/>
      <c r="DD45" s="345"/>
      <c r="DE45" s="345"/>
      <c r="DF45" s="345"/>
      <c r="DG45" s="345"/>
      <c r="DH45" s="345"/>
      <c r="DI45" s="345"/>
      <c r="DJ45" s="345"/>
      <c r="DK45" s="345"/>
      <c r="DL45" s="345"/>
      <c r="DM45" s="345"/>
      <c r="DN45" s="345"/>
      <c r="DO45" s="345"/>
      <c r="DP45" s="345"/>
      <c r="DQ45" s="345"/>
      <c r="DR45" s="345"/>
      <c r="DS45" s="345"/>
      <c r="DT45" s="345"/>
      <c r="DU45" s="345"/>
      <c r="DV45" s="345"/>
      <c r="DW45" s="345"/>
      <c r="DX45" s="345"/>
      <c r="DY45" s="345"/>
      <c r="DZ45" s="345"/>
      <c r="EA45" s="345"/>
      <c r="EB45" s="345"/>
      <c r="EC45" s="345"/>
      <c r="ED45" s="345"/>
      <c r="EE45" s="345"/>
      <c r="EF45" s="345"/>
      <c r="EG45" s="345"/>
      <c r="EH45" s="345"/>
      <c r="EI45" s="345"/>
      <c r="EJ45" s="345"/>
      <c r="EK45" s="345"/>
      <c r="EL45" s="345"/>
      <c r="EM45" s="345"/>
      <c r="EN45" s="345"/>
      <c r="EO45" s="345"/>
      <c r="EP45" s="345"/>
      <c r="EQ45" s="345"/>
      <c r="ER45" s="345"/>
      <c r="ES45" s="345"/>
      <c r="ET45" s="345"/>
      <c r="EU45" s="345"/>
      <c r="EV45" s="345"/>
      <c r="EW45" s="345"/>
      <c r="EX45" s="345"/>
      <c r="EY45" s="345"/>
      <c r="EZ45" s="345"/>
      <c r="FA45" s="345"/>
      <c r="FB45" s="345"/>
      <c r="FC45" s="345"/>
      <c r="FD45" s="345"/>
      <c r="FE45" s="345"/>
      <c r="FF45" s="345"/>
      <c r="FG45" s="345"/>
      <c r="FH45" s="345"/>
      <c r="FI45" s="345"/>
      <c r="FJ45" s="345"/>
      <c r="FK45" s="345"/>
      <c r="FL45" s="345"/>
      <c r="FM45" s="345"/>
      <c r="FN45" s="345"/>
      <c r="FO45" s="345"/>
      <c r="FP45" s="345"/>
      <c r="FQ45" s="345"/>
      <c r="FR45" s="345"/>
      <c r="FS45" s="345"/>
      <c r="FT45" s="345"/>
      <c r="FU45" s="345"/>
      <c r="FV45" s="345"/>
      <c r="FW45" s="345"/>
      <c r="FX45" s="345"/>
      <c r="FY45" s="345"/>
      <c r="FZ45" s="345"/>
      <c r="GA45" s="345"/>
      <c r="GB45" s="345"/>
      <c r="GC45" s="345"/>
      <c r="GD45" s="345"/>
      <c r="GE45" s="345"/>
      <c r="GF45" s="345"/>
      <c r="GG45" s="345"/>
      <c r="GH45" s="345"/>
      <c r="GI45" s="345"/>
      <c r="GJ45" s="345"/>
      <c r="GK45" s="345"/>
      <c r="GL45" s="345"/>
      <c r="GM45" s="345"/>
      <c r="GN45" s="345"/>
      <c r="GO45" s="345"/>
      <c r="GP45" s="345"/>
      <c r="GQ45" s="345"/>
      <c r="GR45" s="345"/>
      <c r="GS45" s="345"/>
      <c r="GT45" s="345"/>
      <c r="GU45" s="345"/>
      <c r="GV45" s="345"/>
      <c r="GW45" s="345"/>
      <c r="GX45" s="345"/>
      <c r="GY45" s="345"/>
      <c r="GZ45" s="345"/>
      <c r="HA45" s="345"/>
      <c r="HB45" s="345"/>
      <c r="HC45" s="345"/>
      <c r="HD45" s="345"/>
      <c r="HE45" s="345"/>
      <c r="HF45" s="345"/>
      <c r="HG45" s="345"/>
      <c r="HH45" s="345"/>
      <c r="HI45" s="345"/>
      <c r="HJ45" s="345"/>
      <c r="HK45" s="345"/>
      <c r="HL45" s="345"/>
      <c r="HM45" s="345"/>
      <c r="HN45" s="345"/>
    </row>
    <row r="46" spans="1:222" s="559" customFormat="1">
      <c r="A46" s="415" t="s">
        <v>177</v>
      </c>
      <c r="B46" s="557"/>
      <c r="C46" s="558"/>
      <c r="D46" s="560">
        <f>'7- 15'!A68</f>
        <v>14</v>
      </c>
      <c r="E46" s="561">
        <v>0</v>
      </c>
      <c r="F46" s="879"/>
      <c r="G46" s="562">
        <v>0</v>
      </c>
      <c r="H46" s="562"/>
      <c r="I46" s="562"/>
      <c r="J46" s="562"/>
      <c r="K46" s="562"/>
      <c r="L46" s="562"/>
      <c r="M46" s="562"/>
      <c r="N46" s="562"/>
      <c r="O46" s="562"/>
      <c r="P46" s="562"/>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5"/>
      <c r="BE46" s="345"/>
      <c r="BF46" s="345"/>
      <c r="BG46" s="345"/>
      <c r="BH46" s="345"/>
      <c r="BI46" s="345"/>
      <c r="BJ46" s="345"/>
      <c r="BK46" s="345"/>
      <c r="BL46" s="345"/>
      <c r="BM46" s="345"/>
      <c r="BN46" s="345"/>
      <c r="BO46" s="345"/>
      <c r="BP46" s="345"/>
      <c r="BQ46" s="345"/>
      <c r="BR46" s="345"/>
      <c r="BS46" s="345"/>
      <c r="BT46" s="345"/>
      <c r="BU46" s="345"/>
      <c r="BV46" s="345"/>
      <c r="BW46" s="345"/>
      <c r="BX46" s="345"/>
      <c r="BY46" s="345"/>
      <c r="BZ46" s="345"/>
      <c r="CA46" s="345"/>
      <c r="CB46" s="345"/>
      <c r="CC46" s="345"/>
      <c r="CD46" s="345"/>
      <c r="CE46" s="345"/>
      <c r="CF46" s="345"/>
      <c r="CG46" s="345"/>
      <c r="CH46" s="345"/>
      <c r="CI46" s="345"/>
      <c r="CJ46" s="345"/>
      <c r="CK46" s="345"/>
      <c r="CL46" s="345"/>
      <c r="CM46" s="345"/>
      <c r="CN46" s="345"/>
      <c r="CO46" s="345"/>
      <c r="CP46" s="345"/>
      <c r="CQ46" s="345"/>
      <c r="CR46" s="345"/>
      <c r="CS46" s="345"/>
      <c r="CT46" s="345"/>
      <c r="CU46" s="345"/>
      <c r="CV46" s="345"/>
      <c r="CW46" s="345"/>
      <c r="CX46" s="345"/>
      <c r="CY46" s="345"/>
      <c r="CZ46" s="345"/>
      <c r="DA46" s="345"/>
      <c r="DB46" s="345"/>
      <c r="DC46" s="345"/>
      <c r="DD46" s="345"/>
      <c r="DE46" s="345"/>
      <c r="DF46" s="345"/>
      <c r="DG46" s="345"/>
      <c r="DH46" s="345"/>
      <c r="DI46" s="345"/>
      <c r="DJ46" s="345"/>
      <c r="DK46" s="345"/>
      <c r="DL46" s="345"/>
      <c r="DM46" s="345"/>
      <c r="DN46" s="345"/>
      <c r="DO46" s="345"/>
      <c r="DP46" s="345"/>
      <c r="DQ46" s="345"/>
      <c r="DR46" s="345"/>
      <c r="DS46" s="345"/>
      <c r="DT46" s="345"/>
      <c r="DU46" s="345"/>
      <c r="DV46" s="345"/>
      <c r="DW46" s="345"/>
      <c r="DX46" s="345"/>
      <c r="DY46" s="345"/>
      <c r="DZ46" s="345"/>
      <c r="EA46" s="345"/>
      <c r="EB46" s="345"/>
      <c r="EC46" s="345"/>
      <c r="ED46" s="345"/>
      <c r="EE46" s="345"/>
      <c r="EF46" s="345"/>
      <c r="EG46" s="345"/>
      <c r="EH46" s="345"/>
      <c r="EI46" s="345"/>
      <c r="EJ46" s="345"/>
      <c r="EK46" s="345"/>
      <c r="EL46" s="345"/>
      <c r="EM46" s="345"/>
      <c r="EN46" s="345"/>
      <c r="EO46" s="345"/>
      <c r="EP46" s="345"/>
      <c r="EQ46" s="345"/>
      <c r="ER46" s="345"/>
      <c r="ES46" s="345"/>
      <c r="ET46" s="345"/>
      <c r="EU46" s="345"/>
      <c r="EV46" s="345"/>
      <c r="EW46" s="345"/>
      <c r="EX46" s="345"/>
      <c r="EY46" s="345"/>
      <c r="EZ46" s="345"/>
      <c r="FA46" s="345"/>
      <c r="FB46" s="345"/>
      <c r="FC46" s="345"/>
      <c r="FD46" s="345"/>
      <c r="FE46" s="345"/>
      <c r="FF46" s="345"/>
      <c r="FG46" s="345"/>
      <c r="FH46" s="345"/>
      <c r="FI46" s="345"/>
      <c r="FJ46" s="345"/>
      <c r="FK46" s="345"/>
      <c r="FL46" s="345"/>
      <c r="FM46" s="345"/>
      <c r="FN46" s="345"/>
      <c r="FO46" s="345"/>
      <c r="FP46" s="345"/>
      <c r="FQ46" s="345"/>
      <c r="FR46" s="345"/>
      <c r="FS46" s="345"/>
      <c r="FT46" s="345"/>
      <c r="FU46" s="345"/>
      <c r="FV46" s="345"/>
      <c r="FW46" s="345"/>
      <c r="FX46" s="345"/>
      <c r="FY46" s="345"/>
      <c r="FZ46" s="345"/>
      <c r="GA46" s="345"/>
      <c r="GB46" s="345"/>
      <c r="GC46" s="345"/>
      <c r="GD46" s="345"/>
      <c r="GE46" s="345"/>
      <c r="GF46" s="345"/>
      <c r="GG46" s="345"/>
      <c r="GH46" s="345"/>
      <c r="GI46" s="345"/>
      <c r="GJ46" s="345"/>
      <c r="GK46" s="345"/>
      <c r="GL46" s="345"/>
      <c r="GM46" s="345"/>
      <c r="GN46" s="345"/>
      <c r="GO46" s="345"/>
      <c r="GP46" s="345"/>
      <c r="GQ46" s="345"/>
      <c r="GR46" s="345"/>
      <c r="GS46" s="345"/>
      <c r="GT46" s="345"/>
      <c r="GU46" s="345"/>
      <c r="GV46" s="345"/>
      <c r="GW46" s="345"/>
      <c r="GX46" s="345"/>
      <c r="GY46" s="345"/>
      <c r="GZ46" s="345"/>
      <c r="HA46" s="345"/>
      <c r="HB46" s="345"/>
      <c r="HC46" s="345"/>
      <c r="HD46" s="345"/>
      <c r="HE46" s="345"/>
      <c r="HF46" s="345"/>
      <c r="HG46" s="345"/>
      <c r="HH46" s="345"/>
      <c r="HI46" s="345"/>
      <c r="HJ46" s="345"/>
      <c r="HK46" s="345"/>
      <c r="HL46" s="345"/>
      <c r="HM46" s="345"/>
      <c r="HN46" s="345"/>
    </row>
    <row r="47" spans="1:222" s="559" customFormat="1">
      <c r="A47" s="415"/>
      <c r="B47" s="557"/>
      <c r="C47" s="558"/>
      <c r="D47" s="52"/>
      <c r="E47" s="561"/>
      <c r="F47" s="879"/>
      <c r="G47" s="562"/>
      <c r="H47" s="562"/>
      <c r="I47" s="562"/>
      <c r="J47" s="562"/>
      <c r="K47" s="562"/>
      <c r="L47" s="562"/>
      <c r="M47" s="562"/>
      <c r="N47" s="562"/>
      <c r="O47" s="562"/>
      <c r="P47" s="562"/>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c r="AY47" s="345"/>
      <c r="AZ47" s="345"/>
      <c r="BA47" s="345"/>
      <c r="BB47" s="345"/>
      <c r="BC47" s="345"/>
      <c r="BD47" s="345"/>
      <c r="BE47" s="345"/>
      <c r="BF47" s="345"/>
      <c r="BG47" s="345"/>
      <c r="BH47" s="345"/>
      <c r="BI47" s="345"/>
      <c r="BJ47" s="345"/>
      <c r="BK47" s="345"/>
      <c r="BL47" s="345"/>
      <c r="BM47" s="345"/>
      <c r="BN47" s="345"/>
      <c r="BO47" s="345"/>
      <c r="BP47" s="345"/>
      <c r="BQ47" s="345"/>
      <c r="BR47" s="345"/>
      <c r="BS47" s="345"/>
      <c r="BT47" s="345"/>
      <c r="BU47" s="345"/>
      <c r="BV47" s="345"/>
      <c r="BW47" s="345"/>
      <c r="BX47" s="345"/>
      <c r="BY47" s="345"/>
      <c r="BZ47" s="345"/>
      <c r="CA47" s="345"/>
      <c r="CB47" s="345"/>
      <c r="CC47" s="345"/>
      <c r="CD47" s="345"/>
      <c r="CE47" s="345"/>
      <c r="CF47" s="345"/>
      <c r="CG47" s="345"/>
      <c r="CH47" s="345"/>
      <c r="CI47" s="345"/>
      <c r="CJ47" s="345"/>
      <c r="CK47" s="345"/>
      <c r="CL47" s="345"/>
      <c r="CM47" s="345"/>
      <c r="CN47" s="345"/>
      <c r="CO47" s="345"/>
      <c r="CP47" s="345"/>
      <c r="CQ47" s="345"/>
      <c r="CR47" s="345"/>
      <c r="CS47" s="345"/>
      <c r="CT47" s="345"/>
      <c r="CU47" s="345"/>
      <c r="CV47" s="345"/>
      <c r="CW47" s="345"/>
      <c r="CX47" s="345"/>
      <c r="CY47" s="345"/>
      <c r="CZ47" s="345"/>
      <c r="DA47" s="345"/>
      <c r="DB47" s="345"/>
      <c r="DC47" s="345"/>
      <c r="DD47" s="345"/>
      <c r="DE47" s="345"/>
      <c r="DF47" s="345"/>
      <c r="DG47" s="345"/>
      <c r="DH47" s="345"/>
      <c r="DI47" s="345"/>
      <c r="DJ47" s="345"/>
      <c r="DK47" s="345"/>
      <c r="DL47" s="345"/>
      <c r="DM47" s="345"/>
      <c r="DN47" s="345"/>
      <c r="DO47" s="345"/>
      <c r="DP47" s="345"/>
      <c r="DQ47" s="345"/>
      <c r="DR47" s="345"/>
      <c r="DS47" s="345"/>
      <c r="DT47" s="345"/>
      <c r="DU47" s="345"/>
      <c r="DV47" s="345"/>
      <c r="DW47" s="345"/>
      <c r="DX47" s="345"/>
      <c r="DY47" s="345"/>
      <c r="DZ47" s="345"/>
      <c r="EA47" s="345"/>
      <c r="EB47" s="345"/>
      <c r="EC47" s="345"/>
      <c r="ED47" s="345"/>
      <c r="EE47" s="345"/>
      <c r="EF47" s="345"/>
      <c r="EG47" s="345"/>
      <c r="EH47" s="345"/>
      <c r="EI47" s="345"/>
      <c r="EJ47" s="345"/>
      <c r="EK47" s="345"/>
      <c r="EL47" s="345"/>
      <c r="EM47" s="345"/>
      <c r="EN47" s="345"/>
      <c r="EO47" s="345"/>
      <c r="EP47" s="345"/>
      <c r="EQ47" s="345"/>
      <c r="ER47" s="345"/>
      <c r="ES47" s="345"/>
      <c r="ET47" s="345"/>
      <c r="EU47" s="345"/>
      <c r="EV47" s="345"/>
      <c r="EW47" s="345"/>
      <c r="EX47" s="345"/>
      <c r="EY47" s="345"/>
      <c r="EZ47" s="345"/>
      <c r="FA47" s="345"/>
      <c r="FB47" s="345"/>
      <c r="FC47" s="345"/>
      <c r="FD47" s="345"/>
      <c r="FE47" s="345"/>
      <c r="FF47" s="345"/>
      <c r="FG47" s="345"/>
      <c r="FH47" s="345"/>
      <c r="FI47" s="345"/>
      <c r="FJ47" s="345"/>
      <c r="FK47" s="345"/>
      <c r="FL47" s="345"/>
      <c r="FM47" s="345"/>
      <c r="FN47" s="345"/>
      <c r="FO47" s="345"/>
      <c r="FP47" s="345"/>
      <c r="FQ47" s="345"/>
      <c r="FR47" s="345"/>
      <c r="FS47" s="345"/>
      <c r="FT47" s="345"/>
      <c r="FU47" s="345"/>
      <c r="FV47" s="345"/>
      <c r="FW47" s="345"/>
      <c r="FX47" s="345"/>
      <c r="FY47" s="345"/>
      <c r="FZ47" s="345"/>
      <c r="GA47" s="345"/>
      <c r="GB47" s="345"/>
      <c r="GC47" s="345"/>
      <c r="GD47" s="345"/>
      <c r="GE47" s="345"/>
      <c r="GF47" s="345"/>
      <c r="GG47" s="345"/>
      <c r="GH47" s="345"/>
      <c r="GI47" s="345"/>
      <c r="GJ47" s="345"/>
      <c r="GK47" s="345"/>
      <c r="GL47" s="345"/>
      <c r="GM47" s="345"/>
      <c r="GN47" s="345"/>
      <c r="GO47" s="345"/>
      <c r="GP47" s="345"/>
      <c r="GQ47" s="345"/>
      <c r="GR47" s="345"/>
      <c r="GS47" s="345"/>
      <c r="GT47" s="345"/>
      <c r="GU47" s="345"/>
      <c r="GV47" s="345"/>
      <c r="GW47" s="345"/>
      <c r="GX47" s="345"/>
      <c r="GY47" s="345"/>
      <c r="GZ47" s="345"/>
      <c r="HA47" s="345"/>
      <c r="HB47" s="345"/>
      <c r="HC47" s="345"/>
      <c r="HD47" s="345"/>
      <c r="HE47" s="345"/>
      <c r="HF47" s="345"/>
      <c r="HG47" s="345"/>
      <c r="HH47" s="345"/>
      <c r="HI47" s="345"/>
      <c r="HJ47" s="345"/>
      <c r="HK47" s="345"/>
      <c r="HL47" s="345"/>
      <c r="HM47" s="345"/>
      <c r="HN47" s="345"/>
    </row>
    <row r="48" spans="1:222" s="716" customFormat="1" ht="21" customHeight="1" thickBot="1">
      <c r="A48" s="710" t="s">
        <v>732</v>
      </c>
      <c r="B48" s="711"/>
      <c r="C48" s="712"/>
      <c r="D48" s="713"/>
      <c r="E48" s="714">
        <f>E44+E46</f>
        <v>-16693.395640000006</v>
      </c>
      <c r="F48" s="717"/>
      <c r="G48" s="792">
        <v>48870</v>
      </c>
      <c r="H48" s="715">
        <f>+E48-H55</f>
        <v>8139.5134799999978</v>
      </c>
      <c r="I48" s="715" t="e">
        <f>+#REF!-I55</f>
        <v>#REF!</v>
      </c>
      <c r="J48" s="715"/>
      <c r="K48" s="715"/>
      <c r="L48" s="715"/>
      <c r="M48" s="715"/>
      <c r="N48" s="715"/>
      <c r="O48" s="715"/>
      <c r="P48" s="715"/>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3"/>
      <c r="GE48" s="203"/>
      <c r="GF48" s="203"/>
      <c r="GG48" s="203"/>
      <c r="GH48" s="203"/>
      <c r="GI48" s="203"/>
      <c r="GJ48" s="203"/>
      <c r="GK48" s="203"/>
      <c r="GL48" s="203"/>
      <c r="GM48" s="203"/>
      <c r="GN48" s="203"/>
      <c r="GO48" s="203"/>
      <c r="GP48" s="203"/>
      <c r="GQ48" s="203"/>
      <c r="GR48" s="203"/>
      <c r="GS48" s="203"/>
      <c r="GT48" s="203"/>
      <c r="GU48" s="203"/>
      <c r="GV48" s="203"/>
      <c r="GW48" s="203"/>
      <c r="GX48" s="203"/>
      <c r="GY48" s="203"/>
      <c r="GZ48" s="203"/>
      <c r="HA48" s="203"/>
      <c r="HB48" s="203"/>
      <c r="HC48" s="203"/>
      <c r="HD48" s="203"/>
      <c r="HE48" s="203"/>
      <c r="HF48" s="203"/>
      <c r="HG48" s="203"/>
      <c r="HH48" s="203"/>
      <c r="HI48" s="203"/>
      <c r="HJ48" s="203"/>
      <c r="HK48" s="203"/>
      <c r="HL48" s="203"/>
      <c r="HM48" s="203"/>
      <c r="HN48" s="203"/>
    </row>
    <row r="49" spans="1:222" s="559" customFormat="1" ht="13.8" thickTop="1">
      <c r="A49" s="53"/>
      <c r="B49" s="557"/>
      <c r="C49" s="558"/>
      <c r="D49" s="52"/>
      <c r="E49" s="54"/>
      <c r="F49" s="54"/>
      <c r="G49" s="1043"/>
      <c r="H49" s="563"/>
      <c r="I49" s="563"/>
      <c r="J49" s="563"/>
      <c r="K49" s="563"/>
      <c r="L49" s="563"/>
      <c r="M49" s="563"/>
      <c r="N49" s="563"/>
      <c r="O49" s="563"/>
      <c r="P49" s="563"/>
      <c r="Q49" s="345"/>
      <c r="R49" s="345"/>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345"/>
      <c r="AY49" s="345"/>
      <c r="AZ49" s="345"/>
      <c r="BA49" s="345"/>
      <c r="BB49" s="345"/>
      <c r="BC49" s="345"/>
      <c r="BD49" s="345"/>
      <c r="BE49" s="345"/>
      <c r="BF49" s="345"/>
      <c r="BG49" s="345"/>
      <c r="BH49" s="345"/>
      <c r="BI49" s="345"/>
      <c r="BJ49" s="345"/>
      <c r="BK49" s="345"/>
      <c r="BL49" s="345"/>
      <c r="BM49" s="345"/>
      <c r="BN49" s="345"/>
      <c r="BO49" s="345"/>
      <c r="BP49" s="345"/>
      <c r="BQ49" s="345"/>
      <c r="BR49" s="345"/>
      <c r="BS49" s="345"/>
      <c r="BT49" s="345"/>
      <c r="BU49" s="345"/>
      <c r="BV49" s="345"/>
      <c r="BW49" s="345"/>
      <c r="BX49" s="345"/>
      <c r="BY49" s="345"/>
      <c r="BZ49" s="345"/>
      <c r="CA49" s="345"/>
      <c r="CB49" s="345"/>
      <c r="CC49" s="345"/>
      <c r="CD49" s="345"/>
      <c r="CE49" s="345"/>
      <c r="CF49" s="345"/>
      <c r="CG49" s="345"/>
      <c r="CH49" s="345"/>
      <c r="CI49" s="345"/>
      <c r="CJ49" s="345"/>
      <c r="CK49" s="345"/>
      <c r="CL49" s="345"/>
      <c r="CM49" s="345"/>
      <c r="CN49" s="345"/>
      <c r="CO49" s="345"/>
      <c r="CP49" s="345"/>
      <c r="CQ49" s="345"/>
      <c r="CR49" s="345"/>
      <c r="CS49" s="345"/>
      <c r="CT49" s="345"/>
      <c r="CU49" s="345"/>
      <c r="CV49" s="345"/>
      <c r="CW49" s="345"/>
      <c r="CX49" s="345"/>
      <c r="CY49" s="345"/>
      <c r="CZ49" s="345"/>
      <c r="DA49" s="345"/>
      <c r="DB49" s="345"/>
      <c r="DC49" s="345"/>
      <c r="DD49" s="345"/>
      <c r="DE49" s="345"/>
      <c r="DF49" s="345"/>
      <c r="DG49" s="345"/>
      <c r="DH49" s="345"/>
      <c r="DI49" s="345"/>
      <c r="DJ49" s="345"/>
      <c r="DK49" s="345"/>
      <c r="DL49" s="345"/>
      <c r="DM49" s="345"/>
      <c r="DN49" s="345"/>
      <c r="DO49" s="345"/>
      <c r="DP49" s="345"/>
      <c r="DQ49" s="345"/>
      <c r="DR49" s="345"/>
      <c r="DS49" s="345"/>
      <c r="DT49" s="345"/>
      <c r="DU49" s="345"/>
      <c r="DV49" s="345"/>
      <c r="DW49" s="345"/>
      <c r="DX49" s="345"/>
      <c r="DY49" s="345"/>
      <c r="DZ49" s="345"/>
      <c r="EA49" s="345"/>
      <c r="EB49" s="345"/>
      <c r="EC49" s="345"/>
      <c r="ED49" s="345"/>
      <c r="EE49" s="345"/>
      <c r="EF49" s="345"/>
      <c r="EG49" s="345"/>
      <c r="EH49" s="345"/>
      <c r="EI49" s="345"/>
      <c r="EJ49" s="345"/>
      <c r="EK49" s="345"/>
      <c r="EL49" s="345"/>
      <c r="EM49" s="345"/>
      <c r="EN49" s="345"/>
      <c r="EO49" s="345"/>
      <c r="EP49" s="345"/>
      <c r="EQ49" s="345"/>
      <c r="ER49" s="345"/>
      <c r="ES49" s="345"/>
      <c r="ET49" s="345"/>
      <c r="EU49" s="345"/>
      <c r="EV49" s="345"/>
      <c r="EW49" s="345"/>
      <c r="EX49" s="345"/>
      <c r="EY49" s="345"/>
      <c r="EZ49" s="345"/>
      <c r="FA49" s="345"/>
      <c r="FB49" s="345"/>
      <c r="FC49" s="345"/>
      <c r="FD49" s="345"/>
      <c r="FE49" s="345"/>
      <c r="FF49" s="345"/>
      <c r="FG49" s="345"/>
      <c r="FH49" s="345"/>
      <c r="FI49" s="345"/>
      <c r="FJ49" s="345"/>
      <c r="FK49" s="345"/>
      <c r="FL49" s="345"/>
      <c r="FM49" s="345"/>
      <c r="FN49" s="345"/>
      <c r="FO49" s="345"/>
      <c r="FP49" s="345"/>
      <c r="FQ49" s="345"/>
      <c r="FR49" s="345"/>
      <c r="FS49" s="345"/>
      <c r="FT49" s="345"/>
      <c r="FU49" s="345"/>
      <c r="FV49" s="345"/>
      <c r="FW49" s="345"/>
      <c r="FX49" s="345"/>
      <c r="FY49" s="345"/>
      <c r="FZ49" s="345"/>
      <c r="GA49" s="345"/>
      <c r="GB49" s="345"/>
      <c r="GC49" s="345"/>
      <c r="GD49" s="345"/>
      <c r="GE49" s="345"/>
      <c r="GF49" s="345"/>
      <c r="GG49" s="345"/>
      <c r="GH49" s="345"/>
      <c r="GI49" s="345"/>
      <c r="GJ49" s="345"/>
      <c r="GK49" s="345"/>
      <c r="GL49" s="345"/>
      <c r="GM49" s="345"/>
      <c r="GN49" s="345"/>
      <c r="GO49" s="345"/>
      <c r="GP49" s="345"/>
      <c r="GQ49" s="345"/>
      <c r="GR49" s="345"/>
      <c r="GS49" s="345"/>
      <c r="GT49" s="345"/>
      <c r="GU49" s="345"/>
      <c r="GV49" s="345"/>
      <c r="GW49" s="345"/>
      <c r="GX49" s="345"/>
      <c r="GY49" s="345"/>
      <c r="GZ49" s="345"/>
      <c r="HA49" s="345"/>
      <c r="HB49" s="345"/>
      <c r="HC49" s="345"/>
      <c r="HD49" s="345"/>
      <c r="HE49" s="345"/>
      <c r="HF49" s="345"/>
      <c r="HG49" s="345"/>
      <c r="HH49" s="345"/>
      <c r="HI49" s="345"/>
      <c r="HJ49" s="345"/>
      <c r="HK49" s="345"/>
      <c r="HL49" s="345"/>
      <c r="HM49" s="345"/>
      <c r="HN49" s="345"/>
    </row>
    <row r="50" spans="1:222" s="559" customFormat="1">
      <c r="A50" s="539" t="s">
        <v>437</v>
      </c>
      <c r="B50" s="557"/>
      <c r="C50" s="558"/>
      <c r="D50" s="52"/>
      <c r="E50" s="54"/>
      <c r="F50" s="54"/>
      <c r="G50" s="1043"/>
      <c r="H50" s="563"/>
      <c r="I50" s="563"/>
      <c r="J50" s="563"/>
      <c r="K50" s="563"/>
      <c r="L50" s="563"/>
      <c r="M50" s="563"/>
      <c r="N50" s="563"/>
      <c r="O50" s="563"/>
      <c r="P50" s="563"/>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45"/>
      <c r="BJ50" s="345"/>
      <c r="BK50" s="345"/>
      <c r="BL50" s="345"/>
      <c r="BM50" s="345"/>
      <c r="BN50" s="345"/>
      <c r="BO50" s="345"/>
      <c r="BP50" s="345"/>
      <c r="BQ50" s="345"/>
      <c r="BR50" s="345"/>
      <c r="BS50" s="345"/>
      <c r="BT50" s="345"/>
      <c r="BU50" s="345"/>
      <c r="BV50" s="345"/>
      <c r="BW50" s="345"/>
      <c r="BX50" s="345"/>
      <c r="BY50" s="345"/>
      <c r="BZ50" s="345"/>
      <c r="CA50" s="345"/>
      <c r="CB50" s="345"/>
      <c r="CC50" s="345"/>
      <c r="CD50" s="345"/>
      <c r="CE50" s="345"/>
      <c r="CF50" s="345"/>
      <c r="CG50" s="345"/>
      <c r="CH50" s="345"/>
      <c r="CI50" s="345"/>
      <c r="CJ50" s="345"/>
      <c r="CK50" s="345"/>
      <c r="CL50" s="345"/>
      <c r="CM50" s="345"/>
      <c r="CN50" s="345"/>
      <c r="CO50" s="345"/>
      <c r="CP50" s="345"/>
      <c r="CQ50" s="345"/>
      <c r="CR50" s="345"/>
      <c r="CS50" s="345"/>
      <c r="CT50" s="345"/>
      <c r="CU50" s="345"/>
      <c r="CV50" s="345"/>
      <c r="CW50" s="345"/>
      <c r="CX50" s="345"/>
      <c r="CY50" s="345"/>
      <c r="CZ50" s="345"/>
      <c r="DA50" s="345"/>
      <c r="DB50" s="345"/>
      <c r="DC50" s="345"/>
      <c r="DD50" s="345"/>
      <c r="DE50" s="345"/>
      <c r="DF50" s="345"/>
      <c r="DG50" s="345"/>
      <c r="DH50" s="345"/>
      <c r="DI50" s="345"/>
      <c r="DJ50" s="345"/>
      <c r="DK50" s="345"/>
      <c r="DL50" s="345"/>
      <c r="DM50" s="345"/>
      <c r="DN50" s="345"/>
      <c r="DO50" s="345"/>
      <c r="DP50" s="345"/>
      <c r="DQ50" s="345"/>
      <c r="DR50" s="345"/>
      <c r="DS50" s="345"/>
      <c r="DT50" s="345"/>
      <c r="DU50" s="345"/>
      <c r="DV50" s="345"/>
      <c r="DW50" s="345"/>
      <c r="DX50" s="345"/>
      <c r="DY50" s="345"/>
      <c r="DZ50" s="345"/>
      <c r="EA50" s="345"/>
      <c r="EB50" s="345"/>
      <c r="EC50" s="345"/>
      <c r="ED50" s="345"/>
      <c r="EE50" s="345"/>
      <c r="EF50" s="345"/>
      <c r="EG50" s="345"/>
      <c r="EH50" s="345"/>
      <c r="EI50" s="345"/>
      <c r="EJ50" s="345"/>
      <c r="EK50" s="345"/>
      <c r="EL50" s="345"/>
      <c r="EM50" s="345"/>
      <c r="EN50" s="345"/>
      <c r="EO50" s="345"/>
      <c r="EP50" s="345"/>
      <c r="EQ50" s="345"/>
      <c r="ER50" s="345"/>
      <c r="ES50" s="345"/>
      <c r="ET50" s="345"/>
      <c r="EU50" s="345"/>
      <c r="EV50" s="345"/>
      <c r="EW50" s="345"/>
      <c r="EX50" s="345"/>
      <c r="EY50" s="345"/>
      <c r="EZ50" s="345"/>
      <c r="FA50" s="345"/>
      <c r="FB50" s="345"/>
      <c r="FC50" s="345"/>
      <c r="FD50" s="345"/>
      <c r="FE50" s="345"/>
      <c r="FF50" s="345"/>
      <c r="FG50" s="345"/>
      <c r="FH50" s="345"/>
      <c r="FI50" s="345"/>
      <c r="FJ50" s="345"/>
      <c r="FK50" s="345"/>
      <c r="FL50" s="345"/>
      <c r="FM50" s="345"/>
      <c r="FN50" s="345"/>
      <c r="FO50" s="345"/>
      <c r="FP50" s="345"/>
      <c r="FQ50" s="345"/>
      <c r="FR50" s="345"/>
      <c r="FS50" s="345"/>
      <c r="FT50" s="345"/>
      <c r="FU50" s="345"/>
      <c r="FV50" s="345"/>
      <c r="FW50" s="345"/>
      <c r="FX50" s="345"/>
      <c r="FY50" s="345"/>
      <c r="FZ50" s="345"/>
      <c r="GA50" s="345"/>
      <c r="GB50" s="345"/>
      <c r="GC50" s="345"/>
      <c r="GD50" s="345"/>
      <c r="GE50" s="345"/>
      <c r="GF50" s="345"/>
      <c r="GG50" s="345"/>
      <c r="GH50" s="345"/>
      <c r="GI50" s="345"/>
      <c r="GJ50" s="345"/>
      <c r="GK50" s="345"/>
      <c r="GL50" s="345"/>
      <c r="GM50" s="345"/>
      <c r="GN50" s="345"/>
      <c r="GO50" s="345"/>
      <c r="GP50" s="345"/>
      <c r="GQ50" s="345"/>
      <c r="GR50" s="345"/>
      <c r="GS50" s="345"/>
      <c r="GT50" s="345"/>
      <c r="GU50" s="345"/>
      <c r="GV50" s="345"/>
      <c r="GW50" s="345"/>
      <c r="GX50" s="345"/>
      <c r="GY50" s="345"/>
      <c r="GZ50" s="345"/>
      <c r="HA50" s="345"/>
      <c r="HB50" s="345"/>
      <c r="HC50" s="345"/>
      <c r="HD50" s="345"/>
      <c r="HE50" s="345"/>
      <c r="HF50" s="345"/>
      <c r="HG50" s="345"/>
      <c r="HH50" s="345"/>
      <c r="HI50" s="345"/>
      <c r="HJ50" s="345"/>
      <c r="HK50" s="345"/>
      <c r="HL50" s="345"/>
      <c r="HM50" s="345"/>
      <c r="HN50" s="345"/>
    </row>
    <row r="51" spans="1:222" s="559" customFormat="1">
      <c r="A51" s="539"/>
      <c r="B51" s="557"/>
      <c r="C51" s="558"/>
      <c r="D51" s="52"/>
      <c r="E51" s="54"/>
      <c r="F51" s="54"/>
      <c r="G51" s="1043"/>
      <c r="H51" s="563">
        <f>E14+E17</f>
        <v>-24832.909120000004</v>
      </c>
      <c r="I51" s="617">
        <f>H51/E48</f>
        <v>1.4875888438477096</v>
      </c>
      <c r="J51" s="563" t="e">
        <f>+#REF!+#REF!</f>
        <v>#REF!</v>
      </c>
      <c r="K51" s="563"/>
      <c r="L51" s="563"/>
      <c r="M51" s="563"/>
      <c r="N51" s="563"/>
      <c r="O51" s="563"/>
      <c r="P51" s="563"/>
      <c r="Q51" s="345"/>
      <c r="R51" s="345"/>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c r="AP51" s="345"/>
      <c r="AQ51" s="345"/>
      <c r="AR51" s="345"/>
      <c r="AS51" s="345"/>
      <c r="AT51" s="345"/>
      <c r="AU51" s="345"/>
      <c r="AV51" s="345"/>
      <c r="AW51" s="345"/>
      <c r="AX51" s="345"/>
      <c r="AY51" s="345"/>
      <c r="AZ51" s="345"/>
      <c r="BA51" s="345"/>
      <c r="BB51" s="345"/>
      <c r="BC51" s="345"/>
      <c r="BD51" s="345"/>
      <c r="BE51" s="345"/>
      <c r="BF51" s="345"/>
      <c r="BG51" s="345"/>
      <c r="BH51" s="345"/>
      <c r="BI51" s="345"/>
      <c r="BJ51" s="345"/>
      <c r="BK51" s="345"/>
      <c r="BL51" s="345"/>
      <c r="BM51" s="345"/>
      <c r="BN51" s="345"/>
      <c r="BO51" s="345"/>
      <c r="BP51" s="345"/>
      <c r="BQ51" s="345"/>
      <c r="BR51" s="345"/>
      <c r="BS51" s="345"/>
      <c r="BT51" s="345"/>
      <c r="BU51" s="345"/>
      <c r="BV51" s="345"/>
      <c r="BW51" s="345"/>
      <c r="BX51" s="345"/>
      <c r="BY51" s="345"/>
      <c r="BZ51" s="345"/>
      <c r="CA51" s="345"/>
      <c r="CB51" s="345"/>
      <c r="CC51" s="345"/>
      <c r="CD51" s="345"/>
      <c r="CE51" s="345"/>
      <c r="CF51" s="345"/>
      <c r="CG51" s="345"/>
      <c r="CH51" s="345"/>
      <c r="CI51" s="345"/>
      <c r="CJ51" s="345"/>
      <c r="CK51" s="345"/>
      <c r="CL51" s="345"/>
      <c r="CM51" s="345"/>
      <c r="CN51" s="345"/>
      <c r="CO51" s="345"/>
      <c r="CP51" s="345"/>
      <c r="CQ51" s="345"/>
      <c r="CR51" s="345"/>
      <c r="CS51" s="345"/>
      <c r="CT51" s="345"/>
      <c r="CU51" s="345"/>
      <c r="CV51" s="345"/>
      <c r="CW51" s="345"/>
      <c r="CX51" s="345"/>
      <c r="CY51" s="345"/>
      <c r="CZ51" s="345"/>
      <c r="DA51" s="345"/>
      <c r="DB51" s="345"/>
      <c r="DC51" s="345"/>
      <c r="DD51" s="345"/>
      <c r="DE51" s="345"/>
      <c r="DF51" s="345"/>
      <c r="DG51" s="345"/>
      <c r="DH51" s="345"/>
      <c r="DI51" s="345"/>
      <c r="DJ51" s="345"/>
      <c r="DK51" s="345"/>
      <c r="DL51" s="345"/>
      <c r="DM51" s="345"/>
      <c r="DN51" s="345"/>
      <c r="DO51" s="345"/>
      <c r="DP51" s="345"/>
      <c r="DQ51" s="345"/>
      <c r="DR51" s="345"/>
      <c r="DS51" s="345"/>
      <c r="DT51" s="345"/>
      <c r="DU51" s="345"/>
      <c r="DV51" s="345"/>
      <c r="DW51" s="345"/>
      <c r="DX51" s="345"/>
      <c r="DY51" s="345"/>
      <c r="DZ51" s="345"/>
      <c r="EA51" s="345"/>
      <c r="EB51" s="345"/>
      <c r="EC51" s="345"/>
      <c r="ED51" s="345"/>
      <c r="EE51" s="345"/>
      <c r="EF51" s="345"/>
      <c r="EG51" s="345"/>
      <c r="EH51" s="345"/>
      <c r="EI51" s="345"/>
      <c r="EJ51" s="345"/>
      <c r="EK51" s="345"/>
      <c r="EL51" s="345"/>
      <c r="EM51" s="345"/>
      <c r="EN51" s="345"/>
      <c r="EO51" s="345"/>
      <c r="EP51" s="345"/>
      <c r="EQ51" s="345"/>
      <c r="ER51" s="345"/>
      <c r="ES51" s="345"/>
      <c r="ET51" s="345"/>
      <c r="EU51" s="345"/>
      <c r="EV51" s="345"/>
      <c r="EW51" s="345"/>
      <c r="EX51" s="345"/>
      <c r="EY51" s="345"/>
      <c r="EZ51" s="345"/>
      <c r="FA51" s="345"/>
      <c r="FB51" s="345"/>
      <c r="FC51" s="345"/>
      <c r="FD51" s="345"/>
      <c r="FE51" s="345"/>
      <c r="FF51" s="345"/>
      <c r="FG51" s="345"/>
      <c r="FH51" s="345"/>
      <c r="FI51" s="345"/>
      <c r="FJ51" s="345"/>
      <c r="FK51" s="345"/>
      <c r="FL51" s="345"/>
      <c r="FM51" s="345"/>
      <c r="FN51" s="345"/>
      <c r="FO51" s="345"/>
      <c r="FP51" s="345"/>
      <c r="FQ51" s="345"/>
      <c r="FR51" s="345"/>
      <c r="FS51" s="345"/>
      <c r="FT51" s="345"/>
      <c r="FU51" s="345"/>
      <c r="FV51" s="345"/>
      <c r="FW51" s="345"/>
      <c r="FX51" s="345"/>
      <c r="FY51" s="345"/>
      <c r="FZ51" s="345"/>
      <c r="GA51" s="345"/>
      <c r="GB51" s="345"/>
      <c r="GC51" s="345"/>
      <c r="GD51" s="345"/>
      <c r="GE51" s="345"/>
      <c r="GF51" s="345"/>
      <c r="GG51" s="345"/>
      <c r="GH51" s="345"/>
      <c r="GI51" s="345"/>
      <c r="GJ51" s="345"/>
      <c r="GK51" s="345"/>
      <c r="GL51" s="345"/>
      <c r="GM51" s="345"/>
      <c r="GN51" s="345"/>
      <c r="GO51" s="345"/>
      <c r="GP51" s="345"/>
      <c r="GQ51" s="345"/>
      <c r="GR51" s="345"/>
      <c r="GS51" s="345"/>
      <c r="GT51" s="345"/>
      <c r="GU51" s="345"/>
      <c r="GV51" s="345"/>
      <c r="GW51" s="345"/>
      <c r="GX51" s="345"/>
      <c r="GY51" s="345"/>
      <c r="GZ51" s="345"/>
      <c r="HA51" s="345"/>
      <c r="HB51" s="345"/>
      <c r="HC51" s="345"/>
      <c r="HD51" s="345"/>
      <c r="HE51" s="345"/>
      <c r="HF51" s="345"/>
      <c r="HG51" s="345"/>
      <c r="HH51" s="345"/>
      <c r="HI51" s="345"/>
      <c r="HJ51" s="345"/>
      <c r="HK51" s="345"/>
      <c r="HL51" s="345"/>
      <c r="HM51" s="345"/>
      <c r="HN51" s="345"/>
    </row>
    <row r="52" spans="1:222" s="559" customFormat="1">
      <c r="A52" s="540" t="s">
        <v>296</v>
      </c>
      <c r="B52" s="557"/>
      <c r="C52" s="558"/>
      <c r="D52" s="52"/>
      <c r="E52" s="1044">
        <v>0</v>
      </c>
      <c r="F52" s="54"/>
      <c r="G52" s="1044">
        <f>+G48</f>
        <v>48870</v>
      </c>
      <c r="H52" s="563"/>
      <c r="I52" s="563"/>
      <c r="J52" s="563"/>
      <c r="K52" s="563"/>
      <c r="L52" s="563"/>
      <c r="M52" s="563"/>
      <c r="N52" s="563"/>
      <c r="O52" s="563"/>
      <c r="P52" s="563"/>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T52" s="345"/>
      <c r="AU52" s="345"/>
      <c r="AV52" s="345"/>
      <c r="AW52" s="345"/>
      <c r="AX52" s="345"/>
      <c r="AY52" s="345"/>
      <c r="AZ52" s="345"/>
      <c r="BA52" s="345"/>
      <c r="BB52" s="345"/>
      <c r="BC52" s="345"/>
      <c r="BD52" s="345"/>
      <c r="BE52" s="345"/>
      <c r="BF52" s="345"/>
      <c r="BG52" s="345"/>
      <c r="BH52" s="345"/>
      <c r="BI52" s="345"/>
      <c r="BJ52" s="345"/>
      <c r="BK52" s="345"/>
      <c r="BL52" s="345"/>
      <c r="BM52" s="345"/>
      <c r="BN52" s="345"/>
      <c r="BO52" s="345"/>
      <c r="BP52" s="345"/>
      <c r="BQ52" s="345"/>
      <c r="BR52" s="345"/>
      <c r="BS52" s="345"/>
      <c r="BT52" s="345"/>
      <c r="BU52" s="345"/>
      <c r="BV52" s="345"/>
      <c r="BW52" s="345"/>
      <c r="BX52" s="345"/>
      <c r="BY52" s="345"/>
      <c r="BZ52" s="345"/>
      <c r="CA52" s="345"/>
      <c r="CB52" s="345"/>
      <c r="CC52" s="345"/>
      <c r="CD52" s="345"/>
      <c r="CE52" s="345"/>
      <c r="CF52" s="345"/>
      <c r="CG52" s="345"/>
      <c r="CH52" s="345"/>
      <c r="CI52" s="345"/>
      <c r="CJ52" s="345"/>
      <c r="CK52" s="345"/>
      <c r="CL52" s="345"/>
      <c r="CM52" s="345"/>
      <c r="CN52" s="345"/>
      <c r="CO52" s="345"/>
      <c r="CP52" s="345"/>
      <c r="CQ52" s="345"/>
      <c r="CR52" s="345"/>
      <c r="CS52" s="345"/>
      <c r="CT52" s="345"/>
      <c r="CU52" s="345"/>
      <c r="CV52" s="345"/>
      <c r="CW52" s="345"/>
      <c r="CX52" s="345"/>
      <c r="CY52" s="345"/>
      <c r="CZ52" s="345"/>
      <c r="DA52" s="345"/>
      <c r="DB52" s="345"/>
      <c r="DC52" s="345"/>
      <c r="DD52" s="345"/>
      <c r="DE52" s="345"/>
      <c r="DF52" s="345"/>
      <c r="DG52" s="345"/>
      <c r="DH52" s="345"/>
      <c r="DI52" s="345"/>
      <c r="DJ52" s="345"/>
      <c r="DK52" s="345"/>
      <c r="DL52" s="345"/>
      <c r="DM52" s="345"/>
      <c r="DN52" s="345"/>
      <c r="DO52" s="345"/>
      <c r="DP52" s="345"/>
      <c r="DQ52" s="345"/>
      <c r="DR52" s="345"/>
      <c r="DS52" s="345"/>
      <c r="DT52" s="345"/>
      <c r="DU52" s="345"/>
      <c r="DV52" s="345"/>
      <c r="DW52" s="345"/>
      <c r="DX52" s="345"/>
      <c r="DY52" s="345"/>
      <c r="DZ52" s="345"/>
      <c r="EA52" s="345"/>
      <c r="EB52" s="345"/>
      <c r="EC52" s="345"/>
      <c r="ED52" s="345"/>
      <c r="EE52" s="345"/>
      <c r="EF52" s="345"/>
      <c r="EG52" s="345"/>
      <c r="EH52" s="345"/>
      <c r="EI52" s="345"/>
      <c r="EJ52" s="345"/>
      <c r="EK52" s="345"/>
      <c r="EL52" s="345"/>
      <c r="EM52" s="345"/>
      <c r="EN52" s="345"/>
      <c r="EO52" s="345"/>
      <c r="EP52" s="345"/>
      <c r="EQ52" s="345"/>
      <c r="ER52" s="345"/>
      <c r="ES52" s="345"/>
      <c r="ET52" s="345"/>
      <c r="EU52" s="345"/>
      <c r="EV52" s="345"/>
      <c r="EW52" s="345"/>
      <c r="EX52" s="345"/>
      <c r="EY52" s="345"/>
      <c r="EZ52" s="345"/>
      <c r="FA52" s="345"/>
      <c r="FB52" s="345"/>
      <c r="FC52" s="345"/>
      <c r="FD52" s="345"/>
      <c r="FE52" s="345"/>
      <c r="FF52" s="345"/>
      <c r="FG52" s="345"/>
      <c r="FH52" s="345"/>
      <c r="FI52" s="345"/>
      <c r="FJ52" s="345"/>
      <c r="FK52" s="345"/>
      <c r="FL52" s="345"/>
      <c r="FM52" s="345"/>
      <c r="FN52" s="345"/>
      <c r="FO52" s="345"/>
      <c r="FP52" s="345"/>
      <c r="FQ52" s="345"/>
      <c r="FR52" s="345"/>
      <c r="FS52" s="345"/>
      <c r="FT52" s="345"/>
      <c r="FU52" s="345"/>
      <c r="FV52" s="345"/>
      <c r="FW52" s="345"/>
      <c r="FX52" s="345"/>
      <c r="FY52" s="345"/>
      <c r="FZ52" s="345"/>
      <c r="GA52" s="345"/>
      <c r="GB52" s="345"/>
      <c r="GC52" s="345"/>
      <c r="GD52" s="345"/>
      <c r="GE52" s="345"/>
      <c r="GF52" s="345"/>
      <c r="GG52" s="345"/>
      <c r="GH52" s="345"/>
      <c r="GI52" s="345"/>
      <c r="GJ52" s="345"/>
      <c r="GK52" s="345"/>
      <c r="GL52" s="345"/>
      <c r="GM52" s="345"/>
      <c r="GN52" s="345"/>
      <c r="GO52" s="345"/>
      <c r="GP52" s="345"/>
      <c r="GQ52" s="345"/>
      <c r="GR52" s="345"/>
      <c r="GS52" s="345"/>
      <c r="GT52" s="345"/>
      <c r="GU52" s="345"/>
      <c r="GV52" s="345"/>
      <c r="GW52" s="345"/>
      <c r="GX52" s="345"/>
      <c r="GY52" s="345"/>
      <c r="GZ52" s="345"/>
      <c r="HA52" s="345"/>
      <c r="HB52" s="345"/>
      <c r="HC52" s="345"/>
      <c r="HD52" s="345"/>
      <c r="HE52" s="345"/>
      <c r="HF52" s="345"/>
      <c r="HG52" s="345"/>
      <c r="HH52" s="345"/>
      <c r="HI52" s="345"/>
      <c r="HJ52" s="345"/>
      <c r="HK52" s="345"/>
      <c r="HL52" s="345"/>
      <c r="HM52" s="345"/>
      <c r="HN52" s="345"/>
    </row>
    <row r="53" spans="1:222" s="559" customFormat="1">
      <c r="A53" s="797" t="s">
        <v>438</v>
      </c>
      <c r="B53" s="557"/>
      <c r="C53" s="558"/>
      <c r="D53" s="52"/>
      <c r="E53" s="1045">
        <v>0</v>
      </c>
      <c r="F53" s="54"/>
      <c r="G53" s="1045">
        <v>-2059</v>
      </c>
      <c r="H53" s="563"/>
      <c r="I53" s="563">
        <v>2173883</v>
      </c>
      <c r="J53" s="563">
        <v>-115131</v>
      </c>
      <c r="K53" s="563"/>
      <c r="L53" s="563"/>
      <c r="M53" s="563"/>
      <c r="N53" s="563"/>
      <c r="O53" s="563"/>
      <c r="P53" s="563"/>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5"/>
      <c r="BR53" s="345"/>
      <c r="BS53" s="345"/>
      <c r="BT53" s="345"/>
      <c r="BU53" s="345"/>
      <c r="BV53" s="345"/>
      <c r="BW53" s="345"/>
      <c r="BX53" s="345"/>
      <c r="BY53" s="345"/>
      <c r="BZ53" s="345"/>
      <c r="CA53" s="345"/>
      <c r="CB53" s="345"/>
      <c r="CC53" s="345"/>
      <c r="CD53" s="345"/>
      <c r="CE53" s="345"/>
      <c r="CF53" s="345"/>
      <c r="CG53" s="345"/>
      <c r="CH53" s="345"/>
      <c r="CI53" s="345"/>
      <c r="CJ53" s="345"/>
      <c r="CK53" s="345"/>
      <c r="CL53" s="345"/>
      <c r="CM53" s="345"/>
      <c r="CN53" s="345"/>
      <c r="CO53" s="345"/>
      <c r="CP53" s="345"/>
      <c r="CQ53" s="345"/>
      <c r="CR53" s="345"/>
      <c r="CS53" s="345"/>
      <c r="CT53" s="345"/>
      <c r="CU53" s="345"/>
      <c r="CV53" s="345"/>
      <c r="CW53" s="345"/>
      <c r="CX53" s="345"/>
      <c r="CY53" s="345"/>
      <c r="CZ53" s="345"/>
      <c r="DA53" s="345"/>
      <c r="DB53" s="345"/>
      <c r="DC53" s="345"/>
      <c r="DD53" s="345"/>
      <c r="DE53" s="345"/>
      <c r="DF53" s="345"/>
      <c r="DG53" s="345"/>
      <c r="DH53" s="345"/>
      <c r="DI53" s="345"/>
      <c r="DJ53" s="345"/>
      <c r="DK53" s="345"/>
      <c r="DL53" s="345"/>
      <c r="DM53" s="345"/>
      <c r="DN53" s="345"/>
      <c r="DO53" s="345"/>
      <c r="DP53" s="345"/>
      <c r="DQ53" s="345"/>
      <c r="DR53" s="345"/>
      <c r="DS53" s="345"/>
      <c r="DT53" s="345"/>
      <c r="DU53" s="345"/>
      <c r="DV53" s="345"/>
      <c r="DW53" s="345"/>
      <c r="DX53" s="345"/>
      <c r="DY53" s="345"/>
      <c r="DZ53" s="345"/>
      <c r="EA53" s="345"/>
      <c r="EB53" s="345"/>
      <c r="EC53" s="345"/>
      <c r="ED53" s="345"/>
      <c r="EE53" s="345"/>
      <c r="EF53" s="345"/>
      <c r="EG53" s="345"/>
      <c r="EH53" s="345"/>
      <c r="EI53" s="345"/>
      <c r="EJ53" s="345"/>
      <c r="EK53" s="345"/>
      <c r="EL53" s="345"/>
      <c r="EM53" s="345"/>
      <c r="EN53" s="345"/>
      <c r="EO53" s="345"/>
      <c r="EP53" s="345"/>
      <c r="EQ53" s="345"/>
      <c r="ER53" s="345"/>
      <c r="ES53" s="345"/>
      <c r="ET53" s="345"/>
      <c r="EU53" s="345"/>
      <c r="EV53" s="345"/>
      <c r="EW53" s="345"/>
      <c r="EX53" s="345"/>
      <c r="EY53" s="345"/>
      <c r="EZ53" s="345"/>
      <c r="FA53" s="345"/>
      <c r="FB53" s="345"/>
      <c r="FC53" s="345"/>
      <c r="FD53" s="345"/>
      <c r="FE53" s="345"/>
      <c r="FF53" s="345"/>
      <c r="FG53" s="345"/>
      <c r="FH53" s="345"/>
      <c r="FI53" s="345"/>
      <c r="FJ53" s="345"/>
      <c r="FK53" s="345"/>
      <c r="FL53" s="345"/>
      <c r="FM53" s="345"/>
      <c r="FN53" s="345"/>
      <c r="FO53" s="345"/>
      <c r="FP53" s="345"/>
      <c r="FQ53" s="345"/>
      <c r="FR53" s="345"/>
      <c r="FS53" s="345"/>
      <c r="FT53" s="345"/>
      <c r="FU53" s="345"/>
      <c r="FV53" s="345"/>
      <c r="FW53" s="345"/>
      <c r="FX53" s="345"/>
      <c r="FY53" s="345"/>
      <c r="FZ53" s="345"/>
      <c r="GA53" s="345"/>
      <c r="GB53" s="345"/>
      <c r="GC53" s="345"/>
      <c r="GD53" s="345"/>
      <c r="GE53" s="345"/>
      <c r="GF53" s="345"/>
      <c r="GG53" s="345"/>
      <c r="GH53" s="345"/>
      <c r="GI53" s="345"/>
      <c r="GJ53" s="345"/>
      <c r="GK53" s="345"/>
      <c r="GL53" s="345"/>
      <c r="GM53" s="345"/>
      <c r="GN53" s="345"/>
      <c r="GO53" s="345"/>
      <c r="GP53" s="345"/>
      <c r="GQ53" s="345"/>
      <c r="GR53" s="345"/>
      <c r="GS53" s="345"/>
      <c r="GT53" s="345"/>
      <c r="GU53" s="345"/>
      <c r="GV53" s="345"/>
      <c r="GW53" s="345"/>
      <c r="GX53" s="345"/>
      <c r="GY53" s="345"/>
      <c r="GZ53" s="345"/>
      <c r="HA53" s="345"/>
      <c r="HB53" s="345"/>
      <c r="HC53" s="345"/>
      <c r="HD53" s="345"/>
      <c r="HE53" s="345"/>
      <c r="HF53" s="345"/>
      <c r="HG53" s="345"/>
      <c r="HH53" s="345"/>
      <c r="HI53" s="345"/>
      <c r="HJ53" s="345"/>
      <c r="HK53" s="345"/>
      <c r="HL53" s="345"/>
      <c r="HM53" s="345"/>
      <c r="HN53" s="345"/>
    </row>
    <row r="54" spans="1:222" s="559" customFormat="1" ht="13.8" thickBot="1">
      <c r="A54" s="797"/>
      <c r="B54" s="557"/>
      <c r="C54" s="558"/>
      <c r="D54" s="52"/>
      <c r="E54" s="1046">
        <f>SUM(E52:E53)</f>
        <v>0</v>
      </c>
      <c r="F54" s="54"/>
      <c r="G54" s="1046">
        <f>SUM(G52:G53)</f>
        <v>46811</v>
      </c>
      <c r="H54" s="563"/>
      <c r="I54" s="563"/>
      <c r="J54" s="563"/>
      <c r="K54" s="563"/>
      <c r="L54" s="563"/>
      <c r="M54" s="563"/>
      <c r="N54" s="563"/>
      <c r="O54" s="563"/>
      <c r="P54" s="563"/>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5"/>
      <c r="AU54" s="345"/>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5"/>
      <c r="CE54" s="345"/>
      <c r="CF54" s="345"/>
      <c r="CG54" s="345"/>
      <c r="CH54" s="345"/>
      <c r="CI54" s="345"/>
      <c r="CJ54" s="345"/>
      <c r="CK54" s="345"/>
      <c r="CL54" s="345"/>
      <c r="CM54" s="345"/>
      <c r="CN54" s="345"/>
      <c r="CO54" s="345"/>
      <c r="CP54" s="345"/>
      <c r="CQ54" s="345"/>
      <c r="CR54" s="345"/>
      <c r="CS54" s="345"/>
      <c r="CT54" s="345"/>
      <c r="CU54" s="345"/>
      <c r="CV54" s="345"/>
      <c r="CW54" s="345"/>
      <c r="CX54" s="345"/>
      <c r="CY54" s="345"/>
      <c r="CZ54" s="345"/>
      <c r="DA54" s="345"/>
      <c r="DB54" s="345"/>
      <c r="DC54" s="345"/>
      <c r="DD54" s="345"/>
      <c r="DE54" s="345"/>
      <c r="DF54" s="345"/>
      <c r="DG54" s="345"/>
      <c r="DH54" s="345"/>
      <c r="DI54" s="345"/>
      <c r="DJ54" s="345"/>
      <c r="DK54" s="345"/>
      <c r="DL54" s="345"/>
      <c r="DM54" s="345"/>
      <c r="DN54" s="345"/>
      <c r="DO54" s="345"/>
      <c r="DP54" s="345"/>
      <c r="DQ54" s="345"/>
      <c r="DR54" s="345"/>
      <c r="DS54" s="345"/>
      <c r="DT54" s="345"/>
      <c r="DU54" s="345"/>
      <c r="DV54" s="345"/>
      <c r="DW54" s="345"/>
      <c r="DX54" s="345"/>
      <c r="DY54" s="345"/>
      <c r="DZ54" s="345"/>
      <c r="EA54" s="345"/>
      <c r="EB54" s="345"/>
      <c r="EC54" s="345"/>
      <c r="ED54" s="345"/>
      <c r="EE54" s="345"/>
      <c r="EF54" s="345"/>
      <c r="EG54" s="345"/>
      <c r="EH54" s="345"/>
      <c r="EI54" s="345"/>
      <c r="EJ54" s="345"/>
      <c r="EK54" s="345"/>
      <c r="EL54" s="345"/>
      <c r="EM54" s="345"/>
      <c r="EN54" s="345"/>
      <c r="EO54" s="345"/>
      <c r="EP54" s="345"/>
      <c r="EQ54" s="345"/>
      <c r="ER54" s="345"/>
      <c r="ES54" s="345"/>
      <c r="ET54" s="345"/>
      <c r="EU54" s="345"/>
      <c r="EV54" s="345"/>
      <c r="EW54" s="345"/>
      <c r="EX54" s="345"/>
      <c r="EY54" s="345"/>
      <c r="EZ54" s="345"/>
      <c r="FA54" s="345"/>
      <c r="FB54" s="345"/>
      <c r="FC54" s="345"/>
      <c r="FD54" s="345"/>
      <c r="FE54" s="345"/>
      <c r="FF54" s="345"/>
      <c r="FG54" s="345"/>
      <c r="FH54" s="345"/>
      <c r="FI54" s="345"/>
      <c r="FJ54" s="345"/>
      <c r="FK54" s="345"/>
      <c r="FL54" s="345"/>
      <c r="FM54" s="345"/>
      <c r="FN54" s="345"/>
      <c r="FO54" s="345"/>
      <c r="FP54" s="345"/>
      <c r="FQ54" s="345"/>
      <c r="FR54" s="345"/>
      <c r="FS54" s="345"/>
      <c r="FT54" s="345"/>
      <c r="FU54" s="345"/>
      <c r="FV54" s="345"/>
      <c r="FW54" s="345"/>
      <c r="FX54" s="345"/>
      <c r="FY54" s="345"/>
      <c r="FZ54" s="345"/>
      <c r="GA54" s="345"/>
      <c r="GB54" s="345"/>
      <c r="GC54" s="345"/>
      <c r="GD54" s="345"/>
      <c r="GE54" s="345"/>
      <c r="GF54" s="345"/>
      <c r="GG54" s="345"/>
      <c r="GH54" s="345"/>
      <c r="GI54" s="345"/>
      <c r="GJ54" s="345"/>
      <c r="GK54" s="345"/>
      <c r="GL54" s="345"/>
      <c r="GM54" s="345"/>
      <c r="GN54" s="345"/>
      <c r="GO54" s="345"/>
      <c r="GP54" s="345"/>
      <c r="GQ54" s="345"/>
      <c r="GR54" s="345"/>
      <c r="GS54" s="345"/>
      <c r="GT54" s="345"/>
      <c r="GU54" s="345"/>
      <c r="GV54" s="345"/>
      <c r="GW54" s="345"/>
      <c r="GX54" s="345"/>
      <c r="GY54" s="345"/>
      <c r="GZ54" s="345"/>
      <c r="HA54" s="345"/>
      <c r="HB54" s="345"/>
      <c r="HC54" s="345"/>
      <c r="HD54" s="345"/>
      <c r="HE54" s="345"/>
      <c r="HF54" s="345"/>
      <c r="HG54" s="345"/>
      <c r="HH54" s="345"/>
      <c r="HI54" s="345"/>
      <c r="HJ54" s="345"/>
      <c r="HK54" s="345"/>
      <c r="HL54" s="345"/>
      <c r="HM54" s="345"/>
      <c r="HN54" s="345"/>
    </row>
    <row r="55" spans="1:222" s="559" customFormat="1" ht="13.8" thickTop="1">
      <c r="A55" s="797"/>
      <c r="B55" s="557"/>
      <c r="C55" s="558"/>
      <c r="D55" s="52"/>
      <c r="E55" s="1043"/>
      <c r="F55" s="54"/>
      <c r="G55" s="1043"/>
      <c r="H55" s="563">
        <f>+E14+E17</f>
        <v>-24832.909120000004</v>
      </c>
      <c r="I55" s="563" t="e">
        <f>+#REF!+#REF!</f>
        <v>#REF!</v>
      </c>
      <c r="J55" s="563"/>
      <c r="K55" s="563"/>
      <c r="L55" s="563"/>
      <c r="M55" s="563"/>
      <c r="N55" s="563"/>
      <c r="O55" s="563"/>
      <c r="P55" s="563"/>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c r="AP55" s="345"/>
      <c r="AQ55" s="345"/>
      <c r="AR55" s="345"/>
      <c r="AS55" s="345"/>
      <c r="AT55" s="345"/>
      <c r="AU55" s="345"/>
      <c r="AV55" s="345"/>
      <c r="AW55" s="345"/>
      <c r="AX55" s="345"/>
      <c r="AY55" s="345"/>
      <c r="AZ55" s="345"/>
      <c r="BA55" s="345"/>
      <c r="BB55" s="345"/>
      <c r="BC55" s="345"/>
      <c r="BD55" s="345"/>
      <c r="BE55" s="345"/>
      <c r="BF55" s="345"/>
      <c r="BG55" s="345"/>
      <c r="BH55" s="345"/>
      <c r="BI55" s="345"/>
      <c r="BJ55" s="345"/>
      <c r="BK55" s="345"/>
      <c r="BL55" s="345"/>
      <c r="BM55" s="345"/>
      <c r="BN55" s="345"/>
      <c r="BO55" s="345"/>
      <c r="BP55" s="345"/>
      <c r="BQ55" s="345"/>
      <c r="BR55" s="345"/>
      <c r="BS55" s="345"/>
      <c r="BT55" s="345"/>
      <c r="BU55" s="345"/>
      <c r="BV55" s="345"/>
      <c r="BW55" s="345"/>
      <c r="BX55" s="345"/>
      <c r="BY55" s="345"/>
      <c r="BZ55" s="345"/>
      <c r="CA55" s="345"/>
      <c r="CB55" s="345"/>
      <c r="CC55" s="345"/>
      <c r="CD55" s="345"/>
      <c r="CE55" s="345"/>
      <c r="CF55" s="345"/>
      <c r="CG55" s="345"/>
      <c r="CH55" s="345"/>
      <c r="CI55" s="345"/>
      <c r="CJ55" s="345"/>
      <c r="CK55" s="345"/>
      <c r="CL55" s="345"/>
      <c r="CM55" s="345"/>
      <c r="CN55" s="345"/>
      <c r="CO55" s="345"/>
      <c r="CP55" s="345"/>
      <c r="CQ55" s="345"/>
      <c r="CR55" s="345"/>
      <c r="CS55" s="345"/>
      <c r="CT55" s="345"/>
      <c r="CU55" s="345"/>
      <c r="CV55" s="345"/>
      <c r="CW55" s="345"/>
      <c r="CX55" s="345"/>
      <c r="CY55" s="345"/>
      <c r="CZ55" s="345"/>
      <c r="DA55" s="345"/>
      <c r="DB55" s="345"/>
      <c r="DC55" s="345"/>
      <c r="DD55" s="345"/>
      <c r="DE55" s="345"/>
      <c r="DF55" s="345"/>
      <c r="DG55" s="345"/>
      <c r="DH55" s="345"/>
      <c r="DI55" s="345"/>
      <c r="DJ55" s="345"/>
      <c r="DK55" s="345"/>
      <c r="DL55" s="345"/>
      <c r="DM55" s="345"/>
      <c r="DN55" s="345"/>
      <c r="DO55" s="345"/>
      <c r="DP55" s="345"/>
      <c r="DQ55" s="345"/>
      <c r="DR55" s="345"/>
      <c r="DS55" s="345"/>
      <c r="DT55" s="345"/>
      <c r="DU55" s="345"/>
      <c r="DV55" s="345"/>
      <c r="DW55" s="345"/>
      <c r="DX55" s="345"/>
      <c r="DY55" s="345"/>
      <c r="DZ55" s="345"/>
      <c r="EA55" s="345"/>
      <c r="EB55" s="345"/>
      <c r="EC55" s="345"/>
      <c r="ED55" s="345"/>
      <c r="EE55" s="345"/>
      <c r="EF55" s="345"/>
      <c r="EG55" s="345"/>
      <c r="EH55" s="345"/>
      <c r="EI55" s="345"/>
      <c r="EJ55" s="345"/>
      <c r="EK55" s="345"/>
      <c r="EL55" s="345"/>
      <c r="EM55" s="345"/>
      <c r="EN55" s="345"/>
      <c r="EO55" s="345"/>
      <c r="EP55" s="345"/>
      <c r="EQ55" s="345"/>
      <c r="ER55" s="345"/>
      <c r="ES55" s="345"/>
      <c r="ET55" s="345"/>
      <c r="EU55" s="345"/>
      <c r="EV55" s="345"/>
      <c r="EW55" s="345"/>
      <c r="EX55" s="345"/>
      <c r="EY55" s="345"/>
      <c r="EZ55" s="345"/>
      <c r="FA55" s="345"/>
      <c r="FB55" s="345"/>
      <c r="FC55" s="345"/>
      <c r="FD55" s="345"/>
      <c r="FE55" s="345"/>
      <c r="FF55" s="345"/>
      <c r="FG55" s="345"/>
      <c r="FH55" s="345"/>
      <c r="FI55" s="345"/>
      <c r="FJ55" s="345"/>
      <c r="FK55" s="345"/>
      <c r="FL55" s="345"/>
      <c r="FM55" s="345"/>
      <c r="FN55" s="345"/>
      <c r="FO55" s="345"/>
      <c r="FP55" s="345"/>
      <c r="FQ55" s="345"/>
      <c r="FR55" s="345"/>
      <c r="FS55" s="345"/>
      <c r="FT55" s="345"/>
      <c r="FU55" s="345"/>
      <c r="FV55" s="345"/>
      <c r="FW55" s="345"/>
      <c r="FX55" s="345"/>
      <c r="FY55" s="345"/>
      <c r="FZ55" s="345"/>
      <c r="GA55" s="345"/>
      <c r="GB55" s="345"/>
      <c r="GC55" s="345"/>
      <c r="GD55" s="345"/>
      <c r="GE55" s="345"/>
      <c r="GF55" s="345"/>
      <c r="GG55" s="345"/>
      <c r="GH55" s="345"/>
      <c r="GI55" s="345"/>
      <c r="GJ55" s="345"/>
      <c r="GK55" s="345"/>
      <c r="GL55" s="345"/>
      <c r="GM55" s="345"/>
      <c r="GN55" s="345"/>
      <c r="GO55" s="345"/>
      <c r="GP55" s="345"/>
      <c r="GQ55" s="345"/>
      <c r="GR55" s="345"/>
      <c r="GS55" s="345"/>
      <c r="GT55" s="345"/>
      <c r="GU55" s="345"/>
      <c r="GV55" s="345"/>
      <c r="GW55" s="345"/>
      <c r="GX55" s="345"/>
      <c r="GY55" s="345"/>
      <c r="GZ55" s="345"/>
      <c r="HA55" s="345"/>
      <c r="HB55" s="345"/>
      <c r="HC55" s="345"/>
      <c r="HD55" s="345"/>
      <c r="HE55" s="345"/>
      <c r="HF55" s="345"/>
      <c r="HG55" s="345"/>
      <c r="HH55" s="345"/>
      <c r="HI55" s="345"/>
      <c r="HJ55" s="345"/>
      <c r="HK55" s="345"/>
      <c r="HL55" s="345"/>
      <c r="HM55" s="345"/>
      <c r="HN55" s="345"/>
    </row>
    <row r="56" spans="1:222" s="559" customFormat="1">
      <c r="A56" s="837" t="s">
        <v>356</v>
      </c>
      <c r="B56" s="557"/>
      <c r="C56" s="558"/>
      <c r="D56" s="52"/>
      <c r="E56" s="1043"/>
      <c r="F56" s="54"/>
      <c r="G56" s="1043"/>
      <c r="H56" s="563">
        <v>367</v>
      </c>
      <c r="I56" s="563">
        <f>+H56</f>
        <v>367</v>
      </c>
      <c r="J56" s="563"/>
      <c r="K56" s="563"/>
      <c r="L56" s="563"/>
      <c r="M56" s="563"/>
      <c r="N56" s="563"/>
      <c r="O56" s="563"/>
      <c r="P56" s="563"/>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5"/>
      <c r="AY56" s="345"/>
      <c r="AZ56" s="345"/>
      <c r="BA56" s="345"/>
      <c r="BB56" s="345"/>
      <c r="BC56" s="345"/>
      <c r="BD56" s="345"/>
      <c r="BE56" s="345"/>
      <c r="BF56" s="345"/>
      <c r="BG56" s="345"/>
      <c r="BH56" s="345"/>
      <c r="BI56" s="345"/>
      <c r="BJ56" s="345"/>
      <c r="BK56" s="345"/>
      <c r="BL56" s="345"/>
      <c r="BM56" s="345"/>
      <c r="BN56" s="345"/>
      <c r="BO56" s="345"/>
      <c r="BP56" s="345"/>
      <c r="BQ56" s="345"/>
      <c r="BR56" s="345"/>
      <c r="BS56" s="345"/>
      <c r="BT56" s="345"/>
      <c r="BU56" s="345"/>
      <c r="BV56" s="345"/>
      <c r="BW56" s="345"/>
      <c r="BX56" s="345"/>
      <c r="BY56" s="345"/>
      <c r="BZ56" s="345"/>
      <c r="CA56" s="345"/>
      <c r="CB56" s="345"/>
      <c r="CC56" s="345"/>
      <c r="CD56" s="345"/>
      <c r="CE56" s="345"/>
      <c r="CF56" s="345"/>
      <c r="CG56" s="345"/>
      <c r="CH56" s="345"/>
      <c r="CI56" s="345"/>
      <c r="CJ56" s="345"/>
      <c r="CK56" s="345"/>
      <c r="CL56" s="345"/>
      <c r="CM56" s="345"/>
      <c r="CN56" s="345"/>
      <c r="CO56" s="345"/>
      <c r="CP56" s="345"/>
      <c r="CQ56" s="345"/>
      <c r="CR56" s="345"/>
      <c r="CS56" s="345"/>
      <c r="CT56" s="345"/>
      <c r="CU56" s="345"/>
      <c r="CV56" s="345"/>
      <c r="CW56" s="345"/>
      <c r="CX56" s="345"/>
      <c r="CY56" s="345"/>
      <c r="CZ56" s="345"/>
      <c r="DA56" s="345"/>
      <c r="DB56" s="345"/>
      <c r="DC56" s="345"/>
      <c r="DD56" s="345"/>
      <c r="DE56" s="345"/>
      <c r="DF56" s="345"/>
      <c r="DG56" s="345"/>
      <c r="DH56" s="345"/>
      <c r="DI56" s="345"/>
      <c r="DJ56" s="345"/>
      <c r="DK56" s="345"/>
      <c r="DL56" s="345"/>
      <c r="DM56" s="345"/>
      <c r="DN56" s="345"/>
      <c r="DO56" s="345"/>
      <c r="DP56" s="345"/>
      <c r="DQ56" s="345"/>
      <c r="DR56" s="345"/>
      <c r="DS56" s="345"/>
      <c r="DT56" s="345"/>
      <c r="DU56" s="345"/>
      <c r="DV56" s="345"/>
      <c r="DW56" s="345"/>
      <c r="DX56" s="345"/>
      <c r="DY56" s="345"/>
      <c r="DZ56" s="345"/>
      <c r="EA56" s="345"/>
      <c r="EB56" s="345"/>
      <c r="EC56" s="345"/>
      <c r="ED56" s="345"/>
      <c r="EE56" s="345"/>
      <c r="EF56" s="345"/>
      <c r="EG56" s="345"/>
      <c r="EH56" s="345"/>
      <c r="EI56" s="345"/>
      <c r="EJ56" s="345"/>
      <c r="EK56" s="345"/>
      <c r="EL56" s="345"/>
      <c r="EM56" s="345"/>
      <c r="EN56" s="345"/>
      <c r="EO56" s="345"/>
      <c r="EP56" s="345"/>
      <c r="EQ56" s="345"/>
      <c r="ER56" s="345"/>
      <c r="ES56" s="345"/>
      <c r="ET56" s="345"/>
      <c r="EU56" s="345"/>
      <c r="EV56" s="345"/>
      <c r="EW56" s="345"/>
      <c r="EX56" s="345"/>
      <c r="EY56" s="345"/>
      <c r="EZ56" s="345"/>
      <c r="FA56" s="345"/>
      <c r="FB56" s="345"/>
      <c r="FC56" s="345"/>
      <c r="FD56" s="345"/>
      <c r="FE56" s="345"/>
      <c r="FF56" s="345"/>
      <c r="FG56" s="345"/>
      <c r="FH56" s="345"/>
      <c r="FI56" s="345"/>
      <c r="FJ56" s="345"/>
      <c r="FK56" s="345"/>
      <c r="FL56" s="345"/>
      <c r="FM56" s="345"/>
      <c r="FN56" s="345"/>
      <c r="FO56" s="345"/>
      <c r="FP56" s="345"/>
      <c r="FQ56" s="345"/>
      <c r="FR56" s="345"/>
      <c r="FS56" s="345"/>
      <c r="FT56" s="345"/>
      <c r="FU56" s="345"/>
      <c r="FV56" s="345"/>
      <c r="FW56" s="345"/>
      <c r="FX56" s="345"/>
      <c r="FY56" s="345"/>
      <c r="FZ56" s="345"/>
      <c r="GA56" s="345"/>
      <c r="GB56" s="345"/>
      <c r="GC56" s="345"/>
      <c r="GD56" s="345"/>
      <c r="GE56" s="345"/>
      <c r="GF56" s="345"/>
      <c r="GG56" s="345"/>
      <c r="GH56" s="345"/>
      <c r="GI56" s="345"/>
      <c r="GJ56" s="345"/>
      <c r="GK56" s="345"/>
      <c r="GL56" s="345"/>
      <c r="GM56" s="345"/>
      <c r="GN56" s="345"/>
      <c r="GO56" s="345"/>
      <c r="GP56" s="345"/>
      <c r="GQ56" s="345"/>
      <c r="GR56" s="345"/>
      <c r="GS56" s="345"/>
      <c r="GT56" s="345"/>
      <c r="GU56" s="345"/>
      <c r="GV56" s="345"/>
      <c r="GW56" s="345"/>
      <c r="GX56" s="345"/>
      <c r="GY56" s="345"/>
      <c r="GZ56" s="345"/>
      <c r="HA56" s="345"/>
      <c r="HB56" s="345"/>
      <c r="HC56" s="345"/>
      <c r="HD56" s="345"/>
      <c r="HE56" s="345"/>
      <c r="HF56" s="345"/>
      <c r="HG56" s="345"/>
      <c r="HH56" s="345"/>
      <c r="HI56" s="345"/>
      <c r="HJ56" s="345"/>
      <c r="HK56" s="345"/>
      <c r="HL56" s="345"/>
      <c r="HM56" s="345"/>
      <c r="HN56" s="345"/>
    </row>
    <row r="57" spans="1:222" s="559" customFormat="1">
      <c r="A57" s="838" t="s">
        <v>439</v>
      </c>
      <c r="B57" s="557"/>
      <c r="C57" s="558"/>
      <c r="D57" s="52"/>
      <c r="E57" s="1044">
        <f>+E60</f>
        <v>0</v>
      </c>
      <c r="F57" s="54"/>
      <c r="G57" s="1044">
        <v>0</v>
      </c>
      <c r="H57" s="563">
        <f>+H55-H56</f>
        <v>-25199.909120000004</v>
      </c>
      <c r="I57" s="563" t="e">
        <f>+I55-I56</f>
        <v>#REF!</v>
      </c>
      <c r="J57" s="563"/>
      <c r="K57" s="563"/>
      <c r="L57" s="563"/>
      <c r="M57" s="563"/>
      <c r="N57" s="563"/>
      <c r="O57" s="563"/>
      <c r="P57" s="563"/>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c r="AY57" s="345"/>
      <c r="AZ57" s="345"/>
      <c r="BA57" s="345"/>
      <c r="BB57" s="345"/>
      <c r="BC57" s="345"/>
      <c r="BD57" s="345"/>
      <c r="BE57" s="345"/>
      <c r="BF57" s="345"/>
      <c r="BG57" s="345"/>
      <c r="BH57" s="345"/>
      <c r="BI57" s="345"/>
      <c r="BJ57" s="345"/>
      <c r="BK57" s="345"/>
      <c r="BL57" s="345"/>
      <c r="BM57" s="345"/>
      <c r="BN57" s="345"/>
      <c r="BO57" s="345"/>
      <c r="BP57" s="345"/>
      <c r="BQ57" s="345"/>
      <c r="BR57" s="345"/>
      <c r="BS57" s="345"/>
      <c r="BT57" s="345"/>
      <c r="BU57" s="345"/>
      <c r="BV57" s="345"/>
      <c r="BW57" s="345"/>
      <c r="BX57" s="345"/>
      <c r="BY57" s="345"/>
      <c r="BZ57" s="345"/>
      <c r="CA57" s="345"/>
      <c r="CB57" s="345"/>
      <c r="CC57" s="345"/>
      <c r="CD57" s="345"/>
      <c r="CE57" s="345"/>
      <c r="CF57" s="345"/>
      <c r="CG57" s="345"/>
      <c r="CH57" s="345"/>
      <c r="CI57" s="345"/>
      <c r="CJ57" s="345"/>
      <c r="CK57" s="345"/>
      <c r="CL57" s="345"/>
      <c r="CM57" s="345"/>
      <c r="CN57" s="345"/>
      <c r="CO57" s="345"/>
      <c r="CP57" s="345"/>
      <c r="CQ57" s="345"/>
      <c r="CR57" s="345"/>
      <c r="CS57" s="345"/>
      <c r="CT57" s="345"/>
      <c r="CU57" s="345"/>
      <c r="CV57" s="345"/>
      <c r="CW57" s="345"/>
      <c r="CX57" s="345"/>
      <c r="CY57" s="345"/>
      <c r="CZ57" s="345"/>
      <c r="DA57" s="345"/>
      <c r="DB57" s="345"/>
      <c r="DC57" s="345"/>
      <c r="DD57" s="345"/>
      <c r="DE57" s="345"/>
      <c r="DF57" s="345"/>
      <c r="DG57" s="345"/>
      <c r="DH57" s="345"/>
      <c r="DI57" s="345"/>
      <c r="DJ57" s="345"/>
      <c r="DK57" s="345"/>
      <c r="DL57" s="345"/>
      <c r="DM57" s="345"/>
      <c r="DN57" s="345"/>
      <c r="DO57" s="345"/>
      <c r="DP57" s="345"/>
      <c r="DQ57" s="345"/>
      <c r="DR57" s="345"/>
      <c r="DS57" s="345"/>
      <c r="DT57" s="345"/>
      <c r="DU57" s="345"/>
      <c r="DV57" s="345"/>
      <c r="DW57" s="345"/>
      <c r="DX57" s="345"/>
      <c r="DY57" s="345"/>
      <c r="DZ57" s="345"/>
      <c r="EA57" s="345"/>
      <c r="EB57" s="345"/>
      <c r="EC57" s="345"/>
      <c r="ED57" s="345"/>
      <c r="EE57" s="345"/>
      <c r="EF57" s="345"/>
      <c r="EG57" s="345"/>
      <c r="EH57" s="345"/>
      <c r="EI57" s="345"/>
      <c r="EJ57" s="345"/>
      <c r="EK57" s="345"/>
      <c r="EL57" s="345"/>
      <c r="EM57" s="345"/>
      <c r="EN57" s="345"/>
      <c r="EO57" s="345"/>
      <c r="EP57" s="345"/>
      <c r="EQ57" s="345"/>
      <c r="ER57" s="345"/>
      <c r="ES57" s="345"/>
      <c r="ET57" s="345"/>
      <c r="EU57" s="345"/>
      <c r="EV57" s="345"/>
      <c r="EW57" s="345"/>
      <c r="EX57" s="345"/>
      <c r="EY57" s="345"/>
      <c r="EZ57" s="345"/>
      <c r="FA57" s="345"/>
      <c r="FB57" s="345"/>
      <c r="FC57" s="345"/>
      <c r="FD57" s="345"/>
      <c r="FE57" s="345"/>
      <c r="FF57" s="345"/>
      <c r="FG57" s="345"/>
      <c r="FH57" s="345"/>
      <c r="FI57" s="345"/>
      <c r="FJ57" s="345"/>
      <c r="FK57" s="345"/>
      <c r="FL57" s="345"/>
      <c r="FM57" s="345"/>
      <c r="FN57" s="345"/>
      <c r="FO57" s="345"/>
      <c r="FP57" s="345"/>
      <c r="FQ57" s="345"/>
      <c r="FR57" s="345"/>
      <c r="FS57" s="345"/>
      <c r="FT57" s="345"/>
      <c r="FU57" s="345"/>
      <c r="FV57" s="345"/>
      <c r="FW57" s="345"/>
      <c r="FX57" s="345"/>
      <c r="FY57" s="345"/>
      <c r="FZ57" s="345"/>
      <c r="GA57" s="345"/>
      <c r="GB57" s="345"/>
      <c r="GC57" s="345"/>
      <c r="GD57" s="345"/>
      <c r="GE57" s="345"/>
      <c r="GF57" s="345"/>
      <c r="GG57" s="345"/>
      <c r="GH57" s="345"/>
      <c r="GI57" s="345"/>
      <c r="GJ57" s="345"/>
      <c r="GK57" s="345"/>
      <c r="GL57" s="345"/>
      <c r="GM57" s="345"/>
      <c r="GN57" s="345"/>
      <c r="GO57" s="345"/>
      <c r="GP57" s="345"/>
      <c r="GQ57" s="345"/>
      <c r="GR57" s="345"/>
      <c r="GS57" s="345"/>
      <c r="GT57" s="345"/>
      <c r="GU57" s="345"/>
      <c r="GV57" s="345"/>
      <c r="GW57" s="345"/>
      <c r="GX57" s="345"/>
      <c r="GY57" s="345"/>
      <c r="GZ57" s="345"/>
      <c r="HA57" s="345"/>
      <c r="HB57" s="345"/>
      <c r="HC57" s="345"/>
      <c r="HD57" s="345"/>
      <c r="HE57" s="345"/>
      <c r="HF57" s="345"/>
      <c r="HG57" s="345"/>
      <c r="HH57" s="345"/>
      <c r="HI57" s="345"/>
      <c r="HJ57" s="345"/>
      <c r="HK57" s="345"/>
      <c r="HL57" s="345"/>
      <c r="HM57" s="345"/>
      <c r="HN57" s="345"/>
    </row>
    <row r="58" spans="1:222" s="559" customFormat="1">
      <c r="A58" s="838" t="s">
        <v>440</v>
      </c>
      <c r="B58" s="557"/>
      <c r="C58" s="558"/>
      <c r="D58" s="52"/>
      <c r="E58" s="1045">
        <f>E60-E57</f>
        <v>0</v>
      </c>
      <c r="F58" s="54"/>
      <c r="G58" s="1045">
        <v>0</v>
      </c>
      <c r="H58" s="563"/>
      <c r="I58" s="563"/>
      <c r="J58" s="563"/>
      <c r="K58" s="563"/>
      <c r="L58" s="563"/>
      <c r="M58" s="563"/>
      <c r="N58" s="563"/>
      <c r="O58" s="563"/>
      <c r="P58" s="563"/>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5"/>
      <c r="AY58" s="345"/>
      <c r="AZ58" s="345"/>
      <c r="BA58" s="345"/>
      <c r="BB58" s="345"/>
      <c r="BC58" s="345"/>
      <c r="BD58" s="345"/>
      <c r="BE58" s="345"/>
      <c r="BF58" s="345"/>
      <c r="BG58" s="345"/>
      <c r="BH58" s="345"/>
      <c r="BI58" s="345"/>
      <c r="BJ58" s="345"/>
      <c r="BK58" s="345"/>
      <c r="BL58" s="345"/>
      <c r="BM58" s="345"/>
      <c r="BN58" s="345"/>
      <c r="BO58" s="345"/>
      <c r="BP58" s="345"/>
      <c r="BQ58" s="345"/>
      <c r="BR58" s="345"/>
      <c r="BS58" s="345"/>
      <c r="BT58" s="345"/>
      <c r="BU58" s="345"/>
      <c r="BV58" s="345"/>
      <c r="BW58" s="345"/>
      <c r="BX58" s="345"/>
      <c r="BY58" s="345"/>
      <c r="BZ58" s="345"/>
      <c r="CA58" s="345"/>
      <c r="CB58" s="345"/>
      <c r="CC58" s="345"/>
      <c r="CD58" s="345"/>
      <c r="CE58" s="345"/>
      <c r="CF58" s="345"/>
      <c r="CG58" s="345"/>
      <c r="CH58" s="345"/>
      <c r="CI58" s="345"/>
      <c r="CJ58" s="345"/>
      <c r="CK58" s="345"/>
      <c r="CL58" s="345"/>
      <c r="CM58" s="345"/>
      <c r="CN58" s="345"/>
      <c r="CO58" s="345"/>
      <c r="CP58" s="345"/>
      <c r="CQ58" s="345"/>
      <c r="CR58" s="345"/>
      <c r="CS58" s="345"/>
      <c r="CT58" s="345"/>
      <c r="CU58" s="345"/>
      <c r="CV58" s="345"/>
      <c r="CW58" s="345"/>
      <c r="CX58" s="345"/>
      <c r="CY58" s="345"/>
      <c r="CZ58" s="345"/>
      <c r="DA58" s="345"/>
      <c r="DB58" s="345"/>
      <c r="DC58" s="345"/>
      <c r="DD58" s="345"/>
      <c r="DE58" s="345"/>
      <c r="DF58" s="345"/>
      <c r="DG58" s="345"/>
      <c r="DH58" s="345"/>
      <c r="DI58" s="345"/>
      <c r="DJ58" s="345"/>
      <c r="DK58" s="345"/>
      <c r="DL58" s="345"/>
      <c r="DM58" s="345"/>
      <c r="DN58" s="345"/>
      <c r="DO58" s="345"/>
      <c r="DP58" s="345"/>
      <c r="DQ58" s="345"/>
      <c r="DR58" s="345"/>
      <c r="DS58" s="345"/>
      <c r="DT58" s="345"/>
      <c r="DU58" s="345"/>
      <c r="DV58" s="345"/>
      <c r="DW58" s="345"/>
      <c r="DX58" s="345"/>
      <c r="DY58" s="345"/>
      <c r="DZ58" s="345"/>
      <c r="EA58" s="345"/>
      <c r="EB58" s="345"/>
      <c r="EC58" s="345"/>
      <c r="ED58" s="345"/>
      <c r="EE58" s="345"/>
      <c r="EF58" s="345"/>
      <c r="EG58" s="345"/>
      <c r="EH58" s="345"/>
      <c r="EI58" s="345"/>
      <c r="EJ58" s="345"/>
      <c r="EK58" s="345"/>
      <c r="EL58" s="345"/>
      <c r="EM58" s="345"/>
      <c r="EN58" s="345"/>
      <c r="EO58" s="345"/>
      <c r="EP58" s="345"/>
      <c r="EQ58" s="345"/>
      <c r="ER58" s="345"/>
      <c r="ES58" s="345"/>
      <c r="ET58" s="345"/>
      <c r="EU58" s="345"/>
      <c r="EV58" s="345"/>
      <c r="EW58" s="345"/>
      <c r="EX58" s="345"/>
      <c r="EY58" s="345"/>
      <c r="EZ58" s="345"/>
      <c r="FA58" s="345"/>
      <c r="FB58" s="345"/>
      <c r="FC58" s="345"/>
      <c r="FD58" s="345"/>
      <c r="FE58" s="345"/>
      <c r="FF58" s="345"/>
      <c r="FG58" s="345"/>
      <c r="FH58" s="345"/>
      <c r="FI58" s="345"/>
      <c r="FJ58" s="345"/>
      <c r="FK58" s="345"/>
      <c r="FL58" s="345"/>
      <c r="FM58" s="345"/>
      <c r="FN58" s="345"/>
      <c r="FO58" s="345"/>
      <c r="FP58" s="345"/>
      <c r="FQ58" s="345"/>
      <c r="FR58" s="345"/>
      <c r="FS58" s="345"/>
      <c r="FT58" s="345"/>
      <c r="FU58" s="345"/>
      <c r="FV58" s="345"/>
      <c r="FW58" s="345"/>
      <c r="FX58" s="345"/>
      <c r="FY58" s="345"/>
      <c r="FZ58" s="345"/>
      <c r="GA58" s="345"/>
      <c r="GB58" s="345"/>
      <c r="GC58" s="345"/>
      <c r="GD58" s="345"/>
      <c r="GE58" s="345"/>
      <c r="GF58" s="345"/>
      <c r="GG58" s="345"/>
      <c r="GH58" s="345"/>
      <c r="GI58" s="345"/>
      <c r="GJ58" s="345"/>
      <c r="GK58" s="345"/>
      <c r="GL58" s="345"/>
      <c r="GM58" s="345"/>
      <c r="GN58" s="345"/>
      <c r="GO58" s="345"/>
      <c r="GP58" s="345"/>
      <c r="GQ58" s="345"/>
      <c r="GR58" s="345"/>
      <c r="GS58" s="345"/>
      <c r="GT58" s="345"/>
      <c r="GU58" s="345"/>
      <c r="GV58" s="345"/>
      <c r="GW58" s="345"/>
      <c r="GX58" s="345"/>
      <c r="GY58" s="345"/>
      <c r="GZ58" s="345"/>
      <c r="HA58" s="345"/>
      <c r="HB58" s="345"/>
      <c r="HC58" s="345"/>
      <c r="HD58" s="345"/>
      <c r="HE58" s="345"/>
      <c r="HF58" s="345"/>
      <c r="HG58" s="345"/>
      <c r="HH58" s="345"/>
      <c r="HI58" s="345"/>
      <c r="HJ58" s="345"/>
      <c r="HK58" s="345"/>
      <c r="HL58" s="345"/>
      <c r="HM58" s="345"/>
      <c r="HN58" s="345"/>
    </row>
    <row r="59" spans="1:222" s="559" customFormat="1">
      <c r="A59" s="539"/>
      <c r="B59" s="557"/>
      <c r="C59" s="558"/>
      <c r="D59" s="52"/>
      <c r="E59" s="1043"/>
      <c r="F59" s="54"/>
      <c r="G59" s="1043"/>
      <c r="H59" s="563"/>
      <c r="I59" s="563"/>
      <c r="J59" s="563"/>
      <c r="K59" s="563"/>
      <c r="L59" s="563"/>
      <c r="M59" s="563"/>
      <c r="N59" s="563"/>
      <c r="O59" s="563"/>
      <c r="P59" s="563"/>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45"/>
      <c r="AY59" s="345"/>
      <c r="AZ59" s="345"/>
      <c r="BA59" s="345"/>
      <c r="BB59" s="345"/>
      <c r="BC59" s="345"/>
      <c r="BD59" s="345"/>
      <c r="BE59" s="345"/>
      <c r="BF59" s="345"/>
      <c r="BG59" s="345"/>
      <c r="BH59" s="345"/>
      <c r="BI59" s="345"/>
      <c r="BJ59" s="345"/>
      <c r="BK59" s="345"/>
      <c r="BL59" s="345"/>
      <c r="BM59" s="345"/>
      <c r="BN59" s="345"/>
      <c r="BO59" s="345"/>
      <c r="BP59" s="345"/>
      <c r="BQ59" s="345"/>
      <c r="BR59" s="345"/>
      <c r="BS59" s="345"/>
      <c r="BT59" s="345"/>
      <c r="BU59" s="345"/>
      <c r="BV59" s="345"/>
      <c r="BW59" s="345"/>
      <c r="BX59" s="345"/>
      <c r="BY59" s="345"/>
      <c r="BZ59" s="345"/>
      <c r="CA59" s="345"/>
      <c r="CB59" s="345"/>
      <c r="CC59" s="345"/>
      <c r="CD59" s="345"/>
      <c r="CE59" s="345"/>
      <c r="CF59" s="345"/>
      <c r="CG59" s="345"/>
      <c r="CH59" s="345"/>
      <c r="CI59" s="345"/>
      <c r="CJ59" s="345"/>
      <c r="CK59" s="345"/>
      <c r="CL59" s="345"/>
      <c r="CM59" s="345"/>
      <c r="CN59" s="345"/>
      <c r="CO59" s="345"/>
      <c r="CP59" s="345"/>
      <c r="CQ59" s="345"/>
      <c r="CR59" s="345"/>
      <c r="CS59" s="345"/>
      <c r="CT59" s="345"/>
      <c r="CU59" s="345"/>
      <c r="CV59" s="345"/>
      <c r="CW59" s="345"/>
      <c r="CX59" s="345"/>
      <c r="CY59" s="345"/>
      <c r="CZ59" s="345"/>
      <c r="DA59" s="345"/>
      <c r="DB59" s="345"/>
      <c r="DC59" s="345"/>
      <c r="DD59" s="345"/>
      <c r="DE59" s="345"/>
      <c r="DF59" s="345"/>
      <c r="DG59" s="345"/>
      <c r="DH59" s="345"/>
      <c r="DI59" s="345"/>
      <c r="DJ59" s="345"/>
      <c r="DK59" s="345"/>
      <c r="DL59" s="345"/>
      <c r="DM59" s="345"/>
      <c r="DN59" s="345"/>
      <c r="DO59" s="345"/>
      <c r="DP59" s="345"/>
      <c r="DQ59" s="345"/>
      <c r="DR59" s="345"/>
      <c r="DS59" s="345"/>
      <c r="DT59" s="345"/>
      <c r="DU59" s="345"/>
      <c r="DV59" s="345"/>
      <c r="DW59" s="345"/>
      <c r="DX59" s="345"/>
      <c r="DY59" s="345"/>
      <c r="DZ59" s="345"/>
      <c r="EA59" s="345"/>
      <c r="EB59" s="345"/>
      <c r="EC59" s="345"/>
      <c r="ED59" s="345"/>
      <c r="EE59" s="345"/>
      <c r="EF59" s="345"/>
      <c r="EG59" s="345"/>
      <c r="EH59" s="345"/>
      <c r="EI59" s="345"/>
      <c r="EJ59" s="345"/>
      <c r="EK59" s="345"/>
      <c r="EL59" s="345"/>
      <c r="EM59" s="345"/>
      <c r="EN59" s="345"/>
      <c r="EO59" s="345"/>
      <c r="EP59" s="345"/>
      <c r="EQ59" s="345"/>
      <c r="ER59" s="345"/>
      <c r="ES59" s="345"/>
      <c r="ET59" s="345"/>
      <c r="EU59" s="345"/>
      <c r="EV59" s="345"/>
      <c r="EW59" s="345"/>
      <c r="EX59" s="345"/>
      <c r="EY59" s="345"/>
      <c r="EZ59" s="345"/>
      <c r="FA59" s="345"/>
      <c r="FB59" s="345"/>
      <c r="FC59" s="345"/>
      <c r="FD59" s="345"/>
      <c r="FE59" s="345"/>
      <c r="FF59" s="345"/>
      <c r="FG59" s="345"/>
      <c r="FH59" s="345"/>
      <c r="FI59" s="345"/>
      <c r="FJ59" s="345"/>
      <c r="FK59" s="345"/>
      <c r="FL59" s="345"/>
      <c r="FM59" s="345"/>
      <c r="FN59" s="345"/>
      <c r="FO59" s="345"/>
      <c r="FP59" s="345"/>
      <c r="FQ59" s="345"/>
      <c r="FR59" s="345"/>
      <c r="FS59" s="345"/>
      <c r="FT59" s="345"/>
      <c r="FU59" s="345"/>
      <c r="FV59" s="345"/>
      <c r="FW59" s="345"/>
      <c r="FX59" s="345"/>
      <c r="FY59" s="345"/>
      <c r="FZ59" s="345"/>
      <c r="GA59" s="345"/>
      <c r="GB59" s="345"/>
      <c r="GC59" s="345"/>
      <c r="GD59" s="345"/>
      <c r="GE59" s="345"/>
      <c r="GF59" s="345"/>
      <c r="GG59" s="345"/>
      <c r="GH59" s="345"/>
      <c r="GI59" s="345"/>
      <c r="GJ59" s="345"/>
      <c r="GK59" s="345"/>
      <c r="GL59" s="345"/>
      <c r="GM59" s="345"/>
      <c r="GN59" s="345"/>
      <c r="GO59" s="345"/>
      <c r="GP59" s="345"/>
      <c r="GQ59" s="345"/>
      <c r="GR59" s="345"/>
      <c r="GS59" s="345"/>
      <c r="GT59" s="345"/>
      <c r="GU59" s="345"/>
      <c r="GV59" s="345"/>
      <c r="GW59" s="345"/>
      <c r="GX59" s="345"/>
      <c r="GY59" s="345"/>
      <c r="GZ59" s="345"/>
      <c r="HA59" s="345"/>
      <c r="HB59" s="345"/>
      <c r="HC59" s="345"/>
      <c r="HD59" s="345"/>
      <c r="HE59" s="345"/>
      <c r="HF59" s="345"/>
      <c r="HG59" s="345"/>
      <c r="HH59" s="345"/>
      <c r="HI59" s="345"/>
      <c r="HJ59" s="345"/>
      <c r="HK59" s="345"/>
      <c r="HL59" s="345"/>
      <c r="HM59" s="345"/>
      <c r="HN59" s="345"/>
    </row>
    <row r="60" spans="1:222" s="716" customFormat="1" ht="21" customHeight="1" thickBot="1">
      <c r="A60" s="604" t="s">
        <v>349</v>
      </c>
      <c r="B60" s="711"/>
      <c r="C60" s="712"/>
      <c r="D60" s="713"/>
      <c r="E60" s="792">
        <f>+E54</f>
        <v>0</v>
      </c>
      <c r="F60" s="717"/>
      <c r="G60" s="792">
        <f>+G54</f>
        <v>46811</v>
      </c>
      <c r="H60" s="715"/>
      <c r="I60" s="715"/>
      <c r="J60" s="715"/>
      <c r="K60" s="715"/>
      <c r="L60" s="715"/>
      <c r="M60" s="715"/>
      <c r="N60" s="715"/>
      <c r="O60" s="715"/>
      <c r="P60" s="715"/>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3"/>
      <c r="BR60" s="203"/>
      <c r="BS60" s="203"/>
      <c r="BT60" s="203"/>
      <c r="BU60" s="203"/>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c r="CU60" s="203"/>
      <c r="CV60" s="203"/>
      <c r="CW60" s="203"/>
      <c r="CX60" s="203"/>
      <c r="CY60" s="203"/>
      <c r="CZ60" s="203"/>
      <c r="DA60" s="203"/>
      <c r="DB60" s="203"/>
      <c r="DC60" s="203"/>
      <c r="DD60" s="203"/>
      <c r="DE60" s="203"/>
      <c r="DF60" s="203"/>
      <c r="DG60" s="203"/>
      <c r="DH60" s="203"/>
      <c r="DI60" s="203"/>
      <c r="DJ60" s="203"/>
      <c r="DK60" s="203"/>
      <c r="DL60" s="203"/>
      <c r="DM60" s="203"/>
      <c r="DN60" s="203"/>
      <c r="DO60" s="203"/>
      <c r="DP60" s="203"/>
      <c r="DQ60" s="203"/>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c r="EO60" s="203"/>
      <c r="EP60" s="203"/>
      <c r="EQ60" s="203"/>
      <c r="ER60" s="203"/>
      <c r="ES60" s="203"/>
      <c r="ET60" s="203"/>
      <c r="EU60" s="203"/>
      <c r="EV60" s="203"/>
      <c r="EW60" s="203"/>
      <c r="EX60" s="203"/>
      <c r="EY60" s="203"/>
      <c r="EZ60" s="203"/>
      <c r="FA60" s="203"/>
      <c r="FB60" s="203"/>
      <c r="FC60" s="203"/>
      <c r="FD60" s="203"/>
      <c r="FE60" s="203"/>
      <c r="FF60" s="203"/>
      <c r="FG60" s="203"/>
      <c r="FH60" s="203"/>
      <c r="FI60" s="203"/>
      <c r="FJ60" s="203"/>
      <c r="FK60" s="203"/>
      <c r="FL60" s="203"/>
      <c r="FM60" s="203"/>
      <c r="FN60" s="203"/>
      <c r="FO60" s="203"/>
      <c r="FP60" s="203"/>
      <c r="FQ60" s="203"/>
      <c r="FR60" s="203"/>
      <c r="FS60" s="203"/>
      <c r="FT60" s="203"/>
      <c r="FU60" s="203"/>
      <c r="FV60" s="203"/>
      <c r="FW60" s="203"/>
      <c r="FX60" s="203"/>
      <c r="FY60" s="203"/>
      <c r="FZ60" s="203"/>
      <c r="GA60" s="203"/>
      <c r="GB60" s="203"/>
      <c r="GC60" s="203"/>
      <c r="GD60" s="203"/>
      <c r="GE60" s="203"/>
      <c r="GF60" s="203"/>
      <c r="GG60" s="203"/>
      <c r="GH60" s="203"/>
      <c r="GI60" s="203"/>
      <c r="GJ60" s="203"/>
      <c r="GK60" s="203"/>
      <c r="GL60" s="203"/>
      <c r="GM60" s="203"/>
      <c r="GN60" s="203"/>
      <c r="GO60" s="203"/>
      <c r="GP60" s="203"/>
      <c r="GQ60" s="203"/>
      <c r="GR60" s="203"/>
      <c r="GS60" s="203"/>
      <c r="GT60" s="203"/>
      <c r="GU60" s="203"/>
      <c r="GV60" s="203"/>
      <c r="GW60" s="203"/>
      <c r="GX60" s="203"/>
      <c r="GY60" s="203"/>
      <c r="GZ60" s="203"/>
      <c r="HA60" s="203"/>
      <c r="HB60" s="203"/>
      <c r="HC60" s="203"/>
      <c r="HD60" s="203"/>
      <c r="HE60" s="203"/>
      <c r="HF60" s="203"/>
      <c r="HG60" s="203"/>
      <c r="HH60" s="203"/>
      <c r="HI60" s="203"/>
      <c r="HJ60" s="203"/>
      <c r="HK60" s="203"/>
      <c r="HL60" s="203"/>
      <c r="HM60" s="203"/>
      <c r="HN60" s="203"/>
    </row>
    <row r="61" spans="1:222" s="559" customFormat="1" ht="13.8" thickTop="1">
      <c r="A61" s="53"/>
      <c r="B61" s="557"/>
      <c r="C61" s="558"/>
      <c r="D61" s="52"/>
      <c r="E61" s="54"/>
      <c r="F61" s="54"/>
      <c r="G61" s="1043"/>
      <c r="H61" s="563"/>
      <c r="I61" s="563"/>
      <c r="J61" s="563"/>
      <c r="K61" s="563"/>
      <c r="L61" s="563"/>
      <c r="M61" s="563"/>
      <c r="N61" s="563"/>
      <c r="O61" s="563"/>
      <c r="P61" s="563"/>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45"/>
      <c r="AY61" s="345"/>
      <c r="AZ61" s="345"/>
      <c r="BA61" s="345"/>
      <c r="BB61" s="345"/>
      <c r="BC61" s="345"/>
      <c r="BD61" s="345"/>
      <c r="BE61" s="345"/>
      <c r="BF61" s="345"/>
      <c r="BG61" s="345"/>
      <c r="BH61" s="345"/>
      <c r="BI61" s="345"/>
      <c r="BJ61" s="345"/>
      <c r="BK61" s="345"/>
      <c r="BL61" s="345"/>
      <c r="BM61" s="345"/>
      <c r="BN61" s="345"/>
      <c r="BO61" s="345"/>
      <c r="BP61" s="345"/>
      <c r="BQ61" s="345"/>
      <c r="BR61" s="345"/>
      <c r="BS61" s="345"/>
      <c r="BT61" s="345"/>
      <c r="BU61" s="345"/>
      <c r="BV61" s="345"/>
      <c r="BW61" s="345"/>
      <c r="BX61" s="345"/>
      <c r="BY61" s="345"/>
      <c r="BZ61" s="345"/>
      <c r="CA61" s="345"/>
      <c r="CB61" s="345"/>
      <c r="CC61" s="345"/>
      <c r="CD61" s="345"/>
      <c r="CE61" s="345"/>
      <c r="CF61" s="345"/>
      <c r="CG61" s="345"/>
      <c r="CH61" s="345"/>
      <c r="CI61" s="345"/>
      <c r="CJ61" s="345"/>
      <c r="CK61" s="345"/>
      <c r="CL61" s="345"/>
      <c r="CM61" s="345"/>
      <c r="CN61" s="345"/>
      <c r="CO61" s="345"/>
      <c r="CP61" s="345"/>
      <c r="CQ61" s="345"/>
      <c r="CR61" s="345"/>
      <c r="CS61" s="345"/>
      <c r="CT61" s="345"/>
      <c r="CU61" s="345"/>
      <c r="CV61" s="345"/>
      <c r="CW61" s="345"/>
      <c r="CX61" s="345"/>
      <c r="CY61" s="345"/>
      <c r="CZ61" s="345"/>
      <c r="DA61" s="345"/>
      <c r="DB61" s="345"/>
      <c r="DC61" s="345"/>
      <c r="DD61" s="345"/>
      <c r="DE61" s="345"/>
      <c r="DF61" s="345"/>
      <c r="DG61" s="345"/>
      <c r="DH61" s="345"/>
      <c r="DI61" s="345"/>
      <c r="DJ61" s="345"/>
      <c r="DK61" s="345"/>
      <c r="DL61" s="345"/>
      <c r="DM61" s="345"/>
      <c r="DN61" s="345"/>
      <c r="DO61" s="345"/>
      <c r="DP61" s="345"/>
      <c r="DQ61" s="345"/>
      <c r="DR61" s="345"/>
      <c r="DS61" s="345"/>
      <c r="DT61" s="345"/>
      <c r="DU61" s="345"/>
      <c r="DV61" s="345"/>
      <c r="DW61" s="345"/>
      <c r="DX61" s="345"/>
      <c r="DY61" s="345"/>
      <c r="DZ61" s="345"/>
      <c r="EA61" s="345"/>
      <c r="EB61" s="345"/>
      <c r="EC61" s="345"/>
      <c r="ED61" s="345"/>
      <c r="EE61" s="345"/>
      <c r="EF61" s="345"/>
      <c r="EG61" s="345"/>
      <c r="EH61" s="345"/>
      <c r="EI61" s="345"/>
      <c r="EJ61" s="345"/>
      <c r="EK61" s="345"/>
      <c r="EL61" s="345"/>
      <c r="EM61" s="345"/>
      <c r="EN61" s="345"/>
      <c r="EO61" s="345"/>
      <c r="EP61" s="345"/>
      <c r="EQ61" s="345"/>
      <c r="ER61" s="345"/>
      <c r="ES61" s="345"/>
      <c r="ET61" s="345"/>
      <c r="EU61" s="345"/>
      <c r="EV61" s="345"/>
      <c r="EW61" s="345"/>
      <c r="EX61" s="345"/>
      <c r="EY61" s="345"/>
      <c r="EZ61" s="345"/>
      <c r="FA61" s="345"/>
      <c r="FB61" s="345"/>
      <c r="FC61" s="345"/>
      <c r="FD61" s="345"/>
      <c r="FE61" s="345"/>
      <c r="FF61" s="345"/>
      <c r="FG61" s="345"/>
      <c r="FH61" s="345"/>
      <c r="FI61" s="345"/>
      <c r="FJ61" s="345"/>
      <c r="FK61" s="345"/>
      <c r="FL61" s="345"/>
      <c r="FM61" s="345"/>
      <c r="FN61" s="345"/>
      <c r="FO61" s="345"/>
      <c r="FP61" s="345"/>
      <c r="FQ61" s="345"/>
      <c r="FR61" s="345"/>
      <c r="FS61" s="345"/>
      <c r="FT61" s="345"/>
      <c r="FU61" s="345"/>
      <c r="FV61" s="345"/>
      <c r="FW61" s="345"/>
      <c r="FX61" s="345"/>
      <c r="FY61" s="345"/>
      <c r="FZ61" s="345"/>
      <c r="GA61" s="345"/>
      <c r="GB61" s="345"/>
      <c r="GC61" s="345"/>
      <c r="GD61" s="345"/>
      <c r="GE61" s="345"/>
      <c r="GF61" s="345"/>
      <c r="GG61" s="345"/>
      <c r="GH61" s="345"/>
      <c r="GI61" s="345"/>
      <c r="GJ61" s="345"/>
      <c r="GK61" s="345"/>
      <c r="GL61" s="345"/>
      <c r="GM61" s="345"/>
      <c r="GN61" s="345"/>
      <c r="GO61" s="345"/>
      <c r="GP61" s="345"/>
      <c r="GQ61" s="345"/>
      <c r="GR61" s="345"/>
      <c r="GS61" s="345"/>
      <c r="GT61" s="345"/>
      <c r="GU61" s="345"/>
      <c r="GV61" s="345"/>
      <c r="GW61" s="345"/>
      <c r="GX61" s="345"/>
      <c r="GY61" s="345"/>
      <c r="GZ61" s="345"/>
      <c r="HA61" s="345"/>
      <c r="HB61" s="345"/>
      <c r="HC61" s="345"/>
      <c r="HD61" s="345"/>
      <c r="HE61" s="345"/>
      <c r="HF61" s="345"/>
      <c r="HG61" s="345"/>
      <c r="HH61" s="345"/>
      <c r="HI61" s="345"/>
      <c r="HJ61" s="345"/>
      <c r="HK61" s="345"/>
      <c r="HL61" s="345"/>
      <c r="HM61" s="345"/>
      <c r="HN61" s="345"/>
    </row>
    <row r="62" spans="1:222">
      <c r="A62" s="48" t="s">
        <v>649</v>
      </c>
      <c r="B62" s="557"/>
      <c r="C62" s="558"/>
      <c r="D62" s="564" t="str">
        <f>'7- 15'!A77</f>
        <v>15.</v>
      </c>
      <c r="E62" s="565"/>
      <c r="F62" s="565"/>
      <c r="G62" s="565"/>
      <c r="H62" s="565"/>
      <c r="I62" s="565"/>
      <c r="J62" s="565"/>
      <c r="K62" s="565"/>
      <c r="L62" s="565"/>
      <c r="M62" s="565"/>
      <c r="N62" s="565"/>
      <c r="O62" s="565"/>
      <c r="P62" s="56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5"/>
      <c r="AY62" s="345"/>
      <c r="AZ62" s="345"/>
      <c r="BA62" s="345"/>
      <c r="BB62" s="345"/>
      <c r="BC62" s="345"/>
      <c r="BD62" s="345"/>
      <c r="BE62" s="345"/>
      <c r="BF62" s="345"/>
      <c r="BG62" s="345"/>
      <c r="BH62" s="345"/>
      <c r="BI62" s="345"/>
      <c r="BJ62" s="345"/>
      <c r="BK62" s="345"/>
      <c r="BL62" s="345"/>
      <c r="BM62" s="345"/>
      <c r="BN62" s="345"/>
      <c r="BO62" s="345"/>
      <c r="BP62" s="345"/>
      <c r="BQ62" s="345"/>
      <c r="BR62" s="345"/>
      <c r="BS62" s="345"/>
      <c r="BT62" s="345"/>
      <c r="BU62" s="345"/>
      <c r="BV62" s="345"/>
      <c r="BW62" s="345"/>
      <c r="BX62" s="345"/>
      <c r="BY62" s="345"/>
      <c r="BZ62" s="345"/>
      <c r="CA62" s="345"/>
      <c r="CB62" s="345"/>
      <c r="CC62" s="345"/>
      <c r="CD62" s="345"/>
      <c r="CE62" s="345"/>
      <c r="CF62" s="345"/>
      <c r="CG62" s="345"/>
      <c r="CH62" s="345"/>
      <c r="CI62" s="345"/>
      <c r="CJ62" s="345"/>
      <c r="CK62" s="345"/>
      <c r="CL62" s="345"/>
      <c r="CM62" s="345"/>
      <c r="CN62" s="345"/>
      <c r="CO62" s="345"/>
      <c r="CP62" s="345"/>
      <c r="CQ62" s="345"/>
      <c r="CR62" s="345"/>
      <c r="CS62" s="345"/>
      <c r="CT62" s="345"/>
      <c r="CU62" s="345"/>
      <c r="CV62" s="345"/>
      <c r="CW62" s="345"/>
      <c r="CX62" s="345"/>
      <c r="CY62" s="345"/>
      <c r="CZ62" s="345"/>
      <c r="DA62" s="345"/>
      <c r="DB62" s="345"/>
      <c r="DC62" s="345"/>
      <c r="DD62" s="345"/>
      <c r="DE62" s="345"/>
      <c r="DF62" s="345"/>
      <c r="DG62" s="345"/>
      <c r="DH62" s="345"/>
      <c r="DI62" s="345"/>
      <c r="DJ62" s="345"/>
      <c r="DK62" s="345"/>
      <c r="DL62" s="345"/>
      <c r="DM62" s="345"/>
      <c r="DN62" s="345"/>
      <c r="DO62" s="345"/>
      <c r="DP62" s="345"/>
      <c r="DQ62" s="345"/>
      <c r="DR62" s="345"/>
      <c r="DS62" s="345"/>
      <c r="DT62" s="345"/>
      <c r="DU62" s="345"/>
      <c r="DV62" s="345"/>
      <c r="DW62" s="345"/>
      <c r="DX62" s="345"/>
      <c r="DY62" s="345"/>
      <c r="DZ62" s="345"/>
      <c r="EA62" s="345"/>
      <c r="EB62" s="345"/>
      <c r="EC62" s="345"/>
      <c r="ED62" s="345"/>
      <c r="EE62" s="345"/>
      <c r="EF62" s="345"/>
      <c r="EG62" s="345"/>
      <c r="EH62" s="345"/>
      <c r="EI62" s="345"/>
      <c r="EJ62" s="345"/>
      <c r="EK62" s="345"/>
      <c r="EL62" s="345"/>
      <c r="EM62" s="345"/>
      <c r="EN62" s="345"/>
      <c r="EO62" s="345"/>
      <c r="EP62" s="345"/>
      <c r="EQ62" s="345"/>
      <c r="ER62" s="345"/>
      <c r="ES62" s="345"/>
      <c r="ET62" s="345"/>
      <c r="EU62" s="345"/>
      <c r="EV62" s="345"/>
      <c r="EW62" s="345"/>
      <c r="EX62" s="345"/>
      <c r="EY62" s="345"/>
      <c r="EZ62" s="345"/>
      <c r="FA62" s="345"/>
      <c r="FB62" s="345"/>
      <c r="FC62" s="345"/>
      <c r="FD62" s="345"/>
      <c r="FE62" s="345"/>
      <c r="FF62" s="345"/>
      <c r="FG62" s="345"/>
      <c r="FH62" s="345"/>
      <c r="FI62" s="345"/>
      <c r="FJ62" s="345"/>
      <c r="FK62" s="345"/>
      <c r="FL62" s="345"/>
      <c r="FM62" s="345"/>
      <c r="FN62" s="345"/>
      <c r="FO62" s="345"/>
      <c r="FP62" s="345"/>
      <c r="FQ62" s="345"/>
      <c r="FR62" s="345"/>
      <c r="FS62" s="345"/>
      <c r="FT62" s="345"/>
      <c r="FU62" s="345"/>
      <c r="FV62" s="345"/>
      <c r="FW62" s="345"/>
      <c r="FX62" s="345"/>
      <c r="FY62" s="345"/>
      <c r="FZ62" s="345"/>
      <c r="GA62" s="345"/>
      <c r="GB62" s="345"/>
      <c r="GC62" s="345"/>
      <c r="GD62" s="345"/>
      <c r="GE62" s="345"/>
      <c r="GF62" s="345"/>
      <c r="GG62" s="345"/>
      <c r="GH62" s="345"/>
      <c r="GI62" s="345"/>
      <c r="GJ62" s="345"/>
      <c r="GK62" s="345"/>
      <c r="GL62" s="345"/>
      <c r="GM62" s="345"/>
      <c r="GN62" s="345"/>
      <c r="GO62" s="345"/>
      <c r="GP62" s="345"/>
      <c r="GQ62" s="345"/>
      <c r="GR62" s="345"/>
      <c r="GS62" s="345"/>
      <c r="GT62" s="345"/>
      <c r="GU62" s="345"/>
      <c r="GV62" s="345"/>
      <c r="GW62" s="345"/>
      <c r="GX62" s="345"/>
      <c r="GY62" s="345"/>
      <c r="GZ62" s="345"/>
      <c r="HA62" s="345"/>
      <c r="HB62" s="345"/>
      <c r="HC62" s="345"/>
      <c r="HD62" s="345"/>
      <c r="HE62" s="345"/>
      <c r="HF62" s="345"/>
      <c r="HG62" s="345"/>
      <c r="HH62" s="345"/>
      <c r="HI62" s="345"/>
      <c r="HJ62" s="345"/>
      <c r="HK62" s="345"/>
      <c r="HL62" s="345"/>
      <c r="HM62" s="345"/>
      <c r="HN62" s="345"/>
    </row>
    <row r="63" spans="1:222">
      <c r="A63" s="55"/>
      <c r="B63" s="557"/>
      <c r="C63" s="558"/>
      <c r="D63" s="51"/>
      <c r="E63" s="565"/>
      <c r="F63" s="565"/>
      <c r="G63" s="565"/>
      <c r="H63" s="565"/>
      <c r="I63" s="565"/>
      <c r="J63" s="565"/>
      <c r="K63" s="565"/>
      <c r="L63" s="565"/>
      <c r="M63" s="565"/>
      <c r="N63" s="565"/>
      <c r="O63" s="565"/>
      <c r="P63" s="565"/>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c r="AP63" s="345"/>
      <c r="AQ63" s="345"/>
      <c r="AR63" s="345"/>
      <c r="AS63" s="345"/>
      <c r="AT63" s="345"/>
      <c r="AU63" s="345"/>
      <c r="AV63" s="345"/>
      <c r="AW63" s="345"/>
      <c r="AX63" s="345"/>
      <c r="AY63" s="345"/>
      <c r="AZ63" s="345"/>
      <c r="BA63" s="345"/>
      <c r="BB63" s="345"/>
      <c r="BC63" s="345"/>
      <c r="BD63" s="345"/>
      <c r="BE63" s="345"/>
      <c r="BF63" s="345"/>
      <c r="BG63" s="345"/>
      <c r="BH63" s="345"/>
      <c r="BI63" s="345"/>
      <c r="BJ63" s="345"/>
      <c r="BK63" s="345"/>
      <c r="BL63" s="345"/>
      <c r="BM63" s="345"/>
      <c r="BN63" s="345"/>
      <c r="BO63" s="345"/>
      <c r="BP63" s="345"/>
      <c r="BQ63" s="345"/>
      <c r="BR63" s="345"/>
      <c r="BS63" s="345"/>
      <c r="BT63" s="345"/>
      <c r="BU63" s="345"/>
      <c r="BV63" s="345"/>
      <c r="BW63" s="345"/>
      <c r="BX63" s="345"/>
      <c r="BY63" s="345"/>
      <c r="BZ63" s="345"/>
      <c r="CA63" s="345"/>
      <c r="CB63" s="345"/>
      <c r="CC63" s="345"/>
      <c r="CD63" s="345"/>
      <c r="CE63" s="345"/>
      <c r="CF63" s="345"/>
      <c r="CG63" s="345"/>
      <c r="CH63" s="345"/>
      <c r="CI63" s="345"/>
      <c r="CJ63" s="345"/>
      <c r="CK63" s="345"/>
      <c r="CL63" s="345"/>
      <c r="CM63" s="345"/>
      <c r="CN63" s="345"/>
      <c r="CO63" s="345"/>
      <c r="CP63" s="345"/>
      <c r="CQ63" s="345"/>
      <c r="CR63" s="345"/>
      <c r="CS63" s="345"/>
      <c r="CT63" s="345"/>
      <c r="CU63" s="345"/>
      <c r="CV63" s="345"/>
      <c r="CW63" s="345"/>
      <c r="CX63" s="345"/>
      <c r="CY63" s="345"/>
      <c r="CZ63" s="345"/>
      <c r="DA63" s="345"/>
      <c r="DB63" s="345"/>
      <c r="DC63" s="345"/>
      <c r="DD63" s="345"/>
      <c r="DE63" s="345"/>
      <c r="DF63" s="345"/>
      <c r="DG63" s="345"/>
      <c r="DH63" s="345"/>
      <c r="DI63" s="345"/>
      <c r="DJ63" s="345"/>
      <c r="DK63" s="345"/>
      <c r="DL63" s="345"/>
      <c r="DM63" s="345"/>
      <c r="DN63" s="345"/>
      <c r="DO63" s="345"/>
      <c r="DP63" s="345"/>
      <c r="DQ63" s="345"/>
      <c r="DR63" s="345"/>
      <c r="DS63" s="345"/>
      <c r="DT63" s="345"/>
      <c r="DU63" s="345"/>
      <c r="DV63" s="345"/>
      <c r="DW63" s="345"/>
      <c r="DX63" s="345"/>
      <c r="DY63" s="345"/>
      <c r="DZ63" s="345"/>
      <c r="EA63" s="345"/>
      <c r="EB63" s="345"/>
      <c r="EC63" s="345"/>
      <c r="ED63" s="345"/>
      <c r="EE63" s="345"/>
      <c r="EF63" s="345"/>
      <c r="EG63" s="345"/>
      <c r="EH63" s="345"/>
      <c r="EI63" s="345"/>
      <c r="EJ63" s="345"/>
      <c r="EK63" s="345"/>
      <c r="EL63" s="345"/>
      <c r="EM63" s="345"/>
      <c r="EN63" s="345"/>
      <c r="EO63" s="345"/>
      <c r="EP63" s="345"/>
      <c r="EQ63" s="345"/>
      <c r="ER63" s="345"/>
      <c r="ES63" s="345"/>
      <c r="ET63" s="345"/>
      <c r="EU63" s="345"/>
      <c r="EV63" s="345"/>
      <c r="EW63" s="345"/>
      <c r="EX63" s="345"/>
      <c r="EY63" s="345"/>
      <c r="EZ63" s="345"/>
      <c r="FA63" s="345"/>
      <c r="FB63" s="345"/>
      <c r="FC63" s="345"/>
      <c r="FD63" s="345"/>
      <c r="FE63" s="345"/>
      <c r="FF63" s="345"/>
      <c r="FG63" s="345"/>
      <c r="FH63" s="345"/>
      <c r="FI63" s="345"/>
      <c r="FJ63" s="345"/>
      <c r="FK63" s="345"/>
      <c r="FL63" s="345"/>
      <c r="FM63" s="345"/>
      <c r="FN63" s="345"/>
      <c r="FO63" s="345"/>
      <c r="FP63" s="345"/>
      <c r="FQ63" s="345"/>
      <c r="FR63" s="345"/>
      <c r="FS63" s="345"/>
      <c r="FT63" s="345"/>
      <c r="FU63" s="345"/>
      <c r="FV63" s="345"/>
      <c r="FW63" s="345"/>
      <c r="FX63" s="345"/>
      <c r="FY63" s="345"/>
      <c r="FZ63" s="345"/>
      <c r="GA63" s="345"/>
      <c r="GB63" s="345"/>
      <c r="GC63" s="345"/>
      <c r="GD63" s="345"/>
      <c r="GE63" s="345"/>
      <c r="GF63" s="345"/>
      <c r="GG63" s="345"/>
      <c r="GH63" s="345"/>
      <c r="GI63" s="345"/>
      <c r="GJ63" s="345"/>
      <c r="GK63" s="345"/>
      <c r="GL63" s="345"/>
      <c r="GM63" s="345"/>
      <c r="GN63" s="345"/>
      <c r="GO63" s="345"/>
      <c r="GP63" s="345"/>
      <c r="GQ63" s="345"/>
      <c r="GR63" s="345"/>
      <c r="GS63" s="345"/>
      <c r="GT63" s="345"/>
      <c r="GU63" s="345"/>
      <c r="GV63" s="345"/>
      <c r="GW63" s="345"/>
      <c r="GX63" s="345"/>
      <c r="GY63" s="345"/>
      <c r="GZ63" s="345"/>
      <c r="HA63" s="345"/>
      <c r="HB63" s="345"/>
      <c r="HC63" s="345"/>
      <c r="HD63" s="345"/>
      <c r="HE63" s="345"/>
      <c r="HF63" s="345"/>
      <c r="HG63" s="345"/>
      <c r="HH63" s="345"/>
      <c r="HI63" s="345"/>
      <c r="HJ63" s="345"/>
      <c r="HK63" s="345"/>
      <c r="HL63" s="345"/>
      <c r="HM63" s="345"/>
      <c r="HN63" s="345"/>
    </row>
    <row r="64" spans="1:222">
      <c r="A64" s="200" t="str">
        <f>BS!A44</f>
        <v>The annexed notes from 1 to 18 form an integral part of this condensed interim financial information.</v>
      </c>
      <c r="C64" s="545"/>
      <c r="D64" s="40"/>
      <c r="E64" s="546"/>
      <c r="F64" s="5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5"/>
      <c r="AN64" s="345"/>
      <c r="AO64" s="345"/>
      <c r="AP64" s="345"/>
      <c r="AQ64" s="345"/>
      <c r="AR64" s="345"/>
      <c r="AS64" s="345"/>
      <c r="AT64" s="345"/>
      <c r="AU64" s="345"/>
      <c r="AV64" s="345"/>
      <c r="AW64" s="345"/>
      <c r="AX64" s="345"/>
      <c r="AY64" s="345"/>
      <c r="AZ64" s="345"/>
      <c r="BA64" s="345"/>
      <c r="BB64" s="345"/>
      <c r="BC64" s="345"/>
      <c r="BD64" s="345"/>
      <c r="BE64" s="345"/>
      <c r="BF64" s="345"/>
      <c r="BG64" s="345"/>
      <c r="BH64" s="345"/>
      <c r="BI64" s="345"/>
      <c r="BJ64" s="345"/>
      <c r="BK64" s="345"/>
      <c r="BL64" s="345"/>
      <c r="BM64" s="345"/>
      <c r="BN64" s="345"/>
      <c r="BO64" s="345"/>
      <c r="BP64" s="345"/>
      <c r="BQ64" s="345"/>
      <c r="BR64" s="345"/>
      <c r="BS64" s="345"/>
      <c r="BT64" s="345"/>
      <c r="BU64" s="345"/>
      <c r="BV64" s="345"/>
      <c r="BW64" s="345"/>
      <c r="BX64" s="345"/>
      <c r="BY64" s="345"/>
      <c r="BZ64" s="345"/>
      <c r="CA64" s="345"/>
      <c r="CB64" s="345"/>
      <c r="CC64" s="345"/>
      <c r="CD64" s="345"/>
      <c r="CE64" s="345"/>
      <c r="CF64" s="345"/>
      <c r="CG64" s="345"/>
      <c r="CH64" s="345"/>
      <c r="CI64" s="345"/>
      <c r="CJ64" s="345"/>
      <c r="CK64" s="345"/>
      <c r="CL64" s="345"/>
      <c r="CM64" s="345"/>
      <c r="CN64" s="345"/>
      <c r="CO64" s="345"/>
      <c r="CP64" s="345"/>
      <c r="CQ64" s="345"/>
      <c r="CR64" s="345"/>
      <c r="CS64" s="345"/>
      <c r="CT64" s="345"/>
      <c r="CU64" s="345"/>
      <c r="CV64" s="345"/>
      <c r="CW64" s="345"/>
      <c r="CX64" s="345"/>
      <c r="CY64" s="345"/>
      <c r="CZ64" s="345"/>
      <c r="DA64" s="345"/>
      <c r="DB64" s="345"/>
      <c r="DC64" s="345"/>
      <c r="DD64" s="345"/>
      <c r="DE64" s="345"/>
      <c r="DF64" s="345"/>
      <c r="DG64" s="345"/>
      <c r="DH64" s="345"/>
      <c r="DI64" s="345"/>
      <c r="DJ64" s="345"/>
      <c r="DK64" s="345"/>
      <c r="DL64" s="345"/>
      <c r="DM64" s="345"/>
      <c r="DN64" s="345"/>
      <c r="DO64" s="345"/>
      <c r="DP64" s="345"/>
      <c r="DQ64" s="345"/>
      <c r="DR64" s="345"/>
      <c r="DS64" s="345"/>
      <c r="DT64" s="345"/>
      <c r="DU64" s="345"/>
      <c r="DV64" s="345"/>
      <c r="DW64" s="345"/>
      <c r="DX64" s="345"/>
      <c r="DY64" s="345"/>
      <c r="DZ64" s="345"/>
      <c r="EA64" s="345"/>
      <c r="EB64" s="345"/>
      <c r="EC64" s="345"/>
      <c r="ED64" s="345"/>
      <c r="EE64" s="345"/>
      <c r="EF64" s="345"/>
      <c r="EG64" s="345"/>
      <c r="EH64" s="345"/>
      <c r="EI64" s="345"/>
      <c r="EJ64" s="345"/>
      <c r="EK64" s="345"/>
      <c r="EL64" s="345"/>
      <c r="EM64" s="345"/>
      <c r="EN64" s="345"/>
      <c r="EO64" s="345"/>
      <c r="EP64" s="345"/>
      <c r="EQ64" s="345"/>
      <c r="ER64" s="345"/>
      <c r="ES64" s="345"/>
      <c r="ET64" s="345"/>
      <c r="EU64" s="345"/>
      <c r="EV64" s="345"/>
      <c r="EW64" s="345"/>
      <c r="EX64" s="345"/>
      <c r="EY64" s="345"/>
      <c r="EZ64" s="345"/>
      <c r="FA64" s="345"/>
      <c r="FB64" s="345"/>
      <c r="FC64" s="345"/>
      <c r="FD64" s="345"/>
      <c r="FE64" s="345"/>
      <c r="FF64" s="345"/>
      <c r="FG64" s="345"/>
      <c r="FH64" s="345"/>
      <c r="FI64" s="345"/>
      <c r="FJ64" s="345"/>
      <c r="FK64" s="345"/>
      <c r="FL64" s="345"/>
      <c r="FM64" s="345"/>
      <c r="FN64" s="345"/>
      <c r="FO64" s="345"/>
      <c r="FP64" s="345"/>
      <c r="FQ64" s="345"/>
      <c r="FR64" s="345"/>
      <c r="FS64" s="345"/>
      <c r="FT64" s="345"/>
      <c r="FU64" s="345"/>
      <c r="FV64" s="345"/>
      <c r="FW64" s="345"/>
      <c r="FX64" s="345"/>
      <c r="FY64" s="345"/>
      <c r="FZ64" s="345"/>
      <c r="GA64" s="345"/>
      <c r="GB64" s="345"/>
      <c r="GC64" s="345"/>
      <c r="GD64" s="345"/>
      <c r="GE64" s="345"/>
      <c r="GF64" s="345"/>
      <c r="GG64" s="345"/>
      <c r="GH64" s="345"/>
      <c r="GI64" s="345"/>
      <c r="GJ64" s="345"/>
      <c r="GK64" s="345"/>
      <c r="GL64" s="345"/>
      <c r="GM64" s="345"/>
      <c r="GN64" s="345"/>
      <c r="GO64" s="345"/>
      <c r="GP64" s="345"/>
      <c r="GQ64" s="345"/>
      <c r="GR64" s="345"/>
      <c r="GS64" s="345"/>
      <c r="GT64" s="345"/>
      <c r="GU64" s="345"/>
      <c r="GV64" s="345"/>
      <c r="GW64" s="345"/>
      <c r="GX64" s="345"/>
      <c r="GY64" s="345"/>
      <c r="GZ64" s="345"/>
      <c r="HA64" s="345"/>
      <c r="HB64" s="345"/>
      <c r="HC64" s="345"/>
      <c r="HD64" s="345"/>
      <c r="HE64" s="345"/>
      <c r="HF64" s="345"/>
      <c r="HG64" s="345"/>
      <c r="HH64" s="345"/>
      <c r="HI64" s="345"/>
      <c r="HJ64" s="345"/>
      <c r="HK64" s="345"/>
      <c r="HL64" s="345"/>
      <c r="HM64" s="345"/>
      <c r="HN64" s="345"/>
    </row>
    <row r="65" spans="1:222">
      <c r="C65" s="545"/>
      <c r="D65" s="40"/>
      <c r="E65" s="546"/>
      <c r="F65" s="545"/>
      <c r="Q65" s="559"/>
      <c r="R65" s="559"/>
      <c r="S65" s="559"/>
      <c r="T65" s="559"/>
      <c r="U65" s="559"/>
      <c r="V65" s="559"/>
      <c r="W65" s="559"/>
      <c r="X65" s="559"/>
      <c r="Y65" s="559"/>
      <c r="Z65" s="559"/>
      <c r="AA65" s="559"/>
      <c r="AB65" s="559"/>
      <c r="AC65" s="559"/>
      <c r="AD65" s="559"/>
      <c r="AE65" s="559"/>
      <c r="AF65" s="559"/>
      <c r="AG65" s="559"/>
      <c r="AH65" s="559"/>
      <c r="AI65" s="559"/>
      <c r="AJ65" s="559"/>
      <c r="AK65" s="559"/>
      <c r="AL65" s="559"/>
      <c r="AM65" s="559"/>
      <c r="AN65" s="559"/>
      <c r="AO65" s="559"/>
      <c r="AP65" s="559"/>
      <c r="AQ65" s="559"/>
      <c r="AR65" s="559"/>
      <c r="AS65" s="559"/>
      <c r="AT65" s="559"/>
      <c r="AU65" s="559"/>
      <c r="AV65" s="559"/>
      <c r="AW65" s="559"/>
      <c r="AX65" s="559"/>
      <c r="AY65" s="559"/>
      <c r="AZ65" s="559"/>
      <c r="BA65" s="559"/>
      <c r="BB65" s="559"/>
      <c r="BC65" s="559"/>
      <c r="BD65" s="559"/>
      <c r="BE65" s="559"/>
      <c r="BF65" s="559"/>
      <c r="BG65" s="559"/>
      <c r="BH65" s="559"/>
      <c r="BI65" s="559"/>
      <c r="BJ65" s="559"/>
      <c r="BK65" s="559"/>
      <c r="BL65" s="559"/>
      <c r="BM65" s="559"/>
      <c r="BN65" s="559"/>
      <c r="BO65" s="559"/>
      <c r="BP65" s="559"/>
      <c r="BQ65" s="559"/>
      <c r="BR65" s="559"/>
      <c r="BS65" s="559"/>
      <c r="BT65" s="559"/>
      <c r="BU65" s="559"/>
      <c r="BV65" s="559"/>
      <c r="BW65" s="559"/>
      <c r="BX65" s="559"/>
      <c r="BY65" s="559"/>
      <c r="BZ65" s="559"/>
      <c r="CA65" s="559"/>
      <c r="CB65" s="559"/>
      <c r="CC65" s="559"/>
      <c r="CD65" s="559"/>
      <c r="CE65" s="559"/>
      <c r="CF65" s="559"/>
      <c r="CG65" s="559"/>
      <c r="CH65" s="559"/>
      <c r="CI65" s="559"/>
      <c r="CJ65" s="559"/>
      <c r="CK65" s="559"/>
      <c r="CL65" s="559"/>
      <c r="CM65" s="559"/>
      <c r="CN65" s="559"/>
      <c r="CO65" s="559"/>
      <c r="CP65" s="559"/>
      <c r="CQ65" s="559"/>
      <c r="CR65" s="559"/>
      <c r="CS65" s="559"/>
      <c r="CT65" s="559"/>
      <c r="CU65" s="559"/>
      <c r="CV65" s="559"/>
      <c r="CW65" s="559"/>
      <c r="CX65" s="559"/>
      <c r="CY65" s="559"/>
      <c r="CZ65" s="559"/>
      <c r="DA65" s="559"/>
      <c r="DB65" s="559"/>
      <c r="DC65" s="559"/>
      <c r="DD65" s="559"/>
      <c r="DE65" s="559"/>
      <c r="DF65" s="559"/>
      <c r="DG65" s="559"/>
      <c r="DH65" s="559"/>
      <c r="DI65" s="559"/>
      <c r="DJ65" s="559"/>
      <c r="DK65" s="559"/>
      <c r="DL65" s="559"/>
      <c r="DM65" s="559"/>
      <c r="DN65" s="559"/>
      <c r="DO65" s="559"/>
      <c r="DP65" s="559"/>
      <c r="DQ65" s="559"/>
      <c r="DR65" s="559"/>
      <c r="DS65" s="559"/>
      <c r="DT65" s="559"/>
      <c r="DU65" s="559"/>
      <c r="DV65" s="559"/>
      <c r="DW65" s="559"/>
      <c r="DX65" s="559"/>
      <c r="DY65" s="559"/>
      <c r="DZ65" s="559"/>
      <c r="EA65" s="559"/>
      <c r="EB65" s="559"/>
      <c r="EC65" s="559"/>
      <c r="ED65" s="559"/>
      <c r="EE65" s="559"/>
      <c r="EF65" s="559"/>
      <c r="EG65" s="559"/>
      <c r="EH65" s="559"/>
      <c r="EI65" s="559"/>
      <c r="EJ65" s="559"/>
      <c r="EK65" s="559"/>
      <c r="EL65" s="559"/>
      <c r="EM65" s="559"/>
      <c r="EN65" s="559"/>
      <c r="EO65" s="559"/>
      <c r="EP65" s="559"/>
      <c r="EQ65" s="559"/>
      <c r="ER65" s="559"/>
      <c r="ES65" s="559"/>
      <c r="ET65" s="559"/>
      <c r="EU65" s="559"/>
      <c r="EV65" s="559"/>
      <c r="EW65" s="559"/>
      <c r="EX65" s="559"/>
      <c r="EY65" s="559"/>
      <c r="EZ65" s="559"/>
      <c r="FA65" s="559"/>
      <c r="FB65" s="559"/>
      <c r="FC65" s="559"/>
      <c r="FD65" s="559"/>
      <c r="FE65" s="559"/>
      <c r="FF65" s="559"/>
      <c r="FG65" s="559"/>
      <c r="FH65" s="559"/>
      <c r="FI65" s="559"/>
      <c r="FJ65" s="559"/>
      <c r="FK65" s="559"/>
      <c r="FL65" s="559"/>
      <c r="FM65" s="559"/>
      <c r="FN65" s="559"/>
      <c r="FO65" s="559"/>
      <c r="FP65" s="559"/>
      <c r="FQ65" s="559"/>
      <c r="FR65" s="559"/>
      <c r="FS65" s="559"/>
      <c r="FT65" s="559"/>
      <c r="FU65" s="559"/>
      <c r="FV65" s="559"/>
      <c r="FW65" s="559"/>
      <c r="FX65" s="559"/>
      <c r="FY65" s="559"/>
      <c r="FZ65" s="559"/>
      <c r="GA65" s="559"/>
      <c r="GB65" s="559"/>
      <c r="GC65" s="559"/>
      <c r="GD65" s="559"/>
      <c r="GE65" s="559"/>
      <c r="GF65" s="559"/>
      <c r="GG65" s="559"/>
      <c r="GH65" s="559"/>
      <c r="GI65" s="559"/>
      <c r="GJ65" s="559"/>
      <c r="GK65" s="559"/>
      <c r="GL65" s="559"/>
      <c r="GM65" s="559"/>
      <c r="GN65" s="559"/>
      <c r="GO65" s="559"/>
      <c r="GP65" s="559"/>
      <c r="GQ65" s="559"/>
      <c r="GR65" s="559"/>
      <c r="GS65" s="559"/>
      <c r="GT65" s="559"/>
      <c r="GU65" s="559"/>
      <c r="GV65" s="559"/>
      <c r="GW65" s="559"/>
      <c r="GX65" s="559"/>
      <c r="GY65" s="559"/>
      <c r="GZ65" s="559"/>
      <c r="HA65" s="559"/>
      <c r="HB65" s="559"/>
      <c r="HC65" s="559"/>
      <c r="HD65" s="559"/>
      <c r="HE65" s="559"/>
      <c r="HF65" s="559"/>
      <c r="HG65" s="559"/>
      <c r="HH65" s="559"/>
      <c r="HI65" s="559"/>
      <c r="HJ65" s="559"/>
      <c r="HK65" s="559"/>
      <c r="HL65" s="559"/>
      <c r="HM65" s="559"/>
      <c r="HN65" s="559"/>
    </row>
    <row r="66" spans="1:222" s="48" customFormat="1">
      <c r="A66" s="1304"/>
      <c r="B66" s="1304"/>
      <c r="C66" s="1304"/>
      <c r="D66" s="1304"/>
      <c r="E66" s="1304"/>
      <c r="F66" s="1304"/>
      <c r="G66" s="1304"/>
      <c r="H66" s="791"/>
      <c r="I66" s="791"/>
      <c r="J66" s="791"/>
      <c r="K66" s="791"/>
      <c r="L66" s="791"/>
      <c r="M66" s="791"/>
      <c r="N66" s="791"/>
      <c r="O66" s="791"/>
      <c r="P66" s="791"/>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327"/>
      <c r="BJ66" s="327"/>
      <c r="BK66" s="327"/>
      <c r="BL66" s="327"/>
      <c r="BM66" s="327"/>
      <c r="BN66" s="327"/>
      <c r="BO66" s="327"/>
      <c r="BP66" s="327"/>
      <c r="BQ66" s="327"/>
      <c r="BR66" s="327"/>
      <c r="BS66" s="327"/>
      <c r="BT66" s="327"/>
      <c r="BU66" s="327"/>
      <c r="BV66" s="327"/>
      <c r="BW66" s="327"/>
      <c r="BX66" s="327"/>
      <c r="BY66" s="327"/>
      <c r="BZ66" s="327"/>
      <c r="CA66" s="327"/>
      <c r="CB66" s="327"/>
      <c r="CC66" s="327"/>
      <c r="CD66" s="327"/>
      <c r="CE66" s="327"/>
      <c r="CF66" s="327"/>
      <c r="CG66" s="327"/>
      <c r="CH66" s="327"/>
      <c r="CI66" s="327"/>
      <c r="CJ66" s="327"/>
      <c r="CK66" s="327"/>
      <c r="CL66" s="327"/>
      <c r="CM66" s="327"/>
      <c r="CN66" s="327"/>
      <c r="CO66" s="327"/>
      <c r="CP66" s="327"/>
      <c r="CQ66" s="327"/>
      <c r="CR66" s="327"/>
      <c r="CS66" s="327"/>
      <c r="CT66" s="327"/>
      <c r="CU66" s="327"/>
      <c r="CV66" s="327"/>
      <c r="CW66" s="327"/>
      <c r="CX66" s="327"/>
      <c r="CY66" s="327"/>
      <c r="CZ66" s="327"/>
      <c r="DA66" s="327"/>
      <c r="DB66" s="327"/>
      <c r="DC66" s="327"/>
      <c r="DD66" s="327"/>
      <c r="DE66" s="327"/>
      <c r="DF66" s="327"/>
      <c r="DG66" s="327"/>
      <c r="DH66" s="327"/>
      <c r="DI66" s="327"/>
      <c r="DJ66" s="327"/>
      <c r="DK66" s="327"/>
      <c r="DL66" s="327"/>
      <c r="DM66" s="327"/>
      <c r="DN66" s="327"/>
      <c r="DO66" s="327"/>
      <c r="DP66" s="327"/>
      <c r="DQ66" s="327"/>
      <c r="DR66" s="327"/>
      <c r="DS66" s="327"/>
      <c r="DT66" s="327"/>
      <c r="DU66" s="327"/>
      <c r="DV66" s="327"/>
      <c r="DW66" s="327"/>
      <c r="DX66" s="327"/>
      <c r="DY66" s="327"/>
      <c r="DZ66" s="327"/>
      <c r="EA66" s="327"/>
      <c r="EB66" s="327"/>
      <c r="EC66" s="327"/>
      <c r="ED66" s="327"/>
      <c r="EE66" s="327"/>
      <c r="EF66" s="327"/>
      <c r="EG66" s="327"/>
      <c r="EH66" s="327"/>
      <c r="EI66" s="327"/>
      <c r="EJ66" s="327"/>
      <c r="EK66" s="327"/>
      <c r="EL66" s="327"/>
      <c r="EM66" s="327"/>
      <c r="EN66" s="327"/>
      <c r="EO66" s="327"/>
      <c r="EP66" s="327"/>
      <c r="EQ66" s="327"/>
      <c r="ER66" s="327"/>
      <c r="ES66" s="327"/>
      <c r="ET66" s="327"/>
      <c r="EU66" s="327"/>
      <c r="EV66" s="327"/>
      <c r="EW66" s="327"/>
      <c r="EX66" s="327"/>
      <c r="EY66" s="327"/>
      <c r="EZ66" s="327"/>
      <c r="FA66" s="327"/>
      <c r="FB66" s="327"/>
      <c r="FC66" s="327"/>
      <c r="FD66" s="327"/>
      <c r="FE66" s="327"/>
      <c r="FF66" s="327"/>
      <c r="FG66" s="327"/>
      <c r="FH66" s="327"/>
      <c r="FI66" s="327"/>
      <c r="FJ66" s="327"/>
      <c r="FK66" s="327"/>
      <c r="FL66" s="327"/>
      <c r="FM66" s="327"/>
      <c r="FN66" s="327"/>
      <c r="FO66" s="327"/>
      <c r="FP66" s="327"/>
      <c r="FQ66" s="327"/>
      <c r="FR66" s="327"/>
      <c r="FS66" s="327"/>
      <c r="FT66" s="327"/>
      <c r="FU66" s="327"/>
      <c r="FV66" s="327"/>
      <c r="FW66" s="327"/>
      <c r="FX66" s="327"/>
      <c r="FY66" s="327"/>
      <c r="FZ66" s="327"/>
      <c r="GA66" s="327"/>
      <c r="GB66" s="327"/>
      <c r="GC66" s="327"/>
      <c r="GD66" s="327"/>
      <c r="GE66" s="327"/>
      <c r="GF66" s="327"/>
      <c r="GG66" s="327"/>
      <c r="GH66" s="327"/>
      <c r="GI66" s="327"/>
      <c r="GJ66" s="327"/>
      <c r="GK66" s="327"/>
      <c r="GL66" s="327"/>
      <c r="GM66" s="327"/>
      <c r="GN66" s="327"/>
      <c r="GO66" s="327"/>
      <c r="GP66" s="327"/>
      <c r="GQ66" s="327"/>
      <c r="GR66" s="327"/>
      <c r="GS66" s="327"/>
      <c r="GT66" s="327"/>
      <c r="GU66" s="327"/>
      <c r="GV66" s="327"/>
      <c r="GW66" s="327"/>
      <c r="GX66" s="327"/>
      <c r="GY66" s="327"/>
      <c r="GZ66" s="327"/>
      <c r="HA66" s="327"/>
      <c r="HB66" s="327"/>
      <c r="HC66" s="327"/>
      <c r="HD66" s="327"/>
      <c r="HE66" s="327"/>
      <c r="HF66" s="327"/>
      <c r="HG66" s="327"/>
      <c r="HH66" s="327"/>
      <c r="HI66" s="327"/>
      <c r="HJ66" s="327"/>
      <c r="HK66" s="327"/>
      <c r="HL66" s="327"/>
      <c r="HM66" s="327"/>
      <c r="HN66" s="327"/>
    </row>
    <row r="67" spans="1:222" s="48" customFormat="1">
      <c r="A67" s="1304"/>
      <c r="B67" s="1304"/>
      <c r="C67" s="1304"/>
      <c r="D67" s="1304"/>
      <c r="E67" s="1304"/>
      <c r="F67" s="1304"/>
      <c r="G67" s="1304"/>
      <c r="H67" s="791"/>
      <c r="I67" s="791"/>
      <c r="J67" s="791"/>
      <c r="K67" s="791"/>
      <c r="L67" s="791"/>
      <c r="M67" s="791"/>
      <c r="N67" s="791"/>
      <c r="O67" s="791"/>
      <c r="P67" s="791"/>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327"/>
      <c r="AR67" s="327"/>
      <c r="AS67" s="327"/>
      <c r="AT67" s="327"/>
      <c r="AU67" s="327"/>
      <c r="AV67" s="327"/>
      <c r="AW67" s="327"/>
      <c r="AX67" s="327"/>
      <c r="AY67" s="327"/>
      <c r="AZ67" s="327"/>
      <c r="BA67" s="327"/>
      <c r="BB67" s="327"/>
      <c r="BC67" s="327"/>
      <c r="BD67" s="327"/>
      <c r="BE67" s="327"/>
      <c r="BF67" s="327"/>
      <c r="BG67" s="327"/>
      <c r="BH67" s="327"/>
      <c r="BI67" s="327"/>
      <c r="BJ67" s="327"/>
      <c r="BK67" s="327"/>
      <c r="BL67" s="327"/>
      <c r="BM67" s="327"/>
      <c r="BN67" s="327"/>
      <c r="BO67" s="327"/>
      <c r="BP67" s="327"/>
      <c r="BQ67" s="327"/>
      <c r="BR67" s="327"/>
      <c r="BS67" s="327"/>
      <c r="BT67" s="327"/>
      <c r="BU67" s="327"/>
      <c r="BV67" s="327"/>
      <c r="BW67" s="327"/>
      <c r="BX67" s="327"/>
      <c r="BY67" s="327"/>
      <c r="BZ67" s="327"/>
      <c r="CA67" s="327"/>
      <c r="CB67" s="327"/>
      <c r="CC67" s="327"/>
      <c r="CD67" s="327"/>
      <c r="CE67" s="327"/>
      <c r="CF67" s="327"/>
      <c r="CG67" s="327"/>
      <c r="CH67" s="327"/>
      <c r="CI67" s="327"/>
      <c r="CJ67" s="327"/>
      <c r="CK67" s="327"/>
      <c r="CL67" s="327"/>
      <c r="CM67" s="327"/>
      <c r="CN67" s="327"/>
      <c r="CO67" s="327"/>
      <c r="CP67" s="327"/>
      <c r="CQ67" s="327"/>
      <c r="CR67" s="327"/>
      <c r="CS67" s="327"/>
      <c r="CT67" s="327"/>
      <c r="CU67" s="327"/>
      <c r="CV67" s="327"/>
      <c r="CW67" s="327"/>
      <c r="CX67" s="327"/>
      <c r="CY67" s="327"/>
      <c r="CZ67" s="327"/>
      <c r="DA67" s="327"/>
      <c r="DB67" s="327"/>
      <c r="DC67" s="327"/>
      <c r="DD67" s="327"/>
      <c r="DE67" s="327"/>
      <c r="DF67" s="327"/>
      <c r="DG67" s="327"/>
      <c r="DH67" s="327"/>
      <c r="DI67" s="327"/>
      <c r="DJ67" s="327"/>
      <c r="DK67" s="327"/>
      <c r="DL67" s="327"/>
      <c r="DM67" s="327"/>
      <c r="DN67" s="327"/>
      <c r="DO67" s="327"/>
      <c r="DP67" s="327"/>
      <c r="DQ67" s="327"/>
      <c r="DR67" s="327"/>
      <c r="DS67" s="327"/>
      <c r="DT67" s="327"/>
      <c r="DU67" s="327"/>
      <c r="DV67" s="327"/>
      <c r="DW67" s="327"/>
      <c r="DX67" s="327"/>
      <c r="DY67" s="327"/>
      <c r="DZ67" s="327"/>
      <c r="EA67" s="327"/>
      <c r="EB67" s="327"/>
      <c r="EC67" s="327"/>
      <c r="ED67" s="327"/>
      <c r="EE67" s="327"/>
      <c r="EF67" s="327"/>
      <c r="EG67" s="327"/>
      <c r="EH67" s="327"/>
      <c r="EI67" s="327"/>
      <c r="EJ67" s="327"/>
      <c r="EK67" s="327"/>
      <c r="EL67" s="327"/>
      <c r="EM67" s="327"/>
      <c r="EN67" s="327"/>
      <c r="EO67" s="327"/>
      <c r="EP67" s="327"/>
      <c r="EQ67" s="327"/>
      <c r="ER67" s="327"/>
      <c r="ES67" s="327"/>
      <c r="ET67" s="327"/>
      <c r="EU67" s="327"/>
      <c r="EV67" s="327"/>
      <c r="EW67" s="327"/>
      <c r="EX67" s="327"/>
      <c r="EY67" s="327"/>
      <c r="EZ67" s="327"/>
      <c r="FA67" s="327"/>
      <c r="FB67" s="327"/>
      <c r="FC67" s="327"/>
      <c r="FD67" s="327"/>
      <c r="FE67" s="327"/>
      <c r="FF67" s="327"/>
      <c r="FG67" s="327"/>
      <c r="FH67" s="327"/>
      <c r="FI67" s="327"/>
      <c r="FJ67" s="327"/>
      <c r="FK67" s="327"/>
      <c r="FL67" s="327"/>
      <c r="FM67" s="327"/>
      <c r="FN67" s="327"/>
      <c r="FO67" s="327"/>
      <c r="FP67" s="327"/>
      <c r="FQ67" s="327"/>
      <c r="FR67" s="327"/>
      <c r="FS67" s="327"/>
      <c r="FT67" s="327"/>
      <c r="FU67" s="327"/>
      <c r="FV67" s="327"/>
      <c r="FW67" s="327"/>
      <c r="FX67" s="327"/>
      <c r="FY67" s="327"/>
      <c r="FZ67" s="327"/>
      <c r="GA67" s="327"/>
      <c r="GB67" s="327"/>
      <c r="GC67" s="327"/>
      <c r="GD67" s="327"/>
      <c r="GE67" s="327"/>
      <c r="GF67" s="327"/>
      <c r="GG67" s="327"/>
      <c r="GH67" s="327"/>
      <c r="GI67" s="327"/>
      <c r="GJ67" s="327"/>
      <c r="GK67" s="327"/>
      <c r="GL67" s="327"/>
      <c r="GM67" s="327"/>
      <c r="GN67" s="327"/>
      <c r="GO67" s="327"/>
      <c r="GP67" s="327"/>
      <c r="GQ67" s="327"/>
      <c r="GR67" s="327"/>
      <c r="GS67" s="327"/>
      <c r="GT67" s="327"/>
      <c r="GU67" s="327"/>
      <c r="GV67" s="327"/>
      <c r="GW67" s="327"/>
      <c r="GX67" s="327"/>
      <c r="GY67" s="327"/>
      <c r="GZ67" s="327"/>
      <c r="HA67" s="327"/>
      <c r="HB67" s="327"/>
      <c r="HC67" s="327"/>
      <c r="HD67" s="327"/>
      <c r="HE67" s="327"/>
      <c r="HF67" s="327"/>
      <c r="HG67" s="327"/>
      <c r="HH67" s="327"/>
      <c r="HI67" s="327"/>
      <c r="HJ67" s="327"/>
      <c r="HK67" s="327"/>
      <c r="HL67" s="327"/>
      <c r="HM67" s="327"/>
      <c r="HN67" s="327"/>
    </row>
    <row r="68" spans="1:222" s="48" customFormat="1">
      <c r="A68" s="791"/>
      <c r="B68" s="791"/>
      <c r="C68" s="791"/>
      <c r="D68" s="791"/>
      <c r="E68" s="791"/>
      <c r="F68" s="791"/>
      <c r="G68" s="946"/>
      <c r="H68" s="791"/>
      <c r="I68" s="791"/>
      <c r="J68" s="791"/>
      <c r="K68" s="791"/>
      <c r="L68" s="791"/>
      <c r="M68" s="791"/>
      <c r="N68" s="791"/>
      <c r="O68" s="791"/>
      <c r="P68" s="791"/>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327"/>
      <c r="AY68" s="327"/>
      <c r="AZ68" s="327"/>
      <c r="BA68" s="327"/>
      <c r="BB68" s="327"/>
      <c r="BC68" s="327"/>
      <c r="BD68" s="327"/>
      <c r="BE68" s="327"/>
      <c r="BF68" s="327"/>
      <c r="BG68" s="327"/>
      <c r="BH68" s="327"/>
      <c r="BI68" s="327"/>
      <c r="BJ68" s="327"/>
      <c r="BK68" s="327"/>
      <c r="BL68" s="327"/>
      <c r="BM68" s="327"/>
      <c r="BN68" s="327"/>
      <c r="BO68" s="327"/>
      <c r="BP68" s="327"/>
      <c r="BQ68" s="327"/>
      <c r="BR68" s="327"/>
      <c r="BS68" s="327"/>
      <c r="BT68" s="327"/>
      <c r="BU68" s="327"/>
      <c r="BV68" s="327"/>
      <c r="BW68" s="327"/>
      <c r="BX68" s="327"/>
      <c r="BY68" s="327"/>
      <c r="BZ68" s="327"/>
      <c r="CA68" s="327"/>
      <c r="CB68" s="327"/>
      <c r="CC68" s="327"/>
      <c r="CD68" s="327"/>
      <c r="CE68" s="327"/>
      <c r="CF68" s="327"/>
      <c r="CG68" s="327"/>
      <c r="CH68" s="327"/>
      <c r="CI68" s="327"/>
      <c r="CJ68" s="327"/>
      <c r="CK68" s="327"/>
      <c r="CL68" s="327"/>
      <c r="CM68" s="327"/>
      <c r="CN68" s="327"/>
      <c r="CO68" s="327"/>
      <c r="CP68" s="327"/>
      <c r="CQ68" s="327"/>
      <c r="CR68" s="327"/>
      <c r="CS68" s="327"/>
      <c r="CT68" s="327"/>
      <c r="CU68" s="327"/>
      <c r="CV68" s="327"/>
      <c r="CW68" s="327"/>
      <c r="CX68" s="327"/>
      <c r="CY68" s="327"/>
      <c r="CZ68" s="327"/>
      <c r="DA68" s="327"/>
      <c r="DB68" s="327"/>
      <c r="DC68" s="327"/>
      <c r="DD68" s="327"/>
      <c r="DE68" s="327"/>
      <c r="DF68" s="327"/>
      <c r="DG68" s="327"/>
      <c r="DH68" s="327"/>
      <c r="DI68" s="327"/>
      <c r="DJ68" s="327"/>
      <c r="DK68" s="327"/>
      <c r="DL68" s="327"/>
      <c r="DM68" s="327"/>
      <c r="DN68" s="327"/>
      <c r="DO68" s="327"/>
      <c r="DP68" s="327"/>
      <c r="DQ68" s="327"/>
      <c r="DR68" s="327"/>
      <c r="DS68" s="327"/>
      <c r="DT68" s="327"/>
      <c r="DU68" s="327"/>
      <c r="DV68" s="327"/>
      <c r="DW68" s="327"/>
      <c r="DX68" s="327"/>
      <c r="DY68" s="327"/>
      <c r="DZ68" s="327"/>
      <c r="EA68" s="327"/>
      <c r="EB68" s="327"/>
      <c r="EC68" s="327"/>
      <c r="ED68" s="327"/>
      <c r="EE68" s="327"/>
      <c r="EF68" s="327"/>
      <c r="EG68" s="327"/>
      <c r="EH68" s="327"/>
      <c r="EI68" s="327"/>
      <c r="EJ68" s="327"/>
      <c r="EK68" s="327"/>
      <c r="EL68" s="327"/>
      <c r="EM68" s="327"/>
      <c r="EN68" s="327"/>
      <c r="EO68" s="327"/>
      <c r="EP68" s="327"/>
      <c r="EQ68" s="327"/>
      <c r="ER68" s="327"/>
      <c r="ES68" s="327"/>
      <c r="ET68" s="327"/>
      <c r="EU68" s="327"/>
      <c r="EV68" s="327"/>
      <c r="EW68" s="327"/>
      <c r="EX68" s="327"/>
      <c r="EY68" s="327"/>
      <c r="EZ68" s="327"/>
      <c r="FA68" s="327"/>
      <c r="FB68" s="327"/>
      <c r="FC68" s="327"/>
      <c r="FD68" s="327"/>
      <c r="FE68" s="327"/>
      <c r="FF68" s="327"/>
      <c r="FG68" s="327"/>
      <c r="FH68" s="327"/>
      <c r="FI68" s="327"/>
      <c r="FJ68" s="327"/>
      <c r="FK68" s="327"/>
      <c r="FL68" s="327"/>
      <c r="FM68" s="327"/>
      <c r="FN68" s="327"/>
      <c r="FO68" s="327"/>
      <c r="FP68" s="327"/>
      <c r="FQ68" s="327"/>
      <c r="FR68" s="327"/>
      <c r="FS68" s="327"/>
      <c r="FT68" s="327"/>
      <c r="FU68" s="327"/>
      <c r="FV68" s="327"/>
      <c r="FW68" s="327"/>
      <c r="FX68" s="327"/>
      <c r="FY68" s="327"/>
      <c r="FZ68" s="327"/>
      <c r="GA68" s="327"/>
      <c r="GB68" s="327"/>
      <c r="GC68" s="327"/>
      <c r="GD68" s="327"/>
      <c r="GE68" s="327"/>
      <c r="GF68" s="327"/>
      <c r="GG68" s="327"/>
      <c r="GH68" s="327"/>
      <c r="GI68" s="327"/>
      <c r="GJ68" s="327"/>
      <c r="GK68" s="327"/>
      <c r="GL68" s="327"/>
      <c r="GM68" s="327"/>
      <c r="GN68" s="327"/>
      <c r="GO68" s="327"/>
      <c r="GP68" s="327"/>
      <c r="GQ68" s="327"/>
      <c r="GR68" s="327"/>
      <c r="GS68" s="327"/>
      <c r="GT68" s="327"/>
      <c r="GU68" s="327"/>
      <c r="GV68" s="327"/>
      <c r="GW68" s="327"/>
      <c r="GX68" s="327"/>
      <c r="GY68" s="327"/>
      <c r="GZ68" s="327"/>
      <c r="HA68" s="327"/>
      <c r="HB68" s="327"/>
      <c r="HC68" s="327"/>
      <c r="HD68" s="327"/>
      <c r="HE68" s="327"/>
      <c r="HF68" s="327"/>
      <c r="HG68" s="327"/>
      <c r="HH68" s="327"/>
      <c r="HI68" s="327"/>
      <c r="HJ68" s="327"/>
      <c r="HK68" s="327"/>
      <c r="HL68" s="327"/>
      <c r="HM68" s="327"/>
      <c r="HN68" s="327"/>
    </row>
    <row r="69" spans="1:222" s="48" customFormat="1">
      <c r="A69" s="791"/>
      <c r="B69" s="791"/>
      <c r="C69" s="791"/>
      <c r="D69" s="791"/>
      <c r="E69" s="791"/>
      <c r="F69" s="791"/>
      <c r="G69" s="946"/>
      <c r="H69" s="791"/>
      <c r="I69" s="791"/>
      <c r="J69" s="791"/>
      <c r="K69" s="791"/>
      <c r="L69" s="791"/>
      <c r="M69" s="791"/>
      <c r="N69" s="791"/>
      <c r="O69" s="791"/>
      <c r="P69" s="791"/>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327"/>
      <c r="AS69" s="327"/>
      <c r="AT69" s="327"/>
      <c r="AU69" s="327"/>
      <c r="AV69" s="327"/>
      <c r="AW69" s="327"/>
      <c r="AX69" s="327"/>
      <c r="AY69" s="327"/>
      <c r="AZ69" s="327"/>
      <c r="BA69" s="327"/>
      <c r="BB69" s="327"/>
      <c r="BC69" s="327"/>
      <c r="BD69" s="327"/>
      <c r="BE69" s="327"/>
      <c r="BF69" s="327"/>
      <c r="BG69" s="327"/>
      <c r="BH69" s="327"/>
      <c r="BI69" s="327"/>
      <c r="BJ69" s="327"/>
      <c r="BK69" s="327"/>
      <c r="BL69" s="327"/>
      <c r="BM69" s="327"/>
      <c r="BN69" s="327"/>
      <c r="BO69" s="327"/>
      <c r="BP69" s="327"/>
      <c r="BQ69" s="327"/>
      <c r="BR69" s="327"/>
      <c r="BS69" s="327"/>
      <c r="BT69" s="327"/>
      <c r="BU69" s="327"/>
      <c r="BV69" s="327"/>
      <c r="BW69" s="327"/>
      <c r="BX69" s="327"/>
      <c r="BY69" s="327"/>
      <c r="BZ69" s="327"/>
      <c r="CA69" s="327"/>
      <c r="CB69" s="327"/>
      <c r="CC69" s="327"/>
      <c r="CD69" s="327"/>
      <c r="CE69" s="327"/>
      <c r="CF69" s="327"/>
      <c r="CG69" s="327"/>
      <c r="CH69" s="327"/>
      <c r="CI69" s="327"/>
      <c r="CJ69" s="327"/>
      <c r="CK69" s="327"/>
      <c r="CL69" s="327"/>
      <c r="CM69" s="327"/>
      <c r="CN69" s="327"/>
      <c r="CO69" s="327"/>
      <c r="CP69" s="327"/>
      <c r="CQ69" s="327"/>
      <c r="CR69" s="327"/>
      <c r="CS69" s="327"/>
      <c r="CT69" s="327"/>
      <c r="CU69" s="327"/>
      <c r="CV69" s="327"/>
      <c r="CW69" s="327"/>
      <c r="CX69" s="327"/>
      <c r="CY69" s="327"/>
      <c r="CZ69" s="327"/>
      <c r="DA69" s="327"/>
      <c r="DB69" s="327"/>
      <c r="DC69" s="327"/>
      <c r="DD69" s="327"/>
      <c r="DE69" s="327"/>
      <c r="DF69" s="327"/>
      <c r="DG69" s="327"/>
      <c r="DH69" s="327"/>
      <c r="DI69" s="327"/>
      <c r="DJ69" s="327"/>
      <c r="DK69" s="327"/>
      <c r="DL69" s="327"/>
      <c r="DM69" s="327"/>
      <c r="DN69" s="327"/>
      <c r="DO69" s="327"/>
      <c r="DP69" s="327"/>
      <c r="DQ69" s="327"/>
      <c r="DR69" s="327"/>
      <c r="DS69" s="327"/>
      <c r="DT69" s="327"/>
      <c r="DU69" s="327"/>
      <c r="DV69" s="327"/>
      <c r="DW69" s="327"/>
      <c r="DX69" s="327"/>
      <c r="DY69" s="327"/>
      <c r="DZ69" s="327"/>
      <c r="EA69" s="327"/>
      <c r="EB69" s="327"/>
      <c r="EC69" s="327"/>
      <c r="ED69" s="327"/>
      <c r="EE69" s="327"/>
      <c r="EF69" s="327"/>
      <c r="EG69" s="327"/>
      <c r="EH69" s="327"/>
      <c r="EI69" s="327"/>
      <c r="EJ69" s="327"/>
      <c r="EK69" s="327"/>
      <c r="EL69" s="327"/>
      <c r="EM69" s="327"/>
      <c r="EN69" s="327"/>
      <c r="EO69" s="327"/>
      <c r="EP69" s="327"/>
      <c r="EQ69" s="327"/>
      <c r="ER69" s="327"/>
      <c r="ES69" s="327"/>
      <c r="ET69" s="327"/>
      <c r="EU69" s="327"/>
      <c r="EV69" s="327"/>
      <c r="EW69" s="327"/>
      <c r="EX69" s="327"/>
      <c r="EY69" s="327"/>
      <c r="EZ69" s="327"/>
      <c r="FA69" s="327"/>
      <c r="FB69" s="327"/>
      <c r="FC69" s="327"/>
      <c r="FD69" s="327"/>
      <c r="FE69" s="327"/>
      <c r="FF69" s="327"/>
      <c r="FG69" s="327"/>
      <c r="FH69" s="327"/>
      <c r="FI69" s="327"/>
      <c r="FJ69" s="327"/>
      <c r="FK69" s="327"/>
      <c r="FL69" s="327"/>
      <c r="FM69" s="327"/>
      <c r="FN69" s="327"/>
      <c r="FO69" s="327"/>
      <c r="FP69" s="327"/>
      <c r="FQ69" s="327"/>
      <c r="FR69" s="327"/>
      <c r="FS69" s="327"/>
      <c r="FT69" s="327"/>
      <c r="FU69" s="327"/>
      <c r="FV69" s="327"/>
      <c r="FW69" s="327"/>
      <c r="FX69" s="327"/>
      <c r="FY69" s="327"/>
      <c r="FZ69" s="327"/>
      <c r="GA69" s="327"/>
      <c r="GB69" s="327"/>
      <c r="GC69" s="327"/>
      <c r="GD69" s="327"/>
      <c r="GE69" s="327"/>
      <c r="GF69" s="327"/>
      <c r="GG69" s="327"/>
      <c r="GH69" s="327"/>
      <c r="GI69" s="327"/>
      <c r="GJ69" s="327"/>
      <c r="GK69" s="327"/>
      <c r="GL69" s="327"/>
      <c r="GM69" s="327"/>
      <c r="GN69" s="327"/>
      <c r="GO69" s="327"/>
      <c r="GP69" s="327"/>
      <c r="GQ69" s="327"/>
      <c r="GR69" s="327"/>
      <c r="GS69" s="327"/>
      <c r="GT69" s="327"/>
      <c r="GU69" s="327"/>
      <c r="GV69" s="327"/>
      <c r="GW69" s="327"/>
      <c r="GX69" s="327"/>
      <c r="GY69" s="327"/>
      <c r="GZ69" s="327"/>
      <c r="HA69" s="327"/>
      <c r="HB69" s="327"/>
      <c r="HC69" s="327"/>
      <c r="HD69" s="327"/>
      <c r="HE69" s="327"/>
      <c r="HF69" s="327"/>
      <c r="HG69" s="327"/>
      <c r="HH69" s="327"/>
      <c r="HI69" s="327"/>
      <c r="HJ69" s="327"/>
      <c r="HK69" s="327"/>
      <c r="HL69" s="327"/>
      <c r="HM69" s="327"/>
      <c r="HN69" s="327"/>
    </row>
    <row r="70" spans="1:222" s="48" customFormat="1">
      <c r="A70" s="688"/>
      <c r="B70" s="688"/>
      <c r="C70" s="688"/>
      <c r="D70" s="688"/>
      <c r="E70" s="688"/>
      <c r="F70" s="688"/>
      <c r="G70" s="946"/>
      <c r="H70" s="688"/>
      <c r="I70" s="688"/>
      <c r="J70" s="688"/>
      <c r="K70" s="688"/>
      <c r="L70" s="688"/>
      <c r="M70" s="688"/>
      <c r="N70" s="688"/>
      <c r="O70" s="688"/>
      <c r="P70" s="688"/>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27"/>
      <c r="BF70" s="327"/>
      <c r="BG70" s="327"/>
      <c r="BH70" s="327"/>
      <c r="BI70" s="327"/>
      <c r="BJ70" s="327"/>
      <c r="BK70" s="327"/>
      <c r="BL70" s="327"/>
      <c r="BM70" s="327"/>
      <c r="BN70" s="327"/>
      <c r="BO70" s="327"/>
      <c r="BP70" s="327"/>
      <c r="BQ70" s="327"/>
      <c r="BR70" s="327"/>
      <c r="BS70" s="327"/>
      <c r="BT70" s="327"/>
      <c r="BU70" s="327"/>
      <c r="BV70" s="327"/>
      <c r="BW70" s="327"/>
      <c r="BX70" s="327"/>
      <c r="BY70" s="327"/>
      <c r="BZ70" s="327"/>
      <c r="CA70" s="327"/>
      <c r="CB70" s="327"/>
      <c r="CC70" s="327"/>
      <c r="CD70" s="327"/>
      <c r="CE70" s="327"/>
      <c r="CF70" s="327"/>
      <c r="CG70" s="327"/>
      <c r="CH70" s="327"/>
      <c r="CI70" s="327"/>
      <c r="CJ70" s="327"/>
      <c r="CK70" s="327"/>
      <c r="CL70" s="327"/>
      <c r="CM70" s="327"/>
      <c r="CN70" s="327"/>
      <c r="CO70" s="327"/>
      <c r="CP70" s="327"/>
      <c r="CQ70" s="327"/>
      <c r="CR70" s="327"/>
      <c r="CS70" s="327"/>
      <c r="CT70" s="327"/>
      <c r="CU70" s="327"/>
      <c r="CV70" s="327"/>
      <c r="CW70" s="327"/>
      <c r="CX70" s="327"/>
      <c r="CY70" s="327"/>
      <c r="CZ70" s="327"/>
      <c r="DA70" s="327"/>
      <c r="DB70" s="327"/>
      <c r="DC70" s="327"/>
      <c r="DD70" s="327"/>
      <c r="DE70" s="327"/>
      <c r="DF70" s="327"/>
      <c r="DG70" s="327"/>
      <c r="DH70" s="327"/>
      <c r="DI70" s="327"/>
      <c r="DJ70" s="327"/>
      <c r="DK70" s="327"/>
      <c r="DL70" s="327"/>
      <c r="DM70" s="327"/>
      <c r="DN70" s="327"/>
      <c r="DO70" s="327"/>
      <c r="DP70" s="327"/>
      <c r="DQ70" s="327"/>
      <c r="DR70" s="327"/>
      <c r="DS70" s="327"/>
      <c r="DT70" s="327"/>
      <c r="DU70" s="327"/>
      <c r="DV70" s="327"/>
      <c r="DW70" s="327"/>
      <c r="DX70" s="327"/>
      <c r="DY70" s="327"/>
      <c r="DZ70" s="327"/>
      <c r="EA70" s="327"/>
      <c r="EB70" s="327"/>
      <c r="EC70" s="327"/>
      <c r="ED70" s="327"/>
      <c r="EE70" s="327"/>
      <c r="EF70" s="327"/>
      <c r="EG70" s="327"/>
      <c r="EH70" s="327"/>
      <c r="EI70" s="327"/>
      <c r="EJ70" s="327"/>
      <c r="EK70" s="327"/>
      <c r="EL70" s="327"/>
      <c r="EM70" s="327"/>
      <c r="EN70" s="327"/>
      <c r="EO70" s="327"/>
      <c r="EP70" s="327"/>
      <c r="EQ70" s="327"/>
      <c r="ER70" s="327"/>
      <c r="ES70" s="327"/>
      <c r="ET70" s="327"/>
      <c r="EU70" s="327"/>
      <c r="EV70" s="327"/>
      <c r="EW70" s="327"/>
      <c r="EX70" s="327"/>
      <c r="EY70" s="327"/>
      <c r="EZ70" s="327"/>
      <c r="FA70" s="327"/>
      <c r="FB70" s="327"/>
      <c r="FC70" s="327"/>
      <c r="FD70" s="327"/>
      <c r="FE70" s="327"/>
      <c r="FF70" s="327"/>
      <c r="FG70" s="327"/>
      <c r="FH70" s="327"/>
      <c r="FI70" s="327"/>
      <c r="FJ70" s="327"/>
      <c r="FK70" s="327"/>
      <c r="FL70" s="327"/>
      <c r="FM70" s="327"/>
      <c r="FN70" s="327"/>
      <c r="FO70" s="327"/>
      <c r="FP70" s="327"/>
      <c r="FQ70" s="327"/>
      <c r="FR70" s="327"/>
      <c r="FS70" s="327"/>
      <c r="FT70" s="327"/>
      <c r="FU70" s="327"/>
      <c r="FV70" s="327"/>
      <c r="FW70" s="327"/>
      <c r="FX70" s="327"/>
      <c r="FY70" s="327"/>
      <c r="FZ70" s="327"/>
      <c r="GA70" s="327"/>
      <c r="GB70" s="327"/>
      <c r="GC70" s="327"/>
      <c r="GD70" s="327"/>
      <c r="GE70" s="327"/>
      <c r="GF70" s="327"/>
      <c r="GG70" s="327"/>
      <c r="GH70" s="327"/>
      <c r="GI70" s="327"/>
      <c r="GJ70" s="327"/>
      <c r="GK70" s="327"/>
      <c r="GL70" s="327"/>
      <c r="GM70" s="327"/>
      <c r="GN70" s="327"/>
      <c r="GO70" s="327"/>
      <c r="GP70" s="327"/>
      <c r="GQ70" s="327"/>
      <c r="GR70" s="327"/>
      <c r="GS70" s="327"/>
      <c r="GT70" s="327"/>
      <c r="GU70" s="327"/>
      <c r="GV70" s="327"/>
      <c r="GW70" s="327"/>
      <c r="GX70" s="327"/>
      <c r="GY70" s="327"/>
      <c r="GZ70" s="327"/>
      <c r="HA70" s="327"/>
      <c r="HB70" s="327"/>
      <c r="HC70" s="327"/>
      <c r="HD70" s="327"/>
      <c r="HE70" s="327"/>
      <c r="HF70" s="327"/>
      <c r="HG70" s="327"/>
      <c r="HH70" s="327"/>
      <c r="HI70" s="327"/>
      <c r="HJ70" s="327"/>
      <c r="HK70" s="327"/>
      <c r="HL70" s="327"/>
      <c r="HM70" s="327"/>
      <c r="HN70" s="327"/>
    </row>
    <row r="71" spans="1:222" s="48" customFormat="1">
      <c r="A71" s="688"/>
      <c r="B71" s="688"/>
      <c r="C71" s="688"/>
      <c r="D71" s="40"/>
      <c r="E71" s="56"/>
      <c r="F71" s="688"/>
      <c r="G71" s="543"/>
      <c r="H71" s="543"/>
      <c r="I71" s="543"/>
      <c r="J71" s="543"/>
      <c r="K71" s="543"/>
      <c r="L71" s="543"/>
      <c r="M71" s="543"/>
      <c r="N71" s="543"/>
      <c r="O71" s="543"/>
      <c r="P71" s="543"/>
      <c r="Q71" s="327"/>
      <c r="R71" s="327"/>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327"/>
      <c r="BE71" s="327"/>
      <c r="BF71" s="327"/>
      <c r="BG71" s="327"/>
      <c r="BH71" s="327"/>
      <c r="BI71" s="327"/>
      <c r="BJ71" s="327"/>
      <c r="BK71" s="327"/>
      <c r="BL71" s="327"/>
      <c r="BM71" s="327"/>
      <c r="BN71" s="327"/>
      <c r="BO71" s="327"/>
      <c r="BP71" s="327"/>
      <c r="BQ71" s="327"/>
      <c r="BR71" s="327"/>
      <c r="BS71" s="327"/>
      <c r="BT71" s="327"/>
      <c r="BU71" s="327"/>
      <c r="BV71" s="327"/>
      <c r="BW71" s="327"/>
      <c r="BX71" s="327"/>
      <c r="BY71" s="327"/>
      <c r="BZ71" s="327"/>
      <c r="CA71" s="327"/>
      <c r="CB71" s="327"/>
      <c r="CC71" s="327"/>
      <c r="CD71" s="327"/>
      <c r="CE71" s="327"/>
      <c r="CF71" s="327"/>
      <c r="CG71" s="327"/>
      <c r="CH71" s="327"/>
      <c r="CI71" s="327"/>
      <c r="CJ71" s="327"/>
      <c r="CK71" s="327"/>
      <c r="CL71" s="327"/>
      <c r="CM71" s="327"/>
      <c r="CN71" s="327"/>
      <c r="CO71" s="327"/>
      <c r="CP71" s="327"/>
      <c r="CQ71" s="327"/>
      <c r="CR71" s="327"/>
      <c r="CS71" s="327"/>
      <c r="CT71" s="327"/>
      <c r="CU71" s="327"/>
      <c r="CV71" s="327"/>
      <c r="CW71" s="327"/>
      <c r="CX71" s="327"/>
      <c r="CY71" s="327"/>
      <c r="CZ71" s="327"/>
      <c r="DA71" s="327"/>
      <c r="DB71" s="327"/>
      <c r="DC71" s="327"/>
      <c r="DD71" s="327"/>
      <c r="DE71" s="327"/>
      <c r="DF71" s="327"/>
      <c r="DG71" s="327"/>
      <c r="DH71" s="327"/>
      <c r="DI71" s="327"/>
      <c r="DJ71" s="327"/>
      <c r="DK71" s="327"/>
      <c r="DL71" s="327"/>
      <c r="DM71" s="327"/>
      <c r="DN71" s="327"/>
      <c r="DO71" s="327"/>
      <c r="DP71" s="327"/>
      <c r="DQ71" s="327"/>
      <c r="DR71" s="327"/>
      <c r="DS71" s="327"/>
      <c r="DT71" s="327"/>
      <c r="DU71" s="327"/>
      <c r="DV71" s="327"/>
      <c r="DW71" s="327"/>
      <c r="DX71" s="327"/>
      <c r="DY71" s="327"/>
      <c r="DZ71" s="327"/>
      <c r="EA71" s="327"/>
      <c r="EB71" s="327"/>
      <c r="EC71" s="327"/>
      <c r="ED71" s="327"/>
      <c r="EE71" s="327"/>
      <c r="EF71" s="327"/>
      <c r="EG71" s="327"/>
      <c r="EH71" s="327"/>
      <c r="EI71" s="327"/>
      <c r="EJ71" s="327"/>
      <c r="EK71" s="327"/>
      <c r="EL71" s="327"/>
      <c r="EM71" s="327"/>
      <c r="EN71" s="327"/>
      <c r="EO71" s="327"/>
      <c r="EP71" s="327"/>
      <c r="EQ71" s="327"/>
      <c r="ER71" s="327"/>
      <c r="ES71" s="327"/>
      <c r="ET71" s="327"/>
      <c r="EU71" s="327"/>
      <c r="EV71" s="327"/>
      <c r="EW71" s="327"/>
      <c r="EX71" s="327"/>
      <c r="EY71" s="327"/>
      <c r="EZ71" s="327"/>
      <c r="FA71" s="327"/>
      <c r="FB71" s="327"/>
      <c r="FC71" s="327"/>
      <c r="FD71" s="327"/>
      <c r="FE71" s="327"/>
      <c r="FF71" s="327"/>
      <c r="FG71" s="327"/>
      <c r="FH71" s="327"/>
      <c r="FI71" s="327"/>
      <c r="FJ71" s="327"/>
      <c r="FK71" s="327"/>
      <c r="FL71" s="327"/>
      <c r="FM71" s="327"/>
      <c r="FN71" s="327"/>
      <c r="FO71" s="327"/>
      <c r="FP71" s="327"/>
      <c r="FQ71" s="327"/>
      <c r="FR71" s="327"/>
      <c r="FS71" s="327"/>
      <c r="FT71" s="327"/>
      <c r="FU71" s="327"/>
      <c r="FV71" s="327"/>
      <c r="FW71" s="327"/>
      <c r="FX71" s="327"/>
      <c r="FY71" s="327"/>
      <c r="FZ71" s="327"/>
      <c r="GA71" s="327"/>
      <c r="GB71" s="327"/>
      <c r="GC71" s="327"/>
      <c r="GD71" s="327"/>
      <c r="GE71" s="327"/>
      <c r="GF71" s="327"/>
      <c r="GG71" s="327"/>
      <c r="GH71" s="327"/>
      <c r="GI71" s="327"/>
      <c r="GJ71" s="327"/>
      <c r="GK71" s="327"/>
      <c r="GL71" s="327"/>
      <c r="GM71" s="327"/>
      <c r="GN71" s="327"/>
      <c r="GO71" s="327"/>
      <c r="GP71" s="327"/>
      <c r="GQ71" s="327"/>
      <c r="GR71" s="327"/>
      <c r="GS71" s="327"/>
      <c r="GT71" s="327"/>
      <c r="GU71" s="327"/>
      <c r="GV71" s="327"/>
      <c r="GW71" s="327"/>
      <c r="GX71" s="327"/>
      <c r="GY71" s="327"/>
      <c r="GZ71" s="327"/>
      <c r="HA71" s="327"/>
      <c r="HB71" s="327"/>
      <c r="HC71" s="327"/>
      <c r="HD71" s="327"/>
      <c r="HE71" s="327"/>
      <c r="HF71" s="327"/>
      <c r="HG71" s="327"/>
      <c r="HH71" s="327"/>
      <c r="HI71" s="327"/>
      <c r="HJ71" s="327"/>
      <c r="HK71" s="327"/>
      <c r="HL71" s="327"/>
      <c r="HM71" s="327"/>
      <c r="HN71" s="327"/>
    </row>
    <row r="72" spans="1:222" s="363" customFormat="1">
      <c r="A72" s="364"/>
      <c r="B72" s="360"/>
      <c r="C72" s="361"/>
      <c r="E72" s="685"/>
      <c r="F72" s="685"/>
      <c r="G72" s="1047"/>
    </row>
    <row r="73" spans="1:222">
      <c r="A73" s="541"/>
      <c r="B73" s="566"/>
      <c r="C73" s="345"/>
      <c r="D73" s="58"/>
      <c r="E73" s="567"/>
      <c r="F73" s="345"/>
      <c r="G73" s="567"/>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48"/>
      <c r="EQ73" s="48"/>
      <c r="ER73" s="48"/>
      <c r="ES73" s="48"/>
      <c r="ET73" s="48"/>
      <c r="EU73" s="48"/>
      <c r="EV73" s="48"/>
      <c r="EW73" s="48"/>
      <c r="EX73" s="48"/>
      <c r="EY73" s="48"/>
      <c r="EZ73" s="48"/>
      <c r="FA73" s="48"/>
      <c r="FB73" s="48"/>
      <c r="FC73" s="48"/>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48"/>
      <c r="HI73" s="48"/>
      <c r="HJ73" s="48"/>
      <c r="HK73" s="48"/>
      <c r="HL73" s="48"/>
      <c r="HM73" s="48"/>
      <c r="HN73" s="48"/>
    </row>
    <row r="74" spans="1:222">
      <c r="A74" s="541"/>
      <c r="B74" s="541"/>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48"/>
      <c r="HI74" s="48"/>
      <c r="HJ74" s="48"/>
      <c r="HK74" s="48"/>
      <c r="HL74" s="48"/>
      <c r="HM74" s="48"/>
      <c r="HN74" s="48"/>
    </row>
    <row r="76" spans="1:222">
      <c r="E76" s="543">
        <v>-8927.890749999995</v>
      </c>
    </row>
    <row r="77" spans="1:222">
      <c r="A77" s="541"/>
      <c r="B77" s="541"/>
      <c r="C77" s="543"/>
      <c r="D77" s="49"/>
      <c r="F77" s="543"/>
    </row>
    <row r="78" spans="1:222">
      <c r="A78" s="541"/>
      <c r="B78" s="541"/>
    </row>
    <row r="80" spans="1:222">
      <c r="A80" s="541"/>
      <c r="B80" s="541"/>
    </row>
    <row r="81" spans="1:2">
      <c r="A81" s="541"/>
      <c r="B81" s="541"/>
    </row>
  </sheetData>
  <mergeCells count="4">
    <mergeCell ref="A66:G66"/>
    <mergeCell ref="A67:G67"/>
    <mergeCell ref="E5:G5"/>
    <mergeCell ref="E7:G7"/>
  </mergeCells>
  <pageMargins left="0.7" right="0.31" top="0.67" bottom="0.23" header="0.46" footer="0.23"/>
  <pageSetup scale="68" orientation="portrait" horizontalDpi="4294967295" verticalDpi="4294967295" r:id="rId1"/>
  <headerFooter alignWithMargins="0"/>
  <ignoredErrors>
    <ignoredError sqref="E19:F19 E23:F23 D28 E45:F45 E38:F38 E25:F25 F36 F52 F22 F24 F28 F26 F27 F29 F31 F32 F33 F34 E47 G47 E46 F37" unlockedFormula="1"/>
    <ignoredError sqref="E7:G9 E62:F62" numberStoredAsText="1"/>
    <ignoredError sqref="F11 F18 F15 F12 F10 F13 F14" numberStoredAsText="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69"/>
  <sheetViews>
    <sheetView showGridLines="0" view="pageBreakPreview" zoomScale="90" zoomScaleSheetLayoutView="90" workbookViewId="0">
      <selection activeCell="F10" sqref="F10"/>
    </sheetView>
  </sheetViews>
  <sheetFormatPr defaultColWidth="9.109375" defaultRowHeight="13.2"/>
  <cols>
    <col min="1" max="1" width="9.109375" style="363"/>
    <col min="2" max="2" width="18" style="363" customWidth="1"/>
    <col min="3" max="3" width="24.88671875" style="363" customWidth="1"/>
    <col min="4" max="4" width="22.5546875" style="363" customWidth="1"/>
    <col min="5" max="5" width="2.109375" style="485" hidden="1" customWidth="1"/>
    <col min="6" max="6" width="10.5546875" style="363" customWidth="1"/>
    <col min="7" max="7" width="1.109375" style="363" customWidth="1"/>
    <col min="8" max="8" width="10.5546875" style="363" customWidth="1"/>
    <col min="9" max="9" width="8.44140625" style="363" bestFit="1" customWidth="1"/>
    <col min="10" max="10" width="16.33203125" style="363" bestFit="1" customWidth="1"/>
    <col min="11" max="11" width="11.88671875" style="363" bestFit="1" customWidth="1"/>
    <col min="12" max="16384" width="9.109375" style="363"/>
  </cols>
  <sheetData>
    <row r="1" spans="1:12">
      <c r="A1" s="477" t="str">
        <f>IS!A1</f>
        <v>PAKISTAN CAPITAL MARKET FUND</v>
      </c>
      <c r="B1" s="477"/>
      <c r="C1" s="477"/>
      <c r="D1" s="477"/>
      <c r="E1" s="478"/>
      <c r="F1" s="479"/>
      <c r="G1" s="480"/>
      <c r="H1" s="481"/>
    </row>
    <row r="2" spans="1:12">
      <c r="A2" s="477" t="s">
        <v>345</v>
      </c>
      <c r="B2" s="477"/>
      <c r="C2" s="477"/>
      <c r="D2" s="477"/>
      <c r="E2" s="478"/>
      <c r="F2" s="479"/>
      <c r="G2" s="480"/>
      <c r="H2" s="481"/>
    </row>
    <row r="3" spans="1:12">
      <c r="A3" s="477" t="str">
        <f>+IS!A3</f>
        <v>FOR THE QUARTER ENDED SEPTEMBER 30, 2021</v>
      </c>
      <c r="B3" s="477"/>
      <c r="C3" s="477"/>
      <c r="D3" s="477"/>
      <c r="E3" s="478"/>
      <c r="F3" s="479"/>
      <c r="G3" s="480"/>
      <c r="H3" s="481"/>
    </row>
    <row r="4" spans="1:12">
      <c r="A4" s="482"/>
      <c r="B4" s="477"/>
      <c r="C4" s="477"/>
      <c r="D4" s="477"/>
      <c r="E4" s="478"/>
      <c r="F4" s="479"/>
      <c r="G4" s="480"/>
      <c r="H4" s="481"/>
    </row>
    <row r="5" spans="1:12">
      <c r="A5" s="480"/>
      <c r="B5" s="480"/>
      <c r="C5" s="480"/>
      <c r="D5" s="480"/>
      <c r="E5" s="478"/>
      <c r="F5" s="481"/>
      <c r="G5" s="480"/>
      <c r="H5" s="483"/>
    </row>
    <row r="6" spans="1:12">
      <c r="A6" s="480"/>
      <c r="B6" s="480"/>
      <c r="C6" s="480"/>
      <c r="D6" s="477"/>
      <c r="E6" s="478"/>
      <c r="F6" s="1310" t="str">
        <f>+IS!E5</f>
        <v>September 30,</v>
      </c>
      <c r="G6" s="1311"/>
      <c r="H6" s="1311"/>
    </row>
    <row r="7" spans="1:12">
      <c r="A7" s="480"/>
      <c r="B7" s="480"/>
      <c r="C7" s="480"/>
      <c r="D7" s="477"/>
      <c r="E7" s="478"/>
      <c r="F7" s="486" t="str">
        <f>+IS!E6</f>
        <v>2021</v>
      </c>
      <c r="G7" s="487"/>
      <c r="H7" s="488" t="str">
        <f>+IS!G6</f>
        <v>2020</v>
      </c>
    </row>
    <row r="8" spans="1:12">
      <c r="A8" s="489"/>
      <c r="B8" s="480"/>
      <c r="C8" s="480"/>
      <c r="D8" s="490"/>
      <c r="E8" s="491"/>
      <c r="F8" s="1307" t="s">
        <v>156</v>
      </c>
      <c r="G8" s="1308"/>
      <c r="H8" s="1308"/>
    </row>
    <row r="9" spans="1:12">
      <c r="A9" s="492"/>
      <c r="B9" s="493"/>
      <c r="C9" s="493"/>
      <c r="D9" s="494"/>
      <c r="E9" s="495"/>
      <c r="F9" s="496"/>
      <c r="G9" s="495"/>
      <c r="H9" s="497"/>
      <c r="J9" s="498"/>
      <c r="K9" s="498"/>
      <c r="L9" s="498"/>
    </row>
    <row r="10" spans="1:12">
      <c r="A10" s="499" t="s">
        <v>526</v>
      </c>
      <c r="B10" s="493"/>
      <c r="C10" s="493"/>
      <c r="D10" s="494"/>
      <c r="E10" s="495"/>
      <c r="F10" s="500">
        <f>IS!E48</f>
        <v>-16693.395640000006</v>
      </c>
      <c r="G10" s="501"/>
      <c r="H10" s="502">
        <f>IS!G48</f>
        <v>48870</v>
      </c>
      <c r="I10" s="503"/>
      <c r="J10" s="504"/>
      <c r="K10" s="504"/>
      <c r="L10" s="498"/>
    </row>
    <row r="11" spans="1:12">
      <c r="A11" s="492"/>
      <c r="B11" s="493"/>
      <c r="C11" s="493"/>
      <c r="D11" s="494"/>
      <c r="E11" s="495"/>
      <c r="F11" s="500"/>
      <c r="G11" s="495"/>
      <c r="H11" s="502"/>
      <c r="J11" s="504"/>
      <c r="K11" s="504"/>
      <c r="L11" s="498"/>
    </row>
    <row r="12" spans="1:12">
      <c r="A12" s="492" t="s">
        <v>527</v>
      </c>
      <c r="B12" s="493"/>
      <c r="C12" s="493"/>
      <c r="D12" s="494"/>
      <c r="E12" s="495"/>
      <c r="F12" s="500">
        <v>0</v>
      </c>
      <c r="G12" s="495"/>
      <c r="H12" s="502">
        <v>0</v>
      </c>
      <c r="J12" s="504"/>
      <c r="K12" s="504"/>
      <c r="L12" s="498"/>
    </row>
    <row r="13" spans="1:12">
      <c r="A13" s="492"/>
      <c r="B13" s="493"/>
      <c r="C13" s="493"/>
      <c r="D13" s="494"/>
      <c r="E13" s="495"/>
      <c r="F13" s="500"/>
      <c r="G13" s="495"/>
      <c r="H13" s="502"/>
      <c r="J13" s="504"/>
      <c r="K13" s="504"/>
      <c r="L13" s="498"/>
    </row>
    <row r="14" spans="1:12">
      <c r="A14" s="492"/>
      <c r="B14" s="493"/>
      <c r="C14" s="493"/>
      <c r="D14" s="494"/>
      <c r="E14" s="495"/>
      <c r="F14" s="500"/>
      <c r="G14" s="495"/>
      <c r="H14" s="502"/>
      <c r="J14" s="498"/>
      <c r="K14" s="498"/>
      <c r="L14" s="498"/>
    </row>
    <row r="15" spans="1:12" s="512" customFormat="1" ht="21" customHeight="1" thickBot="1">
      <c r="A15" s="506" t="s">
        <v>528</v>
      </c>
      <c r="B15" s="507"/>
      <c r="C15" s="507"/>
      <c r="D15" s="508"/>
      <c r="E15" s="509"/>
      <c r="F15" s="510">
        <f>F10+F12</f>
        <v>-16693.395640000006</v>
      </c>
      <c r="G15" s="509"/>
      <c r="H15" s="511">
        <f>H10+H12</f>
        <v>48870</v>
      </c>
      <c r="J15" s="513"/>
      <c r="K15" s="513"/>
      <c r="L15" s="513"/>
    </row>
    <row r="16" spans="1:12" ht="13.8" thickTop="1">
      <c r="A16" s="492"/>
      <c r="B16" s="493"/>
      <c r="C16" s="493"/>
      <c r="D16" s="494"/>
      <c r="E16" s="495"/>
      <c r="F16" s="500"/>
      <c r="G16" s="495"/>
      <c r="H16" s="502"/>
      <c r="J16" s="498"/>
      <c r="K16" s="498"/>
      <c r="L16" s="498"/>
    </row>
    <row r="17" spans="1:15">
      <c r="A17" s="514"/>
      <c r="B17" s="493"/>
      <c r="C17" s="493"/>
      <c r="D17" s="494"/>
      <c r="E17" s="515"/>
      <c r="F17" s="516"/>
      <c r="G17" s="516"/>
      <c r="H17" s="516"/>
      <c r="J17" s="504"/>
      <c r="K17" s="498"/>
      <c r="L17" s="498"/>
    </row>
    <row r="18" spans="1:15">
      <c r="A18" s="484"/>
      <c r="B18" s="489"/>
      <c r="C18" s="489"/>
      <c r="D18" s="517"/>
      <c r="E18" s="517"/>
      <c r="F18" s="518"/>
      <c r="G18" s="519"/>
      <c r="H18" s="483"/>
      <c r="J18" s="504"/>
      <c r="K18" s="498"/>
      <c r="L18" s="498"/>
    </row>
    <row r="19" spans="1:15">
      <c r="A19" s="489" t="str">
        <f>BS!A44</f>
        <v>The annexed notes from 1 to 18 form an integral part of this condensed interim financial information.</v>
      </c>
      <c r="B19" s="489"/>
      <c r="C19" s="489"/>
      <c r="D19" s="517"/>
      <c r="E19" s="517"/>
      <c r="F19" s="518"/>
      <c r="G19" s="517"/>
      <c r="H19" s="483"/>
      <c r="I19" s="503"/>
      <c r="J19" s="520"/>
      <c r="K19" s="521"/>
      <c r="L19" s="522"/>
    </row>
    <row r="20" spans="1:15" ht="21" customHeight="1">
      <c r="A20" s="489"/>
      <c r="B20" s="489"/>
      <c r="C20" s="489"/>
      <c r="D20" s="517"/>
      <c r="E20" s="517"/>
      <c r="F20" s="518"/>
      <c r="G20" s="517"/>
      <c r="H20" s="483"/>
      <c r="J20" s="498"/>
      <c r="K20" s="498"/>
      <c r="L20" s="498"/>
    </row>
    <row r="21" spans="1:15">
      <c r="A21" s="489"/>
      <c r="B21" s="489"/>
      <c r="C21" s="489"/>
      <c r="D21" s="517"/>
      <c r="E21" s="517"/>
      <c r="F21" s="518"/>
      <c r="G21" s="517"/>
      <c r="H21" s="483"/>
      <c r="J21" s="498"/>
      <c r="K21" s="498"/>
      <c r="L21" s="498"/>
    </row>
    <row r="22" spans="1:15">
      <c r="A22" s="1309"/>
      <c r="B22" s="1309"/>
      <c r="C22" s="1309"/>
      <c r="D22" s="1309"/>
      <c r="E22" s="1309"/>
      <c r="F22" s="1309"/>
      <c r="G22" s="1309"/>
      <c r="H22" s="1309"/>
      <c r="I22" s="503"/>
      <c r="J22" s="498"/>
      <c r="K22" s="498"/>
      <c r="L22" s="498"/>
    </row>
    <row r="23" spans="1:15">
      <c r="A23" s="1309"/>
      <c r="B23" s="1309"/>
      <c r="C23" s="1309"/>
      <c r="D23" s="1309"/>
      <c r="E23" s="1309"/>
      <c r="F23" s="1309"/>
      <c r="G23" s="1309"/>
      <c r="H23" s="1309"/>
      <c r="I23" s="503"/>
      <c r="J23" s="498"/>
      <c r="K23" s="498"/>
      <c r="L23" s="498"/>
    </row>
    <row r="24" spans="1:15" s="527" customFormat="1">
      <c r="A24" s="491"/>
      <c r="B24" s="491"/>
      <c r="C24" s="491"/>
      <c r="D24" s="491"/>
      <c r="E24" s="517"/>
      <c r="F24" s="523"/>
      <c r="G24" s="491"/>
      <c r="H24" s="483"/>
      <c r="I24" s="525"/>
      <c r="J24" s="526"/>
      <c r="K24" s="526"/>
      <c r="L24" s="526"/>
    </row>
    <row r="25" spans="1:15" s="527" customFormat="1" ht="21.75" customHeight="1">
      <c r="A25" s="491"/>
      <c r="B25" s="491"/>
      <c r="C25" s="491"/>
      <c r="D25" s="491"/>
      <c r="E25" s="517"/>
      <c r="F25" s="523"/>
      <c r="G25" s="491"/>
      <c r="H25" s="483"/>
      <c r="I25" s="525"/>
      <c r="J25" s="526"/>
      <c r="K25" s="526"/>
      <c r="L25" s="526"/>
    </row>
    <row r="26" spans="1:15" s="527" customFormat="1">
      <c r="A26" s="491"/>
      <c r="B26" s="491"/>
      <c r="C26" s="491"/>
      <c r="D26" s="491"/>
      <c r="E26" s="517"/>
      <c r="F26" s="523"/>
      <c r="G26" s="491"/>
      <c r="H26" s="483"/>
      <c r="I26" s="525"/>
      <c r="J26" s="526"/>
      <c r="K26" s="526"/>
      <c r="L26" s="526"/>
    </row>
    <row r="27" spans="1:15" s="527" customFormat="1">
      <c r="A27" s="491"/>
      <c r="B27" s="491"/>
      <c r="C27" s="491"/>
      <c r="D27" s="491"/>
      <c r="E27" s="517"/>
      <c r="F27" s="523"/>
      <c r="G27" s="491"/>
      <c r="H27" s="483"/>
      <c r="I27" s="525"/>
      <c r="J27" s="528"/>
      <c r="K27" s="528"/>
      <c r="L27" s="528"/>
    </row>
    <row r="28" spans="1:15" s="527" customFormat="1">
      <c r="A28" s="491"/>
      <c r="B28" s="491"/>
      <c r="C28" s="491"/>
      <c r="D28" s="491"/>
      <c r="E28" s="517"/>
      <c r="F28" s="523"/>
      <c r="G28" s="491"/>
      <c r="H28" s="483"/>
      <c r="I28" s="525"/>
      <c r="J28" s="528"/>
      <c r="K28" s="528"/>
      <c r="L28" s="528"/>
    </row>
    <row r="29" spans="1:15">
      <c r="A29" s="491"/>
      <c r="B29" s="491"/>
      <c r="C29" s="491"/>
      <c r="D29" s="491"/>
      <c r="E29" s="517"/>
      <c r="F29" s="523"/>
      <c r="G29" s="491"/>
      <c r="H29" s="483"/>
      <c r="I29" s="503"/>
    </row>
    <row r="30" spans="1:15">
      <c r="A30" s="529"/>
      <c r="B30" s="360"/>
      <c r="C30" s="530"/>
      <c r="D30" s="618"/>
      <c r="E30" s="416"/>
      <c r="F30" s="416"/>
      <c r="G30" s="416"/>
      <c r="H30" s="1035"/>
      <c r="I30" s="503"/>
      <c r="J30" s="531"/>
    </row>
    <row r="31" spans="1:15">
      <c r="A31" s="532"/>
      <c r="B31" s="533"/>
      <c r="C31" s="533"/>
      <c r="D31" s="524"/>
      <c r="E31" s="491"/>
      <c r="F31" s="524"/>
      <c r="G31" s="534"/>
      <c r="H31" s="535"/>
      <c r="I31" s="503"/>
      <c r="K31" s="536"/>
    </row>
    <row r="32" spans="1:15">
      <c r="I32" s="538"/>
      <c r="J32" s="498"/>
      <c r="K32" s="498"/>
      <c r="L32" s="498"/>
      <c r="M32" s="498"/>
      <c r="N32" s="498"/>
      <c r="O32" s="498"/>
    </row>
    <row r="33" spans="9:15">
      <c r="I33" s="538"/>
      <c r="J33" s="498"/>
      <c r="K33" s="498"/>
      <c r="L33" s="498"/>
      <c r="M33" s="498"/>
      <c r="N33" s="498"/>
      <c r="O33" s="498"/>
    </row>
    <row r="34" spans="9:15">
      <c r="I34" s="538"/>
      <c r="J34" s="877"/>
      <c r="K34" s="498"/>
      <c r="L34" s="498"/>
      <c r="M34" s="498"/>
      <c r="N34" s="498"/>
      <c r="O34" s="498"/>
    </row>
    <row r="35" spans="9:15">
      <c r="I35" s="538"/>
      <c r="J35" s="498"/>
      <c r="K35" s="498"/>
      <c r="L35" s="498"/>
      <c r="M35" s="498"/>
      <c r="N35" s="498"/>
      <c r="O35" s="498"/>
    </row>
    <row r="36" spans="9:15">
      <c r="I36" s="538"/>
      <c r="J36" s="498"/>
      <c r="K36" s="498"/>
      <c r="L36" s="878"/>
      <c r="M36" s="498"/>
      <c r="N36" s="504"/>
      <c r="O36" s="498"/>
    </row>
    <row r="37" spans="9:15" hidden="1">
      <c r="I37" s="538"/>
      <c r="J37" s="498"/>
      <c r="K37" s="498"/>
      <c r="L37" s="498"/>
      <c r="M37" s="498"/>
      <c r="N37" s="498"/>
      <c r="O37" s="498"/>
    </row>
    <row r="38" spans="9:15">
      <c r="I38" s="538"/>
      <c r="J38" s="498"/>
      <c r="K38" s="498"/>
      <c r="L38" s="498"/>
      <c r="M38" s="498"/>
      <c r="N38" s="498"/>
      <c r="O38" s="498"/>
    </row>
    <row r="39" spans="9:15">
      <c r="I39" s="538"/>
      <c r="J39" s="498"/>
      <c r="K39" s="498"/>
      <c r="L39" s="498"/>
      <c r="M39" s="498"/>
      <c r="N39" s="498"/>
      <c r="O39" s="498"/>
    </row>
    <row r="40" spans="9:15">
      <c r="I40" s="538"/>
      <c r="J40" s="504"/>
      <c r="K40" s="538"/>
      <c r="L40" s="498"/>
      <c r="M40" s="498"/>
      <c r="N40" s="498"/>
      <c r="O40" s="504"/>
    </row>
    <row r="41" spans="9:15">
      <c r="I41" s="538"/>
      <c r="J41" s="521"/>
      <c r="K41" s="521"/>
      <c r="L41" s="498"/>
      <c r="M41" s="498"/>
      <c r="N41" s="498"/>
      <c r="O41" s="498"/>
    </row>
    <row r="42" spans="9:15" ht="7.5" customHeight="1">
      <c r="I42" s="498"/>
      <c r="J42" s="538"/>
      <c r="K42" s="498"/>
      <c r="L42" s="498"/>
      <c r="M42" s="498"/>
      <c r="N42" s="498"/>
      <c r="O42" s="498"/>
    </row>
    <row r="43" spans="9:15">
      <c r="I43" s="538"/>
      <c r="J43" s="498"/>
      <c r="K43" s="498"/>
      <c r="L43" s="498"/>
      <c r="M43" s="498"/>
      <c r="N43" s="498"/>
      <c r="O43" s="498"/>
    </row>
    <row r="44" spans="9:15" ht="7.5" customHeight="1">
      <c r="I44" s="498"/>
      <c r="J44" s="498"/>
      <c r="K44" s="498"/>
      <c r="L44" s="498"/>
      <c r="M44" s="498"/>
      <c r="N44" s="498"/>
      <c r="O44" s="498"/>
    </row>
    <row r="45" spans="9:15">
      <c r="I45" s="498"/>
      <c r="J45" s="498"/>
      <c r="K45" s="498"/>
      <c r="L45" s="498"/>
      <c r="M45" s="498"/>
      <c r="N45" s="498"/>
      <c r="O45" s="498"/>
    </row>
    <row r="46" spans="9:15">
      <c r="I46" s="498"/>
      <c r="J46" s="505"/>
      <c r="K46" s="498"/>
      <c r="L46" s="498"/>
      <c r="M46" s="498"/>
      <c r="N46" s="498"/>
      <c r="O46" s="498"/>
    </row>
    <row r="47" spans="9:15">
      <c r="I47" s="498"/>
      <c r="J47" s="505"/>
      <c r="K47" s="498"/>
      <c r="L47" s="498"/>
      <c r="M47" s="498"/>
      <c r="N47" s="498"/>
      <c r="O47" s="498"/>
    </row>
    <row r="48" spans="9:15">
      <c r="I48" s="498"/>
      <c r="J48" s="505"/>
      <c r="K48" s="498"/>
      <c r="L48" s="498"/>
      <c r="M48" s="498"/>
      <c r="N48" s="498"/>
      <c r="O48" s="498"/>
    </row>
    <row r="49" spans="9:15">
      <c r="I49" s="498"/>
      <c r="J49" s="505"/>
      <c r="K49" s="498"/>
      <c r="L49" s="498"/>
      <c r="M49" s="498"/>
      <c r="N49" s="498"/>
      <c r="O49" s="498"/>
    </row>
    <row r="50" spans="9:15">
      <c r="I50" s="498"/>
      <c r="J50" s="498"/>
      <c r="K50" s="498"/>
      <c r="L50" s="498"/>
      <c r="M50" s="498"/>
      <c r="N50" s="498"/>
      <c r="O50" s="498"/>
    </row>
    <row r="52" spans="9:15">
      <c r="I52" s="503"/>
      <c r="J52" s="503"/>
    </row>
    <row r="55" spans="9:15" ht="8.25" customHeight="1"/>
    <row r="56" spans="9:15">
      <c r="J56" s="503"/>
    </row>
    <row r="64" spans="9:15" ht="6" customHeight="1"/>
    <row r="65" spans="10:10" ht="18" customHeight="1">
      <c r="J65" s="503"/>
    </row>
    <row r="69" spans="10:10" ht="6.75" customHeight="1"/>
  </sheetData>
  <mergeCells count="4">
    <mergeCell ref="A23:H23"/>
    <mergeCell ref="F6:H6"/>
    <mergeCell ref="F8:H8"/>
    <mergeCell ref="A22:H22"/>
  </mergeCells>
  <pageMargins left="0.75" right="0.36" top="0.63" bottom="0.18" header="0.28999999999999998" footer="0.16"/>
  <pageSetup scale="90" orientation="portrait" r:id="rId1"/>
  <headerFooter alignWithMargins="0"/>
  <ignoredErrors>
    <ignoredError sqref="G7" numberStoredAsText="1"/>
    <ignoredError sqref="F10:H10 G1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77"/>
  <sheetViews>
    <sheetView showGridLines="0" view="pageBreakPreview" zoomScaleSheetLayoutView="100" workbookViewId="0">
      <selection activeCell="A63" sqref="A63"/>
    </sheetView>
  </sheetViews>
  <sheetFormatPr defaultColWidth="9.109375" defaultRowHeight="13.2"/>
  <cols>
    <col min="1" max="1" width="5.88671875" style="797" customWidth="1"/>
    <col min="2" max="2" width="4.109375" style="797" customWidth="1"/>
    <col min="3" max="3" width="40.33203125" style="797" customWidth="1"/>
    <col min="4" max="4" width="2.6640625" style="797" customWidth="1"/>
    <col min="5" max="5" width="12" style="798" customWidth="1"/>
    <col min="6" max="6" width="13.33203125" style="798" customWidth="1"/>
    <col min="7" max="7" width="12.109375" style="798" hidden="1" customWidth="1"/>
    <col min="8" max="8" width="12" style="798" customWidth="1"/>
    <col min="9" max="9" width="1.88671875" style="798" customWidth="1"/>
    <col min="10" max="10" width="10.5546875" style="798" hidden="1" customWidth="1"/>
    <col min="11" max="12" width="12.109375" style="797" hidden="1" customWidth="1"/>
    <col min="13" max="14" width="12.109375" style="797" customWidth="1"/>
    <col min="15" max="15" width="12.109375" style="797" hidden="1" customWidth="1"/>
    <col min="16" max="16" width="11" style="797" customWidth="1"/>
    <col min="17" max="17" width="6.44140625" style="797" customWidth="1"/>
    <col min="18" max="18" width="15.88671875" style="797" customWidth="1"/>
    <col min="19" max="19" width="28.88671875" style="798" bestFit="1" customWidth="1"/>
    <col min="20" max="20" width="8.6640625" style="797" customWidth="1"/>
    <col min="21" max="21" width="17.6640625" style="797" bestFit="1" customWidth="1"/>
    <col min="22" max="22" width="16.6640625" style="798" bestFit="1" customWidth="1"/>
    <col min="23" max="23" width="11.44140625" style="797" bestFit="1" customWidth="1"/>
    <col min="24" max="24" width="9.109375" style="797"/>
    <col min="25" max="25" width="13.44140625" style="797" bestFit="1" customWidth="1"/>
    <col min="26" max="27" width="9.109375" style="797"/>
    <col min="28" max="28" width="12.33203125" style="797" bestFit="1" customWidth="1"/>
    <col min="29" max="16384" width="9.109375" style="797"/>
  </cols>
  <sheetData>
    <row r="1" spans="1:28">
      <c r="A1" s="524" t="s">
        <v>123</v>
      </c>
      <c r="E1" s="797"/>
      <c r="F1" s="797"/>
      <c r="G1" s="797"/>
      <c r="H1" s="797"/>
      <c r="I1" s="797"/>
      <c r="J1" s="797"/>
    </row>
    <row r="2" spans="1:28">
      <c r="A2" s="524" t="s">
        <v>642</v>
      </c>
      <c r="E2" s="797"/>
      <c r="F2" s="797"/>
      <c r="G2" s="797"/>
      <c r="H2" s="797"/>
      <c r="I2" s="797"/>
      <c r="J2" s="797"/>
    </row>
    <row r="3" spans="1:28">
      <c r="A3" s="836" t="str">
        <f>OCI!A3</f>
        <v>FOR THE QUARTER ENDED SEPTEMBER 30, 2021</v>
      </c>
      <c r="E3" s="797"/>
      <c r="F3" s="797"/>
      <c r="G3" s="797"/>
      <c r="H3" s="797"/>
      <c r="I3" s="797"/>
      <c r="J3" s="797"/>
    </row>
    <row r="4" spans="1:28">
      <c r="A4" s="539"/>
      <c r="E4" s="797"/>
      <c r="F4" s="797"/>
      <c r="G4" s="797"/>
      <c r="H4" s="797"/>
      <c r="I4" s="797"/>
      <c r="J4" s="797"/>
    </row>
    <row r="5" spans="1:28" s="799" customFormat="1">
      <c r="S5" s="706"/>
      <c r="V5" s="706"/>
    </row>
    <row r="6" spans="1:28">
      <c r="A6" s="539"/>
      <c r="C6" s="798"/>
      <c r="E6" s="1314" t="str">
        <f>+OCI!F6</f>
        <v>September 30,</v>
      </c>
      <c r="F6" s="1314"/>
      <c r="G6" s="1314"/>
      <c r="H6" s="1314"/>
      <c r="I6" s="1314"/>
      <c r="J6" s="1314"/>
      <c r="K6" s="1314"/>
      <c r="L6" s="1314"/>
      <c r="M6" s="1314"/>
      <c r="N6" s="1314"/>
      <c r="O6" s="1314"/>
      <c r="P6" s="1314"/>
    </row>
    <row r="7" spans="1:28">
      <c r="A7" s="539"/>
      <c r="C7" s="798"/>
      <c r="E7" s="1315">
        <v>2021</v>
      </c>
      <c r="F7" s="1315"/>
      <c r="G7" s="1315"/>
      <c r="H7" s="1315"/>
      <c r="I7" s="835"/>
      <c r="J7" s="1315">
        <v>2020</v>
      </c>
      <c r="K7" s="1315"/>
      <c r="L7" s="1315"/>
      <c r="M7" s="1315"/>
      <c r="N7" s="1315"/>
      <c r="O7" s="1315"/>
      <c r="P7" s="1315"/>
    </row>
    <row r="8" spans="1:28">
      <c r="A8" s="539"/>
      <c r="E8" s="1316" t="s">
        <v>401</v>
      </c>
      <c r="F8" s="1316"/>
      <c r="G8" s="1316"/>
      <c r="H8" s="1316"/>
      <c r="I8" s="1316"/>
      <c r="J8" s="1316"/>
      <c r="K8" s="1316"/>
      <c r="L8" s="1316"/>
      <c r="M8" s="1316"/>
      <c r="N8" s="1316"/>
      <c r="O8" s="1316"/>
      <c r="P8" s="1316"/>
    </row>
    <row r="9" spans="1:28" ht="8.1" customHeight="1" thickBot="1">
      <c r="A9" s="539"/>
      <c r="E9" s="851"/>
      <c r="F9" s="851"/>
      <c r="G9" s="851"/>
      <c r="H9" s="851"/>
      <c r="I9" s="851"/>
      <c r="J9" s="851"/>
      <c r="K9" s="851"/>
      <c r="L9" s="851"/>
      <c r="M9" s="1023"/>
      <c r="N9" s="1023"/>
      <c r="O9" s="1023"/>
      <c r="P9" s="1024"/>
    </row>
    <row r="10" spans="1:28" s="832" customFormat="1" ht="93" thickBot="1">
      <c r="E10" s="833" t="s">
        <v>402</v>
      </c>
      <c r="F10" s="833" t="s">
        <v>403</v>
      </c>
      <c r="G10" s="833" t="s">
        <v>404</v>
      </c>
      <c r="H10" s="833" t="s">
        <v>237</v>
      </c>
      <c r="I10" s="834"/>
      <c r="J10" s="833" t="s">
        <v>402</v>
      </c>
      <c r="K10" s="833" t="s">
        <v>403</v>
      </c>
      <c r="L10" s="833" t="s">
        <v>404</v>
      </c>
      <c r="M10" s="833" t="s">
        <v>402</v>
      </c>
      <c r="N10" s="833" t="s">
        <v>403</v>
      </c>
      <c r="O10" s="833" t="s">
        <v>404</v>
      </c>
      <c r="P10" s="833" t="s">
        <v>237</v>
      </c>
      <c r="S10" s="834"/>
      <c r="T10" s="1130">
        <v>4506794</v>
      </c>
      <c r="V10" s="834"/>
    </row>
    <row r="11" spans="1:28" s="850" customFormat="1" ht="8.1" customHeight="1">
      <c r="E11" s="806"/>
      <c r="F11" s="806"/>
      <c r="G11" s="806"/>
      <c r="H11" s="806"/>
      <c r="I11" s="822"/>
      <c r="J11" s="806"/>
      <c r="K11" s="806"/>
      <c r="L11" s="806"/>
      <c r="M11" s="806"/>
      <c r="N11" s="806"/>
      <c r="O11" s="806"/>
      <c r="P11" s="811"/>
      <c r="R11" s="1032"/>
      <c r="S11" s="822"/>
      <c r="T11" s="1131">
        <v>2558492</v>
      </c>
      <c r="V11" s="822"/>
    </row>
    <row r="12" spans="1:28">
      <c r="A12" s="797" t="s">
        <v>185</v>
      </c>
      <c r="E12" s="839">
        <v>408071</v>
      </c>
      <c r="F12" s="839">
        <v>58592</v>
      </c>
      <c r="G12" s="839">
        <v>0</v>
      </c>
      <c r="H12" s="839">
        <v>466663</v>
      </c>
      <c r="J12" s="831"/>
      <c r="K12" s="831"/>
      <c r="L12" s="831"/>
      <c r="M12" s="831">
        <v>422186</v>
      </c>
      <c r="N12" s="831">
        <v>-7607</v>
      </c>
      <c r="O12" s="831">
        <v>0</v>
      </c>
      <c r="P12" s="1025">
        <v>414579</v>
      </c>
      <c r="R12" s="830"/>
      <c r="S12" s="872"/>
      <c r="T12" s="830"/>
      <c r="U12" s="830"/>
      <c r="V12" s="872"/>
      <c r="Y12" s="996"/>
    </row>
    <row r="13" spans="1:28">
      <c r="A13" s="797" t="s">
        <v>740</v>
      </c>
      <c r="E13" s="840"/>
      <c r="F13" s="840"/>
      <c r="G13" s="840"/>
      <c r="H13" s="840"/>
      <c r="I13" s="800"/>
      <c r="K13" s="798"/>
      <c r="L13" s="798"/>
      <c r="M13" s="798"/>
      <c r="N13" s="798"/>
      <c r="O13" s="798"/>
      <c r="P13" s="798"/>
      <c r="R13" s="812">
        <f>BS!I37</f>
        <v>38891084</v>
      </c>
      <c r="Y13" s="996"/>
    </row>
    <row r="14" spans="1:28">
      <c r="A14" s="828" t="s">
        <v>406</v>
      </c>
      <c r="E14" s="840"/>
      <c r="F14" s="840"/>
      <c r="G14" s="840"/>
      <c r="H14" s="840"/>
      <c r="I14" s="800"/>
      <c r="K14" s="798"/>
      <c r="L14" s="798"/>
      <c r="M14" s="798"/>
      <c r="N14" s="798"/>
      <c r="O14" s="798"/>
      <c r="P14" s="798"/>
      <c r="R14" s="825" t="s">
        <v>436</v>
      </c>
      <c r="S14" s="873" t="s">
        <v>434</v>
      </c>
      <c r="T14" s="825" t="s">
        <v>433</v>
      </c>
      <c r="U14" s="825" t="s">
        <v>432</v>
      </c>
      <c r="V14" s="873" t="s">
        <v>431</v>
      </c>
      <c r="Y14" s="996"/>
      <c r="AB14" s="996">
        <v>46668.482600000003</v>
      </c>
    </row>
    <row r="15" spans="1:28">
      <c r="A15" s="829" t="s">
        <v>407</v>
      </c>
      <c r="E15" s="841">
        <f>U15</f>
        <v>11201.035800000001</v>
      </c>
      <c r="F15" s="841">
        <v>0</v>
      </c>
      <c r="G15" s="841">
        <v>0</v>
      </c>
      <c r="H15" s="841">
        <f>SUM(E15:G15)</f>
        <v>11201.035800000001</v>
      </c>
      <c r="I15" s="800"/>
      <c r="K15" s="798"/>
      <c r="L15" s="798"/>
      <c r="M15" s="1030">
        <v>33888.002700000005</v>
      </c>
      <c r="N15" s="1030">
        <v>0</v>
      </c>
      <c r="O15" s="1014">
        <v>0</v>
      </c>
      <c r="P15" s="821">
        <v>33888.002700000005</v>
      </c>
      <c r="R15" s="706">
        <v>933419.65</v>
      </c>
      <c r="S15" s="706">
        <f>11211296.48/1000</f>
        <v>11211.296480000001</v>
      </c>
      <c r="T15" s="824">
        <v>12</v>
      </c>
      <c r="U15" s="706">
        <f>(R15*T15)/1000</f>
        <v>11201.035800000001</v>
      </c>
      <c r="V15" s="706">
        <f>U15-S15</f>
        <v>-10.260679999999411</v>
      </c>
      <c r="Y15" s="996">
        <v>-70249.5</v>
      </c>
      <c r="AB15" s="797">
        <v>541.43190000000004</v>
      </c>
    </row>
    <row r="16" spans="1:28">
      <c r="A16" s="828" t="s">
        <v>408</v>
      </c>
      <c r="E16" s="842">
        <f>-V15</f>
        <v>10.260679999999411</v>
      </c>
      <c r="F16" s="842">
        <v>0</v>
      </c>
      <c r="G16" s="842">
        <v>0</v>
      </c>
      <c r="H16" s="842">
        <f>SUM(E16:G16)</f>
        <v>10.260679999999411</v>
      </c>
      <c r="I16" s="800"/>
      <c r="K16" s="798"/>
      <c r="L16" s="798"/>
      <c r="M16" s="1031">
        <v>3412.9472999999925</v>
      </c>
      <c r="N16" s="1031">
        <v>0</v>
      </c>
      <c r="O16" s="1048">
        <v>0</v>
      </c>
      <c r="P16" s="820">
        <v>3412.9472999999925</v>
      </c>
      <c r="R16" s="812"/>
      <c r="U16" s="812"/>
      <c r="Y16" s="996">
        <v>-3711991.8</v>
      </c>
      <c r="AB16" s="996">
        <v>262261.62180000002</v>
      </c>
    </row>
    <row r="17" spans="1:28">
      <c r="A17" s="797" t="s">
        <v>409</v>
      </c>
      <c r="E17" s="853">
        <f>SUM(E15:E16)</f>
        <v>11211.296480000001</v>
      </c>
      <c r="F17" s="853">
        <v>0</v>
      </c>
      <c r="G17" s="853">
        <v>0</v>
      </c>
      <c r="H17" s="853">
        <f>SUM(H15:H16)</f>
        <v>11211.296480000001</v>
      </c>
      <c r="I17" s="800"/>
      <c r="J17" s="854">
        <v>2489582</v>
      </c>
      <c r="K17" s="854">
        <v>0</v>
      </c>
      <c r="L17" s="854">
        <v>0</v>
      </c>
      <c r="M17" s="854">
        <v>37300.949999999997</v>
      </c>
      <c r="N17" s="854">
        <v>0</v>
      </c>
      <c r="O17" s="854">
        <v>0</v>
      </c>
      <c r="P17" s="854">
        <v>37300.949999999997</v>
      </c>
      <c r="R17" s="812"/>
      <c r="U17" s="812"/>
      <c r="Y17" s="996">
        <v>-4498012.82</v>
      </c>
      <c r="AB17" s="996">
        <v>308489.99479999999</v>
      </c>
    </row>
    <row r="18" spans="1:28" ht="8.1" customHeight="1">
      <c r="E18" s="801"/>
      <c r="F18" s="801"/>
      <c r="G18" s="801"/>
      <c r="H18" s="801"/>
      <c r="I18" s="800"/>
      <c r="J18" s="800"/>
      <c r="K18" s="800"/>
      <c r="L18" s="800"/>
      <c r="M18" s="800"/>
      <c r="N18" s="800"/>
      <c r="O18" s="800"/>
      <c r="P18" s="800"/>
      <c r="R18" s="812"/>
      <c r="U18" s="812"/>
      <c r="Y18" s="996">
        <v>-1344.6</v>
      </c>
      <c r="AB18" s="996">
        <v>156205.3382</v>
      </c>
    </row>
    <row r="19" spans="1:28">
      <c r="A19" s="797" t="s">
        <v>739</v>
      </c>
      <c r="E19" s="801"/>
      <c r="F19" s="801"/>
      <c r="G19" s="801"/>
      <c r="H19" s="801"/>
      <c r="I19" s="800"/>
      <c r="J19" s="800"/>
      <c r="K19" s="800"/>
      <c r="L19" s="800"/>
      <c r="M19" s="800"/>
      <c r="N19" s="800"/>
      <c r="O19" s="800"/>
      <c r="P19" s="800"/>
      <c r="R19" s="812"/>
      <c r="U19" s="812"/>
      <c r="Y19" s="996">
        <v>-4366289.62</v>
      </c>
      <c r="AB19" s="996">
        <v>9199.8963000000003</v>
      </c>
    </row>
    <row r="20" spans="1:28">
      <c r="A20" s="828" t="s">
        <v>406</v>
      </c>
      <c r="E20" s="801"/>
      <c r="F20" s="801"/>
      <c r="G20" s="801"/>
      <c r="H20" s="801"/>
      <c r="I20" s="800"/>
      <c r="J20" s="800"/>
      <c r="K20" s="800"/>
      <c r="L20" s="800"/>
      <c r="M20" s="800"/>
      <c r="N20" s="800"/>
      <c r="O20" s="800"/>
      <c r="P20" s="800"/>
      <c r="R20" s="826" t="s">
        <v>435</v>
      </c>
      <c r="S20" s="874" t="s">
        <v>434</v>
      </c>
      <c r="T20" s="827" t="s">
        <v>433</v>
      </c>
      <c r="U20" s="826" t="s">
        <v>432</v>
      </c>
      <c r="V20" s="873" t="s">
        <v>431</v>
      </c>
      <c r="Y20" s="996">
        <v>-563397.9</v>
      </c>
      <c r="AB20" s="996">
        <v>112990.66439999999</v>
      </c>
    </row>
    <row r="21" spans="1:28">
      <c r="A21" s="855" t="s">
        <v>407</v>
      </c>
      <c r="E21" s="841">
        <f>U21</f>
        <v>20414.624640000002</v>
      </c>
      <c r="F21" s="841"/>
      <c r="G21" s="954"/>
      <c r="H21" s="841">
        <f t="shared" ref="H21:H23" si="0">SUM(E21:G21)</f>
        <v>20414.624640000002</v>
      </c>
      <c r="I21" s="800"/>
      <c r="K21" s="798"/>
      <c r="L21" s="798"/>
      <c r="M21" s="1030">
        <v>26636.452150000001</v>
      </c>
      <c r="N21" s="1030"/>
      <c r="O21" s="1030"/>
      <c r="P21" s="821">
        <v>26636.452150000001</v>
      </c>
      <c r="R21" s="798">
        <v>1701218.72</v>
      </c>
      <c r="S21" s="798">
        <f>20425449.36/1000</f>
        <v>20425.449359999999</v>
      </c>
      <c r="T21" s="824">
        <f>T15</f>
        <v>12</v>
      </c>
      <c r="U21" s="706">
        <f>(R21*T21)/1000</f>
        <v>20414.624640000002</v>
      </c>
      <c r="V21" s="706">
        <f>S21-U21</f>
        <v>10.824719999996887</v>
      </c>
      <c r="W21" s="823"/>
      <c r="Y21" s="996">
        <v>-2042.96</v>
      </c>
      <c r="AB21" s="996">
        <f>SUM(AB14:AB20)</f>
        <v>896357.43</v>
      </c>
    </row>
    <row r="22" spans="1:28" ht="12.75" hidden="1" customHeight="1">
      <c r="A22" s="828" t="s">
        <v>411</v>
      </c>
      <c r="E22" s="856"/>
      <c r="F22" s="856"/>
      <c r="G22" s="955"/>
      <c r="H22" s="856"/>
      <c r="I22" s="800"/>
      <c r="K22" s="798"/>
      <c r="L22" s="798"/>
      <c r="M22" s="1026"/>
      <c r="N22" s="1026"/>
      <c r="O22" s="1026"/>
      <c r="P22" s="1026"/>
      <c r="R22" s="798"/>
      <c r="S22" s="840">
        <f>+S15-S21</f>
        <v>-9214.1528799999978</v>
      </c>
      <c r="W22" s="798"/>
      <c r="Y22" s="996">
        <v>-3992622.12</v>
      </c>
    </row>
    <row r="23" spans="1:28">
      <c r="A23" s="828" t="s">
        <v>586</v>
      </c>
      <c r="E23" s="857">
        <f>V21-F23</f>
        <v>10.824719999996887</v>
      </c>
      <c r="F23" s="842">
        <f>-IS!E53</f>
        <v>0</v>
      </c>
      <c r="G23" s="956">
        <v>0</v>
      </c>
      <c r="H23" s="842">
        <f t="shared" si="0"/>
        <v>10.824719999996887</v>
      </c>
      <c r="I23" s="800"/>
      <c r="K23" s="798"/>
      <c r="L23" s="798"/>
      <c r="M23" s="1031">
        <v>895.90985000000046</v>
      </c>
      <c r="N23" s="1031">
        <v>2058.752</v>
      </c>
      <c r="O23" s="1031">
        <v>0</v>
      </c>
      <c r="P23" s="820">
        <v>2954.6618500000004</v>
      </c>
      <c r="U23" s="812"/>
      <c r="Y23" s="996">
        <v>-667270.21</v>
      </c>
    </row>
    <row r="24" spans="1:28">
      <c r="A24" s="797" t="s">
        <v>415</v>
      </c>
      <c r="E24" s="806">
        <f>SUM(E21:E23)</f>
        <v>20425.449359999999</v>
      </c>
      <c r="F24" s="806">
        <f>SUM(F23:F23)</f>
        <v>0</v>
      </c>
      <c r="G24" s="806">
        <v>0</v>
      </c>
      <c r="H24" s="806">
        <f>SUM(H21:H23)</f>
        <v>20425.449359999999</v>
      </c>
      <c r="I24" s="800"/>
      <c r="J24" s="811">
        <v>-1891291</v>
      </c>
      <c r="K24" s="811">
        <v>0</v>
      </c>
      <c r="L24" s="811">
        <v>0</v>
      </c>
      <c r="M24" s="811">
        <v>27532.362000000001</v>
      </c>
      <c r="N24" s="811">
        <v>2058.752</v>
      </c>
      <c r="O24" s="811">
        <v>0</v>
      </c>
      <c r="P24" s="811">
        <v>29591.114000000001</v>
      </c>
      <c r="R24" s="812">
        <f>R13+R15-R21</f>
        <v>38123284.93</v>
      </c>
      <c r="Y24" s="996">
        <v>-2872.08</v>
      </c>
    </row>
    <row r="25" spans="1:28">
      <c r="E25" s="539"/>
      <c r="F25" s="539"/>
      <c r="G25" s="539"/>
      <c r="H25" s="539"/>
      <c r="I25" s="797"/>
      <c r="J25" s="797"/>
      <c r="Y25" s="996">
        <v>-2086709.23</v>
      </c>
      <c r="AB25" s="996">
        <v>-5854.6509999999998</v>
      </c>
    </row>
    <row r="26" spans="1:28" ht="8.1" customHeight="1">
      <c r="D26" s="802"/>
      <c r="E26" s="801"/>
      <c r="F26" s="801"/>
      <c r="G26" s="801"/>
      <c r="H26" s="801"/>
      <c r="I26" s="800"/>
      <c r="J26" s="800"/>
      <c r="K26" s="800"/>
      <c r="L26" s="800"/>
      <c r="M26" s="800"/>
      <c r="N26" s="800"/>
      <c r="O26" s="800"/>
      <c r="P26" s="800"/>
      <c r="Y26" s="996">
        <f>SUM(Y15:Y25)</f>
        <v>-19962802.84</v>
      </c>
      <c r="AB26" s="996">
        <v>-308491.0711</v>
      </c>
    </row>
    <row r="27" spans="1:28">
      <c r="A27" s="797" t="s">
        <v>418</v>
      </c>
      <c r="D27" s="802"/>
      <c r="E27" s="841">
        <v>0</v>
      </c>
      <c r="F27" s="841">
        <f>OCI!F10</f>
        <v>-16693.395640000006</v>
      </c>
      <c r="G27" s="841"/>
      <c r="H27" s="841">
        <f>SUM(E27:G27)</f>
        <v>-16693.395640000006</v>
      </c>
      <c r="I27" s="800"/>
      <c r="J27" s="821">
        <v>0</v>
      </c>
      <c r="K27" s="821">
        <v>59121</v>
      </c>
      <c r="L27" s="821">
        <v>-3040</v>
      </c>
      <c r="M27" s="821">
        <v>0</v>
      </c>
      <c r="N27" s="821">
        <v>48869.698189999901</v>
      </c>
      <c r="O27" s="821"/>
      <c r="P27" s="821">
        <v>48869.698189999901</v>
      </c>
      <c r="R27" s="812">
        <f>H17-H24</f>
        <v>-9214.1528799999978</v>
      </c>
      <c r="U27" s="819"/>
      <c r="AB27" s="996">
        <v>-374487.1153</v>
      </c>
    </row>
    <row r="28" spans="1:28">
      <c r="D28" s="802"/>
      <c r="E28" s="842"/>
      <c r="F28" s="842"/>
      <c r="G28" s="842"/>
      <c r="H28" s="842"/>
      <c r="I28" s="800"/>
      <c r="J28" s="820">
        <v>0</v>
      </c>
      <c r="K28" s="820">
        <v>0</v>
      </c>
      <c r="L28" s="820">
        <v>0</v>
      </c>
      <c r="M28" s="820"/>
      <c r="N28" s="820"/>
      <c r="O28" s="820"/>
      <c r="P28" s="820"/>
      <c r="R28" s="1106">
        <v>566381.82466158399</v>
      </c>
      <c r="S28" s="1106">
        <f>S15-S21</f>
        <v>-9214.1528799999978</v>
      </c>
      <c r="T28" s="1106">
        <v>0</v>
      </c>
      <c r="U28" s="1106">
        <v>611738.76766158396</v>
      </c>
      <c r="AB28" s="797">
        <v>-112.3308</v>
      </c>
    </row>
    <row r="29" spans="1:28">
      <c r="A29" s="797" t="s">
        <v>566</v>
      </c>
      <c r="E29" s="843">
        <v>0</v>
      </c>
      <c r="F29" s="843">
        <f>SUM(F27:F28)</f>
        <v>-16693.395640000006</v>
      </c>
      <c r="G29" s="843">
        <f>SUM(G27:G28)</f>
        <v>0</v>
      </c>
      <c r="H29" s="843">
        <f>SUM(H27:H28)</f>
        <v>-16693.395640000006</v>
      </c>
      <c r="J29" s="818">
        <v>0</v>
      </c>
      <c r="K29" s="818">
        <v>59121</v>
      </c>
      <c r="L29" s="818">
        <v>-3040</v>
      </c>
      <c r="M29" s="818">
        <v>0</v>
      </c>
      <c r="N29" s="818">
        <v>48869.698189999901</v>
      </c>
      <c r="O29" s="818">
        <v>0</v>
      </c>
      <c r="P29" s="818">
        <v>48869.698189999901</v>
      </c>
      <c r="R29" s="812"/>
      <c r="V29" s="798">
        <v>1889851.18</v>
      </c>
      <c r="W29" s="996">
        <v>192909.50709999999</v>
      </c>
      <c r="AB29" s="996">
        <v>-362774.16310000001</v>
      </c>
    </row>
    <row r="30" spans="1:28" ht="8.1" customHeight="1">
      <c r="E30" s="844"/>
      <c r="F30" s="844"/>
      <c r="G30" s="844"/>
      <c r="H30" s="844"/>
      <c r="J30" s="817"/>
      <c r="K30" s="817"/>
      <c r="L30" s="817"/>
      <c r="M30" s="817"/>
      <c r="N30" s="817"/>
      <c r="O30" s="817"/>
      <c r="P30" s="817"/>
      <c r="U30" s="1127">
        <v>4506794</v>
      </c>
      <c r="V30" s="798">
        <v>565976.02</v>
      </c>
      <c r="W30" s="996">
        <v>58432.801200000002</v>
      </c>
      <c r="AB30" s="996">
        <v>-46716.243600000002</v>
      </c>
    </row>
    <row r="31" spans="1:28" ht="13.8" thickBot="1">
      <c r="A31" s="539" t="s">
        <v>421</v>
      </c>
      <c r="D31" s="802"/>
      <c r="E31" s="810">
        <f>E12+E17-E24+E29</f>
        <v>398856.84712000005</v>
      </c>
      <c r="F31" s="810">
        <f>F12+F17-F24+F29</f>
        <v>41898.604359999998</v>
      </c>
      <c r="G31" s="810" t="e">
        <f>#REF!</f>
        <v>#REF!</v>
      </c>
      <c r="H31" s="810">
        <f>H12+H17-H24+H29</f>
        <v>440755.45148000005</v>
      </c>
      <c r="I31" s="801"/>
      <c r="J31" s="810">
        <v>2864368</v>
      </c>
      <c r="K31" s="810">
        <v>236562</v>
      </c>
      <c r="L31" s="810">
        <v>5020</v>
      </c>
      <c r="M31" s="809">
        <v>431954.58799999999</v>
      </c>
      <c r="N31" s="809">
        <v>39203.946189999901</v>
      </c>
      <c r="O31" s="809"/>
      <c r="P31" s="809">
        <v>471158.53418999992</v>
      </c>
      <c r="R31" s="798">
        <f>BS!G30</f>
        <v>440755.15676000004</v>
      </c>
      <c r="S31" s="798">
        <v>850192.57609999995</v>
      </c>
      <c r="U31" s="1127">
        <v>2558492</v>
      </c>
      <c r="V31" s="798">
        <v>1215665.6100000001</v>
      </c>
      <c r="W31" s="996">
        <v>124055.76330000001</v>
      </c>
      <c r="AB31" s="797">
        <v>-169.86869999999999</v>
      </c>
    </row>
    <row r="32" spans="1:28" ht="8.1" customHeight="1" thickTop="1">
      <c r="A32" s="539"/>
      <c r="D32" s="802"/>
      <c r="E32" s="800"/>
      <c r="F32" s="800"/>
      <c r="G32" s="800"/>
      <c r="H32" s="800"/>
      <c r="I32" s="800"/>
      <c r="J32" s="800"/>
      <c r="K32" s="800"/>
      <c r="L32" s="800"/>
      <c r="M32" s="800"/>
      <c r="N32" s="800"/>
      <c r="O32" s="800"/>
      <c r="P32" s="800"/>
      <c r="S32" s="798">
        <v>853386.31640000001</v>
      </c>
      <c r="U32" s="1127">
        <v>7065286</v>
      </c>
      <c r="V32" s="798">
        <v>118000</v>
      </c>
      <c r="W32" s="996">
        <v>11859.742899999999</v>
      </c>
      <c r="AB32" s="996">
        <v>-333934.5944</v>
      </c>
    </row>
    <row r="33" spans="1:28">
      <c r="A33" s="797" t="s">
        <v>422</v>
      </c>
      <c r="D33" s="802"/>
      <c r="E33" s="800"/>
      <c r="F33" s="800"/>
      <c r="G33" s="800"/>
      <c r="H33" s="800"/>
      <c r="I33" s="800"/>
      <c r="J33" s="800"/>
      <c r="K33" s="800"/>
      <c r="L33" s="800"/>
      <c r="M33" s="800"/>
      <c r="N33" s="800"/>
      <c r="O33" s="800"/>
      <c r="P33" s="800"/>
      <c r="S33" s="798">
        <v>141719.011</v>
      </c>
      <c r="V33" s="798">
        <v>10433.700000000001</v>
      </c>
      <c r="W33" s="996">
        <v>1092.9593</v>
      </c>
      <c r="AB33" s="996">
        <v>-55674.5334</v>
      </c>
    </row>
    <row r="34" spans="1:28">
      <c r="A34" s="797" t="s">
        <v>423</v>
      </c>
      <c r="D34" s="802"/>
      <c r="F34" s="806">
        <v>41469</v>
      </c>
      <c r="G34" s="800"/>
      <c r="I34" s="800"/>
      <c r="J34" s="800"/>
      <c r="L34" s="800"/>
      <c r="M34" s="800"/>
      <c r="N34" s="811">
        <v>19862</v>
      </c>
      <c r="O34" s="800"/>
      <c r="R34" s="812"/>
      <c r="S34" s="798">
        <v>89431.475699999995</v>
      </c>
      <c r="V34" s="798">
        <v>2412632.08</v>
      </c>
      <c r="W34" s="996">
        <v>248371.30790000001</v>
      </c>
      <c r="AB34" s="797">
        <v>-238.80959999999999</v>
      </c>
    </row>
    <row r="35" spans="1:28">
      <c r="A35" s="797" t="s">
        <v>424</v>
      </c>
      <c r="D35" s="802"/>
      <c r="F35" s="1132">
        <v>17123</v>
      </c>
      <c r="G35" s="800"/>
      <c r="I35" s="800"/>
      <c r="J35" s="800"/>
      <c r="L35" s="800"/>
      <c r="M35" s="800"/>
      <c r="N35" s="816">
        <v>-27469</v>
      </c>
      <c r="O35" s="800"/>
      <c r="Q35" s="812">
        <f>N31-47567</f>
        <v>-8363.0538100000995</v>
      </c>
      <c r="R35" s="797">
        <f>+BS!I37</f>
        <v>38891084</v>
      </c>
      <c r="S35" s="798">
        <v>4877.2169000000004</v>
      </c>
      <c r="V35" s="798">
        <v>-331124.18</v>
      </c>
      <c r="W35" s="996">
        <v>-33548.549200000001</v>
      </c>
      <c r="AB35" s="996">
        <v>-173395.0148</v>
      </c>
    </row>
    <row r="36" spans="1:28">
      <c r="D36" s="802"/>
      <c r="F36" s="806">
        <f>SUM(F34:F35)</f>
        <v>58592</v>
      </c>
      <c r="G36" s="800"/>
      <c r="I36" s="800"/>
      <c r="J36" s="800"/>
      <c r="L36" s="800"/>
      <c r="M36" s="800"/>
      <c r="N36" s="811">
        <v>-7607</v>
      </c>
      <c r="O36" s="800"/>
      <c r="R36" s="797">
        <f>+R35-6348453+2013430</f>
        <v>34556061</v>
      </c>
      <c r="S36" s="798">
        <v>935.45370000000003</v>
      </c>
      <c r="V36" s="798">
        <v>-19210.77</v>
      </c>
      <c r="W36" s="996">
        <v>-1953.7633000000001</v>
      </c>
      <c r="AB36" s="996">
        <f>SUM(AB25:AB35)</f>
        <v>-1661848.3958000003</v>
      </c>
    </row>
    <row r="37" spans="1:28" hidden="1">
      <c r="A37" s="797" t="s">
        <v>560</v>
      </c>
      <c r="D37" s="802"/>
      <c r="F37" s="806" t="e">
        <f>#REF!</f>
        <v>#REF!</v>
      </c>
      <c r="G37" s="800"/>
      <c r="I37" s="800"/>
      <c r="J37" s="800"/>
      <c r="L37" s="800"/>
      <c r="M37" s="800"/>
      <c r="N37" s="811">
        <v>0</v>
      </c>
      <c r="O37" s="800"/>
      <c r="S37" s="798">
        <v>5841.2615999999998</v>
      </c>
      <c r="V37" s="798">
        <v>-430148.47</v>
      </c>
      <c r="W37" s="996">
        <v>-43827.751900000003</v>
      </c>
    </row>
    <row r="38" spans="1:28" hidden="1">
      <c r="A38" s="539" t="s">
        <v>422</v>
      </c>
      <c r="D38" s="802"/>
      <c r="F38" s="1016" t="e">
        <f>F36+F37</f>
        <v>#REF!</v>
      </c>
      <c r="G38" s="800"/>
      <c r="I38" s="800"/>
      <c r="J38" s="800"/>
      <c r="L38" s="800"/>
      <c r="M38" s="800"/>
      <c r="N38" s="1015">
        <f>N36+N37</f>
        <v>-7607</v>
      </c>
      <c r="O38" s="800"/>
      <c r="S38" s="798">
        <v>67046.803400000004</v>
      </c>
      <c r="V38" s="798">
        <v>-1215665.6100000001</v>
      </c>
      <c r="W38" s="996">
        <v>-124055.764</v>
      </c>
    </row>
    <row r="39" spans="1:28">
      <c r="D39" s="802"/>
      <c r="F39" s="806"/>
      <c r="G39" s="800"/>
      <c r="I39" s="800"/>
      <c r="J39" s="800"/>
      <c r="L39" s="800"/>
      <c r="M39" s="800"/>
      <c r="N39" s="800"/>
      <c r="O39" s="800"/>
      <c r="S39" s="798">
        <v>-141729.3524</v>
      </c>
      <c r="V39" s="798">
        <v>-565</v>
      </c>
      <c r="W39" s="797">
        <v>-55.500999999999998</v>
      </c>
    </row>
    <row r="40" spans="1:28">
      <c r="A40" s="858" t="s">
        <v>349</v>
      </c>
      <c r="D40" s="802"/>
      <c r="F40" s="801"/>
      <c r="G40" s="800"/>
      <c r="I40" s="800"/>
      <c r="J40" s="800"/>
      <c r="L40" s="800"/>
      <c r="M40" s="800"/>
      <c r="N40" s="800"/>
      <c r="O40" s="800"/>
      <c r="S40" s="798">
        <v>-57964.8747</v>
      </c>
      <c r="V40" s="798">
        <v>-17257195.620000001</v>
      </c>
      <c r="W40" s="996">
        <v>-1826283.2753000001</v>
      </c>
    </row>
    <row r="41" spans="1:28">
      <c r="A41" s="797" t="s">
        <v>425</v>
      </c>
      <c r="D41" s="802"/>
      <c r="F41" s="845">
        <f>+IS!E57</f>
        <v>0</v>
      </c>
      <c r="G41" s="800"/>
      <c r="I41" s="800"/>
      <c r="J41" s="800"/>
      <c r="L41" s="800"/>
      <c r="M41" s="800"/>
      <c r="N41" s="1027">
        <v>46810.946189999901</v>
      </c>
      <c r="O41" s="800"/>
      <c r="S41" s="798">
        <v>-3354463.2152</v>
      </c>
      <c r="V41" s="798">
        <v>-19658197.039999999</v>
      </c>
      <c r="W41" s="996">
        <v>-2031492.5556999999</v>
      </c>
    </row>
    <row r="42" spans="1:28">
      <c r="A42" s="797" t="s">
        <v>426</v>
      </c>
      <c r="D42" s="802"/>
      <c r="F42" s="846">
        <f>IS!E58</f>
        <v>0</v>
      </c>
      <c r="G42" s="814"/>
      <c r="I42" s="800"/>
      <c r="J42" s="800"/>
      <c r="L42" s="800"/>
      <c r="M42" s="800"/>
      <c r="N42" s="1028">
        <v>0</v>
      </c>
      <c r="O42" s="800"/>
      <c r="S42" s="798">
        <v>-1385242.0201000001</v>
      </c>
      <c r="V42" s="798">
        <v>-2858417.67</v>
      </c>
      <c r="W42" s="996">
        <v>-290436.21950000001</v>
      </c>
    </row>
    <row r="43" spans="1:28">
      <c r="D43" s="802"/>
      <c r="F43" s="847">
        <f>SUM(F41:F42)</f>
        <v>0</v>
      </c>
      <c r="G43" s="814"/>
      <c r="I43" s="800"/>
      <c r="J43" s="800"/>
      <c r="L43" s="800"/>
      <c r="M43" s="800"/>
      <c r="N43" s="1029">
        <v>46810.946189999901</v>
      </c>
      <c r="O43" s="800"/>
      <c r="S43" s="798">
        <v>-1316432.5711000001</v>
      </c>
      <c r="V43" s="798">
        <v>-3292855.77</v>
      </c>
      <c r="W43" s="996">
        <v>-340992.89970000001</v>
      </c>
    </row>
    <row r="44" spans="1:28" ht="8.1" customHeight="1">
      <c r="D44" s="802"/>
      <c r="E44" s="814"/>
      <c r="F44" s="848"/>
      <c r="G44" s="814"/>
      <c r="I44" s="814"/>
      <c r="J44" s="814"/>
      <c r="L44" s="814"/>
      <c r="M44" s="814"/>
      <c r="N44" s="814"/>
      <c r="O44" s="814"/>
      <c r="S44" s="798">
        <v>-92620.714500000002</v>
      </c>
      <c r="W44" s="996"/>
    </row>
    <row r="45" spans="1:28">
      <c r="A45" s="815" t="s">
        <v>559</v>
      </c>
      <c r="D45" s="802"/>
      <c r="E45" s="814"/>
      <c r="F45" s="849">
        <f>OCI!F15</f>
        <v>-16693.395640000006</v>
      </c>
      <c r="G45" s="814"/>
      <c r="I45" s="814"/>
      <c r="J45" s="814"/>
      <c r="L45" s="814"/>
      <c r="M45" s="814"/>
      <c r="N45" s="813">
        <v>0</v>
      </c>
      <c r="O45" s="814"/>
      <c r="R45" s="996">
        <v>850192.57609999995</v>
      </c>
      <c r="W45" s="996"/>
    </row>
    <row r="46" spans="1:28" ht="7.5" customHeight="1">
      <c r="A46" s="860"/>
      <c r="D46" s="802"/>
      <c r="E46" s="814"/>
      <c r="F46" s="849"/>
      <c r="G46" s="814"/>
      <c r="I46" s="814"/>
      <c r="J46" s="814"/>
      <c r="L46" s="814"/>
      <c r="M46" s="814"/>
      <c r="N46" s="813"/>
      <c r="O46" s="814"/>
      <c r="R46" s="996">
        <v>853386.31640000001</v>
      </c>
      <c r="W46" s="996"/>
    </row>
    <row r="47" spans="1:28" ht="8.1" customHeight="1">
      <c r="D47" s="802"/>
      <c r="E47" s="814"/>
      <c r="F47" s="848"/>
      <c r="G47" s="814"/>
      <c r="I47" s="814"/>
      <c r="J47" s="814"/>
      <c r="L47" s="814"/>
      <c r="M47" s="814"/>
      <c r="N47" s="814"/>
      <c r="O47" s="814"/>
      <c r="R47" s="996">
        <v>141719.011</v>
      </c>
      <c r="W47" s="996"/>
    </row>
    <row r="48" spans="1:28">
      <c r="A48" s="797" t="s">
        <v>419</v>
      </c>
      <c r="D48" s="802"/>
      <c r="E48" s="800"/>
      <c r="F48" s="849">
        <v>0</v>
      </c>
      <c r="G48" s="800"/>
      <c r="I48" s="800"/>
      <c r="J48" s="800"/>
      <c r="L48" s="800"/>
      <c r="M48" s="800"/>
      <c r="N48" s="813">
        <v>0</v>
      </c>
      <c r="O48" s="800"/>
      <c r="R48" s="996">
        <v>89431.475699999995</v>
      </c>
      <c r="W48" s="996"/>
    </row>
    <row r="49" spans="1:23" ht="8.1" customHeight="1">
      <c r="D49" s="802"/>
      <c r="E49" s="800"/>
      <c r="F49" s="801"/>
      <c r="G49" s="800"/>
      <c r="I49" s="800"/>
      <c r="J49" s="800"/>
      <c r="L49" s="800"/>
      <c r="M49" s="800"/>
      <c r="N49" s="800"/>
      <c r="O49" s="800"/>
      <c r="R49" s="996">
        <v>4877.2169000000004</v>
      </c>
      <c r="W49" s="996"/>
    </row>
    <row r="50" spans="1:23" ht="15" customHeight="1" thickBot="1">
      <c r="A50" s="797" t="s">
        <v>427</v>
      </c>
      <c r="D50" s="802"/>
      <c r="E50" s="800"/>
      <c r="F50" s="810">
        <f>+F36+F43+F45</f>
        <v>41898.604359999998</v>
      </c>
      <c r="G50" s="800"/>
      <c r="I50" s="800"/>
      <c r="J50" s="800"/>
      <c r="L50" s="800"/>
      <c r="M50" s="800"/>
      <c r="N50" s="809">
        <v>39203.946189999901</v>
      </c>
      <c r="O50" s="800"/>
      <c r="R50" s="812">
        <v>935.45370000000003</v>
      </c>
    </row>
    <row r="51" spans="1:23" ht="8.1" customHeight="1" thickTop="1">
      <c r="D51" s="802"/>
      <c r="E51" s="800"/>
      <c r="F51" s="801"/>
      <c r="G51" s="800"/>
      <c r="I51" s="800"/>
      <c r="J51" s="800"/>
      <c r="L51" s="800"/>
      <c r="M51" s="800"/>
      <c r="N51" s="800"/>
      <c r="O51" s="800"/>
      <c r="R51" s="996">
        <v>67046.803400000004</v>
      </c>
    </row>
    <row r="52" spans="1:23">
      <c r="A52" s="797" t="s">
        <v>427</v>
      </c>
      <c r="D52" s="802"/>
      <c r="E52" s="800"/>
      <c r="F52" s="801"/>
      <c r="G52" s="800"/>
      <c r="I52" s="800"/>
      <c r="J52" s="800"/>
      <c r="L52" s="800"/>
      <c r="M52" s="800"/>
      <c r="N52" s="800"/>
      <c r="O52" s="800"/>
      <c r="R52" s="996">
        <v>5841.2615999999998</v>
      </c>
    </row>
    <row r="53" spans="1:23">
      <c r="A53" s="797" t="s">
        <v>423</v>
      </c>
      <c r="D53" s="802"/>
      <c r="E53" s="800"/>
      <c r="F53" s="806">
        <f>+F55-F54</f>
        <v>57060.981360000005</v>
      </c>
      <c r="G53" s="800"/>
      <c r="I53" s="800"/>
      <c r="J53" s="800"/>
      <c r="K53" s="798"/>
      <c r="L53" s="800"/>
      <c r="M53" s="800"/>
      <c r="N53" s="811">
        <v>11230.643190000003</v>
      </c>
      <c r="O53" s="800"/>
      <c r="T53" s="812"/>
      <c r="U53" s="812"/>
    </row>
    <row r="54" spans="1:23">
      <c r="A54" s="797" t="s">
        <v>424</v>
      </c>
      <c r="D54" s="802"/>
      <c r="E54" s="800"/>
      <c r="F54" s="806">
        <f>+IS!E17</f>
        <v>-15162.377000000006</v>
      </c>
      <c r="G54" s="800"/>
      <c r="I54" s="800"/>
      <c r="J54" s="800"/>
      <c r="K54" s="798"/>
      <c r="L54" s="800"/>
      <c r="M54" s="800"/>
      <c r="N54" s="811">
        <v>27973.302999999898</v>
      </c>
      <c r="O54" s="800"/>
    </row>
    <row r="55" spans="1:23" ht="13.8" thickBot="1">
      <c r="D55" s="802"/>
      <c r="E55" s="800"/>
      <c r="F55" s="810">
        <f>F50</f>
        <v>41898.604359999998</v>
      </c>
      <c r="G55" s="800"/>
      <c r="I55" s="800"/>
      <c r="J55" s="800"/>
      <c r="L55" s="800"/>
      <c r="M55" s="800"/>
      <c r="N55" s="809">
        <v>39203.946189999901</v>
      </c>
      <c r="O55" s="800"/>
    </row>
    <row r="56" spans="1:23" ht="8.1" customHeight="1" thickTop="1">
      <c r="D56" s="802"/>
      <c r="E56" s="800"/>
      <c r="F56" s="800"/>
      <c r="G56" s="800"/>
      <c r="I56" s="800"/>
      <c r="J56" s="800"/>
    </row>
    <row r="57" spans="1:23">
      <c r="D57" s="802"/>
      <c r="E57" s="797"/>
      <c r="G57" s="806"/>
      <c r="H57" s="806" t="s">
        <v>428</v>
      </c>
      <c r="I57" s="806"/>
      <c r="J57" s="806"/>
      <c r="K57" s="806"/>
      <c r="L57" s="806"/>
      <c r="M57" s="806"/>
      <c r="N57" s="811" t="s">
        <v>428</v>
      </c>
      <c r="O57" s="806"/>
    </row>
    <row r="58" spans="1:23" ht="8.1" customHeight="1">
      <c r="D58" s="802"/>
      <c r="E58" s="800"/>
      <c r="G58" s="800"/>
      <c r="H58" s="800"/>
      <c r="I58" s="800"/>
      <c r="J58" s="800"/>
    </row>
    <row r="59" spans="1:23" ht="13.8" thickBot="1">
      <c r="A59" s="797" t="s">
        <v>429</v>
      </c>
      <c r="D59" s="808"/>
      <c r="E59" s="797"/>
      <c r="G59" s="807"/>
      <c r="H59" s="859">
        <f>+BS!I41</f>
        <v>11.999228409267277</v>
      </c>
      <c r="I59" s="807"/>
      <c r="J59" s="797"/>
      <c r="N59" s="803">
        <v>10.15</v>
      </c>
    </row>
    <row r="60" spans="1:23" ht="13.8" thickTop="1">
      <c r="D60" s="802"/>
      <c r="E60" s="797"/>
      <c r="G60" s="801"/>
      <c r="H60" s="806"/>
      <c r="I60" s="801"/>
      <c r="J60" s="797"/>
      <c r="N60" s="811"/>
    </row>
    <row r="61" spans="1:23" ht="13.8" thickBot="1">
      <c r="A61" s="797" t="s">
        <v>430</v>
      </c>
      <c r="D61" s="802"/>
      <c r="E61" s="797"/>
      <c r="G61" s="805"/>
      <c r="H61" s="859">
        <f>+BS!G41</f>
        <v>11.561311182934514</v>
      </c>
      <c r="I61" s="804"/>
      <c r="J61" s="797"/>
      <c r="N61" s="803">
        <v>11.33</v>
      </c>
    </row>
    <row r="62" spans="1:23" ht="13.8" thickTop="1">
      <c r="D62" s="802"/>
      <c r="E62" s="801"/>
      <c r="F62" s="801"/>
      <c r="G62" s="801"/>
      <c r="H62" s="801"/>
      <c r="I62" s="801"/>
      <c r="J62" s="800"/>
    </row>
    <row r="63" spans="1:23">
      <c r="E63" s="797"/>
      <c r="F63" s="797"/>
      <c r="G63" s="797"/>
      <c r="H63" s="797"/>
      <c r="I63" s="797"/>
      <c r="J63" s="797"/>
    </row>
    <row r="64" spans="1:23">
      <c r="A64" s="797" t="str">
        <f>+OCI!A19</f>
        <v>The annexed notes from 1 to 18 form an integral part of this condensed interim financial information.</v>
      </c>
      <c r="J64" s="797"/>
    </row>
    <row r="65" spans="1:22">
      <c r="J65" s="797"/>
    </row>
    <row r="66" spans="1:22">
      <c r="A66" s="1309"/>
      <c r="B66" s="1309"/>
      <c r="C66" s="1309"/>
      <c r="D66" s="1309"/>
      <c r="E66" s="1309"/>
      <c r="F66" s="1309"/>
      <c r="G66" s="1309"/>
      <c r="H66" s="1309"/>
      <c r="I66" s="1309"/>
      <c r="J66" s="1309"/>
      <c r="K66" s="1309"/>
      <c r="L66" s="1309"/>
      <c r="M66" s="1309"/>
      <c r="N66" s="1309"/>
      <c r="O66" s="1309"/>
      <c r="P66" s="1309"/>
    </row>
    <row r="67" spans="1:22">
      <c r="A67" s="1309"/>
      <c r="B67" s="1309"/>
      <c r="C67" s="1309"/>
      <c r="D67" s="1309"/>
      <c r="E67" s="1309"/>
      <c r="F67" s="1309"/>
      <c r="G67" s="1309"/>
      <c r="H67" s="1309"/>
      <c r="I67" s="1309"/>
      <c r="J67" s="1309"/>
      <c r="K67" s="1309"/>
      <c r="L67" s="1309"/>
      <c r="M67" s="1309"/>
      <c r="N67" s="1309"/>
      <c r="O67" s="1309"/>
      <c r="P67" s="1309"/>
    </row>
    <row r="68" spans="1:22" s="799" customFormat="1">
      <c r="A68" s="797"/>
      <c r="B68" s="797"/>
      <c r="C68" s="797"/>
      <c r="D68" s="797"/>
      <c r="E68" s="797"/>
      <c r="F68" s="797"/>
      <c r="G68" s="797"/>
      <c r="H68" s="797"/>
      <c r="I68" s="797"/>
      <c r="J68" s="797"/>
      <c r="S68" s="706"/>
      <c r="V68" s="706"/>
    </row>
    <row r="69" spans="1:22" s="799" customFormat="1">
      <c r="A69" s="797"/>
      <c r="B69" s="797"/>
      <c r="C69" s="797"/>
      <c r="D69" s="797"/>
      <c r="E69" s="797"/>
      <c r="F69" s="797"/>
      <c r="G69" s="797"/>
      <c r="H69" s="797"/>
      <c r="I69" s="797"/>
      <c r="J69" s="797"/>
      <c r="S69" s="706"/>
      <c r="V69" s="706"/>
    </row>
    <row r="70" spans="1:22" s="799" customFormat="1">
      <c r="A70" s="797"/>
      <c r="B70" s="797"/>
      <c r="C70" s="797"/>
      <c r="D70" s="797"/>
      <c r="E70" s="797"/>
      <c r="F70" s="797"/>
      <c r="G70" s="797"/>
      <c r="H70" s="797"/>
      <c r="I70" s="797"/>
      <c r="J70" s="797"/>
      <c r="S70" s="706"/>
      <c r="V70" s="706"/>
    </row>
    <row r="71" spans="1:22" s="799" customFormat="1">
      <c r="A71" s="797"/>
      <c r="B71" s="797"/>
      <c r="C71" s="797"/>
      <c r="D71" s="797"/>
      <c r="E71" s="797"/>
      <c r="F71" s="797"/>
      <c r="G71" s="797"/>
      <c r="H71" s="797"/>
      <c r="I71" s="797"/>
      <c r="J71" s="797"/>
      <c r="S71" s="706"/>
      <c r="V71" s="706"/>
    </row>
    <row r="72" spans="1:22" s="799" customFormat="1">
      <c r="A72" s="797"/>
      <c r="B72" s="797"/>
      <c r="C72" s="797"/>
      <c r="D72" s="797"/>
      <c r="E72" s="797"/>
      <c r="F72" s="797"/>
      <c r="G72" s="797"/>
      <c r="H72" s="797"/>
      <c r="I72" s="797"/>
      <c r="J72" s="797"/>
      <c r="S72" s="706"/>
      <c r="V72" s="706"/>
    </row>
    <row r="73" spans="1:22" s="799" customFormat="1">
      <c r="A73" s="1313"/>
      <c r="B73" s="1313"/>
      <c r="C73" s="1313"/>
      <c r="D73" s="896"/>
      <c r="E73" s="896"/>
      <c r="F73" s="896"/>
      <c r="G73" s="896"/>
      <c r="H73" s="1312"/>
      <c r="I73" s="1312"/>
      <c r="J73" s="1312"/>
      <c r="K73" s="1312"/>
      <c r="L73" s="1312"/>
      <c r="M73" s="1312"/>
      <c r="N73" s="1312"/>
      <c r="O73" s="1312"/>
      <c r="P73" s="1312"/>
      <c r="S73" s="706"/>
      <c r="V73" s="706"/>
    </row>
    <row r="74" spans="1:22" s="799" customFormat="1">
      <c r="A74" s="797"/>
      <c r="B74" s="797"/>
      <c r="C74" s="797"/>
      <c r="D74" s="797"/>
      <c r="E74" s="798"/>
      <c r="F74" s="798"/>
      <c r="G74" s="798"/>
      <c r="H74" s="798"/>
      <c r="I74" s="798"/>
      <c r="J74" s="798"/>
      <c r="S74" s="706"/>
      <c r="V74" s="706"/>
    </row>
    <row r="75" spans="1:22" s="799" customFormat="1">
      <c r="A75" s="797"/>
      <c r="B75" s="797"/>
      <c r="C75" s="797"/>
      <c r="D75" s="797"/>
      <c r="E75" s="798"/>
      <c r="F75" s="798"/>
      <c r="G75" s="798"/>
      <c r="H75" s="798"/>
      <c r="I75" s="798"/>
      <c r="J75" s="798"/>
      <c r="S75" s="706"/>
      <c r="V75" s="706"/>
    </row>
    <row r="76" spans="1:22" s="799" customFormat="1">
      <c r="A76" s="797"/>
      <c r="B76" s="797"/>
      <c r="C76" s="797"/>
      <c r="D76" s="797"/>
      <c r="E76" s="798"/>
      <c r="F76" s="798"/>
      <c r="G76" s="798"/>
      <c r="H76" s="798"/>
      <c r="I76" s="798"/>
      <c r="J76" s="798"/>
      <c r="S76" s="706"/>
      <c r="V76" s="706"/>
    </row>
    <row r="77" spans="1:22" s="799" customFormat="1">
      <c r="A77" s="797"/>
      <c r="B77" s="797"/>
      <c r="C77" s="797"/>
      <c r="D77" s="797"/>
      <c r="E77" s="798"/>
      <c r="F77" s="798">
        <v>566381.82466158399</v>
      </c>
      <c r="G77" s="798">
        <v>45357.432999999997</v>
      </c>
      <c r="H77" s="798">
        <v>0</v>
      </c>
      <c r="I77" s="798">
        <v>611738.76766158396</v>
      </c>
      <c r="J77" s="798"/>
      <c r="S77" s="706"/>
      <c r="V77" s="706"/>
    </row>
  </sheetData>
  <mergeCells count="8">
    <mergeCell ref="A66:P66"/>
    <mergeCell ref="A67:P67"/>
    <mergeCell ref="H73:P73"/>
    <mergeCell ref="A73:C73"/>
    <mergeCell ref="E6:P6"/>
    <mergeCell ref="E7:H7"/>
    <mergeCell ref="J7:P7"/>
    <mergeCell ref="E8:P8"/>
  </mergeCells>
  <pageMargins left="0.5699989063867017" right="0.52" top="0.75" bottom="0.75" header="0.3" footer="0.3"/>
  <pageSetup scale="74" fitToHeight="0" orientation="portrait" r:id="rId1"/>
  <headerFooter alignWithMargins="0"/>
  <colBreaks count="1" manualBreakCount="1">
    <brk id="16" max="1048575" man="1"/>
  </colBreaks>
  <ignoredErrors>
    <ignoredError sqref="E1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68"/>
  <sheetViews>
    <sheetView showGridLines="0" view="pageBreakPreview" zoomScale="90" zoomScaleNormal="80" zoomScaleSheetLayoutView="90" workbookViewId="0">
      <selection activeCell="A45" sqref="A45"/>
    </sheetView>
  </sheetViews>
  <sheetFormatPr defaultColWidth="12.6640625" defaultRowHeight="13.2"/>
  <cols>
    <col min="1" max="1" width="5.6640625" style="6" customWidth="1"/>
    <col min="2" max="2" width="18.6640625" style="6" customWidth="1"/>
    <col min="3" max="3" width="38.5546875" style="6" customWidth="1"/>
    <col min="4" max="4" width="18.33203125" style="6" customWidth="1"/>
    <col min="5" max="5" width="10.6640625" style="6" customWidth="1"/>
    <col min="6" max="6" width="1" style="6" customWidth="1"/>
    <col min="7" max="7" width="10.6640625" style="6" customWidth="1"/>
    <col min="8" max="8" width="1" style="6" hidden="1" customWidth="1"/>
    <col min="9" max="9" width="10.6640625" style="6" hidden="1" customWidth="1"/>
    <col min="10" max="10" width="1" style="6" hidden="1" customWidth="1"/>
    <col min="11" max="11" width="10.6640625" style="6" hidden="1" customWidth="1"/>
    <col min="12" max="12" width="11.44140625" style="207" hidden="1" customWidth="1"/>
    <col min="13" max="19" width="0" style="6" hidden="1" customWidth="1"/>
    <col min="20" max="16384" width="12.6640625" style="6"/>
  </cols>
  <sheetData>
    <row r="1" spans="1:12" s="23" customFormat="1">
      <c r="A1" s="151" t="s">
        <v>123</v>
      </c>
      <c r="B1" s="151"/>
      <c r="C1" s="151"/>
      <c r="D1" s="151"/>
      <c r="E1" s="151"/>
      <c r="F1" s="151"/>
      <c r="G1" s="224"/>
      <c r="H1" s="151"/>
      <c r="I1" s="151"/>
      <c r="J1" s="151"/>
      <c r="K1" s="224"/>
      <c r="L1" s="224"/>
    </row>
    <row r="2" spans="1:12" s="23" customFormat="1">
      <c r="A2" s="151" t="s">
        <v>295</v>
      </c>
      <c r="B2" s="151"/>
      <c r="C2" s="151"/>
      <c r="D2" s="151"/>
      <c r="E2" s="151"/>
      <c r="F2" s="151"/>
      <c r="G2" s="224"/>
      <c r="H2" s="151"/>
      <c r="I2" s="151"/>
      <c r="J2" s="151"/>
      <c r="K2" s="224"/>
      <c r="L2" s="224"/>
    </row>
    <row r="3" spans="1:12" s="207" customFormat="1">
      <c r="A3" s="1" t="str">
        <f>+'UHF-Updated'!A3</f>
        <v>FOR THE QUARTER ENDED SEPTEMBER 30, 2021</v>
      </c>
      <c r="B3" s="1"/>
      <c r="C3" s="1"/>
      <c r="D3" s="1"/>
      <c r="E3" s="1"/>
      <c r="F3" s="193"/>
      <c r="G3" s="193"/>
      <c r="H3" s="193"/>
      <c r="I3" s="193"/>
      <c r="J3" s="193"/>
      <c r="K3" s="193"/>
      <c r="L3" s="193"/>
    </row>
    <row r="4" spans="1:12">
      <c r="A4" s="152"/>
      <c r="B4" s="225"/>
      <c r="C4" s="225"/>
      <c r="D4" s="225"/>
      <c r="E4" s="225"/>
      <c r="F4" s="225"/>
      <c r="G4" s="226"/>
      <c r="H4" s="225"/>
      <c r="I4" s="225"/>
      <c r="J4" s="225"/>
      <c r="K4" s="226"/>
      <c r="L4" s="226"/>
    </row>
    <row r="5" spans="1:12">
      <c r="A5" s="152"/>
      <c r="B5" s="225"/>
      <c r="C5" s="153"/>
      <c r="D5" s="153"/>
      <c r="E5" s="1318" t="str">
        <f>+'UHF-Updated'!E6:P6</f>
        <v>September 30,</v>
      </c>
      <c r="F5" s="1318"/>
      <c r="G5" s="1318"/>
      <c r="H5" s="225"/>
      <c r="I5" s="1319" t="str">
        <f>E5</f>
        <v>September 30,</v>
      </c>
      <c r="J5" s="1319"/>
      <c r="K5" s="1319"/>
      <c r="L5" s="693"/>
    </row>
    <row r="6" spans="1:12">
      <c r="A6" s="152"/>
      <c r="B6" s="225"/>
      <c r="C6" s="153"/>
      <c r="D6" s="153"/>
      <c r="E6" s="154" t="s">
        <v>653</v>
      </c>
      <c r="F6" s="155"/>
      <c r="G6" s="227" t="s">
        <v>607</v>
      </c>
      <c r="H6" s="156"/>
      <c r="I6" s="154" t="s">
        <v>441</v>
      </c>
      <c r="J6" s="155"/>
      <c r="K6" s="227" t="s">
        <v>304</v>
      </c>
      <c r="L6" s="228"/>
    </row>
    <row r="7" spans="1:12">
      <c r="A7" s="225"/>
      <c r="B7" s="225"/>
      <c r="C7" s="225"/>
      <c r="D7" s="225"/>
      <c r="E7" s="1320" t="s">
        <v>270</v>
      </c>
      <c r="F7" s="1321"/>
      <c r="G7" s="1321"/>
      <c r="H7" s="1321"/>
      <c r="I7" s="1321"/>
      <c r="J7" s="1321"/>
      <c r="K7" s="1321"/>
      <c r="L7" s="694"/>
    </row>
    <row r="8" spans="1:12">
      <c r="A8" s="152" t="s">
        <v>530</v>
      </c>
      <c r="B8" s="225"/>
      <c r="C8" s="225"/>
      <c r="D8" s="225"/>
      <c r="E8" s="157"/>
      <c r="F8" s="157"/>
      <c r="G8" s="229"/>
      <c r="H8" s="225"/>
      <c r="I8" s="157"/>
      <c r="J8" s="157"/>
      <c r="K8" s="229"/>
      <c r="L8" s="229"/>
    </row>
    <row r="9" spans="1:12">
      <c r="A9" s="152"/>
      <c r="B9" s="225"/>
      <c r="C9" s="225"/>
      <c r="D9" s="225"/>
      <c r="E9" s="157"/>
      <c r="F9" s="157"/>
      <c r="G9" s="229"/>
      <c r="H9" s="225"/>
      <c r="I9" s="158"/>
      <c r="J9" s="157"/>
      <c r="K9" s="229"/>
      <c r="L9" s="229"/>
    </row>
    <row r="10" spans="1:12">
      <c r="A10" s="230" t="s">
        <v>296</v>
      </c>
      <c r="B10" s="225"/>
      <c r="C10" s="226"/>
      <c r="D10" s="226"/>
      <c r="E10" s="159">
        <f>IS!E48</f>
        <v>-16693.395640000006</v>
      </c>
      <c r="F10" s="231"/>
      <c r="G10" s="232">
        <v>48869.698189999901</v>
      </c>
      <c r="H10" s="232"/>
      <c r="I10" s="159" t="e">
        <f>IS!#REF!</f>
        <v>#REF!</v>
      </c>
      <c r="J10" s="231"/>
      <c r="K10" s="232" t="e">
        <f>IS!#REF!</f>
        <v>#REF!</v>
      </c>
      <c r="L10" s="232">
        <f>23183+1</f>
        <v>23184</v>
      </c>
    </row>
    <row r="11" spans="1:12">
      <c r="A11" s="225"/>
      <c r="B11" s="225"/>
      <c r="C11" s="226"/>
      <c r="D11" s="226"/>
      <c r="E11" s="159"/>
      <c r="F11" s="231"/>
      <c r="G11" s="232"/>
      <c r="H11" s="232"/>
      <c r="I11" s="159"/>
      <c r="J11" s="231"/>
      <c r="K11" s="232"/>
      <c r="L11" s="232"/>
    </row>
    <row r="12" spans="1:12">
      <c r="A12" s="160" t="s">
        <v>297</v>
      </c>
      <c r="B12" s="225"/>
      <c r="C12" s="226"/>
      <c r="D12" s="226"/>
      <c r="E12" s="159"/>
      <c r="F12" s="231"/>
      <c r="G12" s="232"/>
      <c r="H12" s="232"/>
      <c r="I12" s="159"/>
      <c r="J12" s="231"/>
      <c r="K12" s="232"/>
      <c r="L12" s="232"/>
    </row>
    <row r="13" spans="1:12">
      <c r="A13" s="233" t="s">
        <v>364</v>
      </c>
      <c r="B13" s="225"/>
      <c r="C13" s="226"/>
      <c r="D13" s="226"/>
      <c r="E13" s="159"/>
      <c r="F13" s="231"/>
      <c r="G13" s="232"/>
      <c r="H13" s="232"/>
      <c r="I13" s="159"/>
      <c r="J13" s="231"/>
      <c r="K13" s="232"/>
      <c r="L13" s="232"/>
    </row>
    <row r="14" spans="1:12">
      <c r="A14" s="234" t="s">
        <v>298</v>
      </c>
      <c r="B14" s="225"/>
      <c r="C14" s="226"/>
      <c r="D14" s="226"/>
      <c r="E14" s="165">
        <f>-IS!E17</f>
        <v>15162.377000000006</v>
      </c>
      <c r="F14" s="232"/>
      <c r="G14" s="235">
        <v>-27973.302999999898</v>
      </c>
      <c r="H14" s="232"/>
      <c r="I14" s="165" t="e">
        <f>-IS!#REF!</f>
        <v>#REF!</v>
      </c>
      <c r="J14" s="232"/>
      <c r="K14" s="235">
        <v>-18936</v>
      </c>
      <c r="L14" s="232">
        <v>122</v>
      </c>
    </row>
    <row r="15" spans="1:12">
      <c r="B15" s="225"/>
      <c r="C15" s="226"/>
      <c r="D15" s="226"/>
      <c r="E15" s="162">
        <f>SUM(E14:E14)</f>
        <v>15162.377000000006</v>
      </c>
      <c r="F15" s="232">
        <f>SUM(F10:F14)</f>
        <v>0</v>
      </c>
      <c r="G15" s="163">
        <v>-27973.302999999898</v>
      </c>
      <c r="H15" s="232"/>
      <c r="I15" s="162" t="e">
        <f>SUM(I14:I14)</f>
        <v>#REF!</v>
      </c>
      <c r="J15" s="232"/>
      <c r="K15" s="239" t="e">
        <f>K14+#REF!</f>
        <v>#REF!</v>
      </c>
      <c r="L15" s="239">
        <f>SUM(L10:L14)</f>
        <v>23306</v>
      </c>
    </row>
    <row r="16" spans="1:12">
      <c r="A16" s="23"/>
      <c r="B16" s="225"/>
      <c r="C16" s="226"/>
      <c r="D16" s="226"/>
      <c r="E16" s="159"/>
      <c r="F16" s="232"/>
      <c r="G16" s="232"/>
      <c r="H16" s="232"/>
      <c r="I16" s="159"/>
      <c r="J16" s="232"/>
      <c r="K16" s="232"/>
      <c r="L16" s="232"/>
    </row>
    <row r="17" spans="1:13">
      <c r="A17" s="164" t="s">
        <v>643</v>
      </c>
      <c r="B17" s="225"/>
      <c r="C17" s="226"/>
      <c r="D17" s="226"/>
      <c r="E17" s="159"/>
      <c r="F17" s="231"/>
      <c r="G17" s="232"/>
      <c r="H17" s="232"/>
      <c r="I17" s="159"/>
      <c r="J17" s="231"/>
      <c r="K17" s="232"/>
      <c r="L17" s="232"/>
    </row>
    <row r="18" spans="1:13">
      <c r="A18" s="164"/>
      <c r="B18" s="225"/>
      <c r="C18" s="226"/>
      <c r="D18" s="226"/>
      <c r="E18" s="159"/>
      <c r="F18" s="231"/>
      <c r="G18" s="232"/>
      <c r="H18" s="232"/>
      <c r="I18" s="159"/>
      <c r="J18" s="231"/>
      <c r="K18" s="232"/>
      <c r="L18" s="232"/>
    </row>
    <row r="19" spans="1:13">
      <c r="A19" s="240" t="s">
        <v>133</v>
      </c>
      <c r="B19" s="225"/>
      <c r="C19" s="225"/>
      <c r="D19" s="225"/>
      <c r="E19" s="165">
        <f>BS!J12-E14+1</f>
        <v>-39420.906000000046</v>
      </c>
      <c r="F19" s="232"/>
      <c r="G19" s="235">
        <v>73666</v>
      </c>
      <c r="H19" s="231"/>
      <c r="I19" s="166" t="e">
        <f>-'Cash Flow working'!#REF!</f>
        <v>#REF!</v>
      </c>
      <c r="J19" s="232"/>
      <c r="K19" s="235">
        <v>148063.67800000001</v>
      </c>
      <c r="L19" s="235">
        <v>-13896</v>
      </c>
    </row>
    <row r="20" spans="1:13">
      <c r="A20" s="240" t="s">
        <v>134</v>
      </c>
      <c r="B20" s="225"/>
      <c r="C20" s="226"/>
      <c r="D20" s="226"/>
      <c r="E20" s="167">
        <f>BS!J13</f>
        <v>-2699.12032</v>
      </c>
      <c r="F20" s="241"/>
      <c r="G20" s="242">
        <v>1343</v>
      </c>
      <c r="H20" s="243"/>
      <c r="I20" s="167" t="e">
        <f>-'Cash Flow working'!#REF!</f>
        <v>#REF!</v>
      </c>
      <c r="J20" s="231"/>
      <c r="K20" s="236">
        <v>3239</v>
      </c>
      <c r="L20" s="236">
        <v>-2595</v>
      </c>
    </row>
    <row r="21" spans="1:13">
      <c r="A21" s="240" t="s">
        <v>135</v>
      </c>
      <c r="B21" s="225"/>
      <c r="C21" s="225"/>
      <c r="D21" s="225"/>
      <c r="E21" s="168">
        <f>BS!J14</f>
        <v>-797.32175999999981</v>
      </c>
      <c r="F21" s="232"/>
      <c r="G21" s="236">
        <v>-1407</v>
      </c>
      <c r="H21" s="231"/>
      <c r="I21" s="167" t="e">
        <f>-'Cash Flow working'!#REF!</f>
        <v>#REF!</v>
      </c>
      <c r="J21" s="232"/>
      <c r="K21" s="236">
        <v>52</v>
      </c>
      <c r="L21" s="236">
        <f>-16+1</f>
        <v>-15</v>
      </c>
    </row>
    <row r="22" spans="1:13">
      <c r="A22" s="240" t="str">
        <f>+BS!A15</f>
        <v>Receivable against sale of investments</v>
      </c>
      <c r="B22" s="225"/>
      <c r="C22" s="225"/>
      <c r="D22" s="225"/>
      <c r="E22" s="169">
        <f>BS!J15</f>
        <v>-186160.97703000001</v>
      </c>
      <c r="F22" s="232"/>
      <c r="G22" s="238">
        <v>314</v>
      </c>
      <c r="H22" s="231"/>
      <c r="I22" s="167"/>
      <c r="J22" s="232"/>
      <c r="K22" s="236"/>
      <c r="L22" s="236"/>
    </row>
    <row r="23" spans="1:13">
      <c r="B23" s="225"/>
      <c r="C23" s="225"/>
      <c r="D23" s="225"/>
      <c r="E23" s="159">
        <f>SUM(E19:E22)</f>
        <v>-229078.32511000006</v>
      </c>
      <c r="F23" s="232">
        <f>SUM(F19:F22)</f>
        <v>0</v>
      </c>
      <c r="G23" s="1049">
        <f>SUM(G19:G22)</f>
        <v>73916</v>
      </c>
      <c r="H23" s="232">
        <f>SUM(H19:H22)</f>
        <v>0</v>
      </c>
      <c r="I23" s="159" t="e">
        <f>SUM(I19:I22)</f>
        <v>#REF!</v>
      </c>
      <c r="J23" s="232"/>
      <c r="K23" s="232">
        <f>SUM(K19:K22)</f>
        <v>151354.67800000001</v>
      </c>
      <c r="L23" s="232">
        <f>SUM(L19:L22)</f>
        <v>-16506</v>
      </c>
    </row>
    <row r="24" spans="1:13">
      <c r="A24" s="164"/>
      <c r="B24" s="225"/>
      <c r="C24" s="225"/>
      <c r="D24" s="225"/>
      <c r="E24" s="159"/>
      <c r="F24" s="232"/>
      <c r="G24" s="232"/>
      <c r="H24" s="232"/>
      <c r="I24" s="159"/>
      <c r="J24" s="232"/>
      <c r="K24" s="232"/>
      <c r="L24" s="232"/>
    </row>
    <row r="25" spans="1:13">
      <c r="A25" s="152" t="s">
        <v>741</v>
      </c>
      <c r="B25" s="225"/>
      <c r="C25" s="226"/>
      <c r="D25" s="226"/>
      <c r="E25" s="159"/>
      <c r="F25" s="231"/>
      <c r="G25" s="232"/>
      <c r="H25" s="232"/>
      <c r="I25" s="159"/>
      <c r="J25" s="231"/>
      <c r="K25" s="232"/>
      <c r="L25" s="232"/>
    </row>
    <row r="26" spans="1:13">
      <c r="A26" s="152"/>
      <c r="B26" s="225"/>
      <c r="C26" s="226"/>
      <c r="D26" s="226"/>
      <c r="E26" s="159"/>
      <c r="F26" s="231"/>
      <c r="G26" s="232"/>
      <c r="H26" s="232"/>
      <c r="I26" s="159"/>
      <c r="J26" s="231"/>
      <c r="K26" s="232"/>
      <c r="L26" s="232"/>
    </row>
    <row r="27" spans="1:13">
      <c r="A27" s="244" t="s">
        <v>139</v>
      </c>
      <c r="B27" s="225"/>
      <c r="C27" s="226"/>
      <c r="D27" s="226"/>
      <c r="E27" s="165">
        <f>BS!J21-2</f>
        <v>64.532290000000103</v>
      </c>
      <c r="F27" s="231"/>
      <c r="G27" s="235">
        <v>276</v>
      </c>
      <c r="H27" s="232"/>
      <c r="I27" s="165" t="e">
        <f>'Cash Flow working'!#REF!</f>
        <v>#REF!</v>
      </c>
      <c r="J27" s="231"/>
      <c r="K27" s="235">
        <v>43</v>
      </c>
      <c r="L27" s="73">
        <v>-97</v>
      </c>
      <c r="M27" s="170"/>
    </row>
    <row r="28" spans="1:13">
      <c r="A28" s="244" t="s">
        <v>140</v>
      </c>
      <c r="B28" s="225"/>
      <c r="C28" s="226"/>
      <c r="D28" s="226"/>
      <c r="E28" s="168">
        <f>BS!J22</f>
        <v>-4.6638399999999933</v>
      </c>
      <c r="F28" s="231"/>
      <c r="G28" s="236">
        <v>12</v>
      </c>
      <c r="H28" s="232"/>
      <c r="I28" s="168" t="e">
        <f>'Cash Flow working'!#REF!</f>
        <v>#REF!</v>
      </c>
      <c r="J28" s="231"/>
      <c r="K28" s="236">
        <v>16</v>
      </c>
      <c r="L28" s="75">
        <v>-8</v>
      </c>
    </row>
    <row r="29" spans="1:13">
      <c r="A29" s="244" t="s">
        <v>141</v>
      </c>
      <c r="B29" s="225"/>
      <c r="C29" s="226"/>
      <c r="D29" s="226"/>
      <c r="E29" s="168">
        <f>BS!J23</f>
        <v>-70.674999999999997</v>
      </c>
      <c r="F29" s="171"/>
      <c r="G29" s="236">
        <v>-70</v>
      </c>
      <c r="H29" s="171"/>
      <c r="I29" s="168" t="e">
        <f>'Cash Flow working'!#REF!</f>
        <v>#REF!</v>
      </c>
      <c r="J29" s="171"/>
      <c r="K29" s="245">
        <v>137</v>
      </c>
      <c r="L29" s="246">
        <v>-514</v>
      </c>
    </row>
    <row r="30" spans="1:13">
      <c r="A30" s="244" t="s">
        <v>142</v>
      </c>
      <c r="B30" s="225"/>
      <c r="C30" s="226"/>
      <c r="D30" s="226"/>
      <c r="E30" s="1105">
        <f>BS!J24</f>
        <v>207664.01021000001</v>
      </c>
      <c r="F30" s="231"/>
      <c r="G30" s="236">
        <v>-49289</v>
      </c>
      <c r="H30" s="232"/>
      <c r="I30" s="168" t="e">
        <f>'Cash Flow working'!#REF!</f>
        <v>#REF!</v>
      </c>
      <c r="J30" s="231"/>
      <c r="K30" s="236">
        <v>6336</v>
      </c>
      <c r="L30" s="75">
        <f>8611+1</f>
        <v>8612</v>
      </c>
    </row>
    <row r="31" spans="1:13" hidden="1">
      <c r="A31" s="244" t="s">
        <v>143</v>
      </c>
      <c r="B31" s="225"/>
      <c r="C31" s="226"/>
      <c r="D31" s="226"/>
      <c r="E31" s="168">
        <f>BS!J25</f>
        <v>-0.16599999999999682</v>
      </c>
      <c r="F31" s="231"/>
      <c r="G31" s="236">
        <v>-0.16599999999999682</v>
      </c>
      <c r="H31" s="232"/>
      <c r="I31" s="168" t="e">
        <f>'Cash Flow working'!#REF!</f>
        <v>#REF!</v>
      </c>
      <c r="J31" s="231"/>
      <c r="K31" s="236">
        <v>0</v>
      </c>
      <c r="L31" s="75">
        <v>-1002</v>
      </c>
    </row>
    <row r="32" spans="1:13">
      <c r="A32" s="244" t="s">
        <v>144</v>
      </c>
      <c r="B32" s="247"/>
      <c r="C32" s="226"/>
      <c r="D32" s="226"/>
      <c r="E32" s="169">
        <f>BS!J26</f>
        <v>-5540.7340899999981</v>
      </c>
      <c r="F32" s="231"/>
      <c r="G32" s="238">
        <v>1416</v>
      </c>
      <c r="H32" s="232"/>
      <c r="I32" s="169" t="e">
        <f>'Cash Flow working'!#REF!</f>
        <v>#REF!</v>
      </c>
      <c r="J32" s="231"/>
      <c r="K32" s="238">
        <v>340</v>
      </c>
      <c r="L32" s="248">
        <v>-1697</v>
      </c>
    </row>
    <row r="33" spans="1:13">
      <c r="A33" s="152"/>
      <c r="B33" s="225"/>
      <c r="C33" s="226"/>
      <c r="D33" s="226"/>
      <c r="E33" s="159">
        <f>SUM(E27:E32)</f>
        <v>202112.30356999999</v>
      </c>
      <c r="F33" s="231"/>
      <c r="G33" s="232">
        <f>SUM(G27:G32)</f>
        <v>-47655.165999999997</v>
      </c>
      <c r="H33" s="232"/>
      <c r="I33" s="159" t="e">
        <f>SUM(I27:I32)</f>
        <v>#REF!</v>
      </c>
      <c r="J33" s="231"/>
      <c r="K33" s="232">
        <f>SUM(K27:K32)</f>
        <v>6872</v>
      </c>
      <c r="L33" s="232">
        <f>SUM(L27:L32)</f>
        <v>5294</v>
      </c>
    </row>
    <row r="34" spans="1:13">
      <c r="A34" s="152"/>
      <c r="B34" s="225"/>
      <c r="C34" s="226"/>
      <c r="D34" s="226"/>
      <c r="E34" s="159"/>
      <c r="F34" s="231"/>
      <c r="G34" s="232"/>
      <c r="H34" s="232"/>
      <c r="I34" s="159"/>
      <c r="J34" s="231"/>
      <c r="K34" s="232"/>
      <c r="L34" s="232"/>
    </row>
    <row r="35" spans="1:13">
      <c r="A35" s="152" t="s">
        <v>644</v>
      </c>
      <c r="B35" s="249"/>
      <c r="C35" s="225"/>
      <c r="D35" s="153"/>
      <c r="E35" s="172">
        <f>E23+E15+E33+E10</f>
        <v>-28497.040180000073</v>
      </c>
      <c r="F35" s="231"/>
      <c r="G35" s="172">
        <f>G23+G15+G33+G10</f>
        <v>47157.229190000005</v>
      </c>
      <c r="H35" s="231"/>
      <c r="I35" s="172" t="e">
        <f>I33+I23+I15+I10</f>
        <v>#REF!</v>
      </c>
      <c r="J35" s="231"/>
      <c r="K35" s="250" t="e">
        <f>K33+K23+K15+K10</f>
        <v>#REF!</v>
      </c>
      <c r="L35" s="250">
        <f>L33+L23+L15</f>
        <v>12094</v>
      </c>
    </row>
    <row r="36" spans="1:13">
      <c r="A36" s="152"/>
      <c r="B36" s="249"/>
      <c r="C36" s="225"/>
      <c r="D36" s="225"/>
      <c r="E36" s="173"/>
      <c r="F36" s="231"/>
      <c r="G36" s="231"/>
      <c r="H36" s="231"/>
      <c r="I36" s="173"/>
      <c r="J36" s="231"/>
      <c r="K36" s="231"/>
      <c r="L36" s="231"/>
    </row>
    <row r="37" spans="1:13">
      <c r="A37" s="152" t="s">
        <v>529</v>
      </c>
      <c r="B37" s="225"/>
      <c r="C37" s="225"/>
      <c r="D37" s="225"/>
      <c r="E37" s="173"/>
      <c r="F37" s="231"/>
      <c r="G37" s="231"/>
      <c r="H37" s="231"/>
      <c r="I37" s="173"/>
      <c r="J37" s="231"/>
      <c r="K37" s="231"/>
      <c r="L37" s="231"/>
    </row>
    <row r="38" spans="1:13">
      <c r="A38" s="152"/>
      <c r="B38" s="225"/>
      <c r="C38" s="225"/>
      <c r="D38" s="225"/>
      <c r="E38" s="173"/>
      <c r="F38" s="231"/>
      <c r="G38" s="231"/>
      <c r="H38" s="231"/>
      <c r="I38" s="173"/>
      <c r="J38" s="231"/>
      <c r="K38" s="231"/>
      <c r="L38" s="231"/>
    </row>
    <row r="39" spans="1:13">
      <c r="A39" s="225" t="s">
        <v>299</v>
      </c>
      <c r="B39" s="225"/>
      <c r="C39" s="225"/>
      <c r="D39" s="225"/>
      <c r="E39" s="667">
        <f>-TB!G72-TB!G70</f>
        <v>7499.30501</v>
      </c>
      <c r="F39" s="231"/>
      <c r="G39" s="235">
        <v>37301.949460000003</v>
      </c>
      <c r="H39" s="231"/>
      <c r="I39" s="165" t="e">
        <f>E39-#REF!</f>
        <v>#REF!</v>
      </c>
      <c r="J39" s="231"/>
      <c r="K39" s="235">
        <v>88706</v>
      </c>
      <c r="L39" s="235">
        <f>35782+1</f>
        <v>35783</v>
      </c>
    </row>
    <row r="40" spans="1:13">
      <c r="A40" s="225" t="s">
        <v>300</v>
      </c>
      <c r="B40" s="225"/>
      <c r="C40" s="225"/>
      <c r="D40" s="225"/>
      <c r="E40" s="169">
        <f>-(TB!G71+TB!G73)</f>
        <v>-16713.457559999999</v>
      </c>
      <c r="F40" s="232"/>
      <c r="G40" s="238">
        <v>-29591.113979999995</v>
      </c>
      <c r="H40" s="231"/>
      <c r="I40" s="169" t="e">
        <f>E40-#REF!</f>
        <v>#REF!</v>
      </c>
      <c r="J40" s="232"/>
      <c r="K40" s="238">
        <v>-86675</v>
      </c>
      <c r="L40" s="238">
        <v>-97885</v>
      </c>
    </row>
    <row r="41" spans="1:13" ht="3.9" customHeight="1">
      <c r="A41" s="225"/>
      <c r="B41" s="225"/>
      <c r="C41" s="225"/>
      <c r="D41" s="225"/>
      <c r="E41" s="159"/>
      <c r="F41" s="232"/>
      <c r="G41" s="232"/>
      <c r="H41" s="231"/>
      <c r="I41" s="159"/>
      <c r="J41" s="232"/>
      <c r="K41" s="232"/>
      <c r="L41" s="232"/>
    </row>
    <row r="42" spans="1:13">
      <c r="A42" s="23" t="s">
        <v>645</v>
      </c>
      <c r="B42" s="225"/>
      <c r="C42" s="225"/>
      <c r="D42" s="153"/>
      <c r="E42" s="159">
        <f>SUM(E39:E40)+1</f>
        <v>-9213.1525499999989</v>
      </c>
      <c r="F42" s="232"/>
      <c r="G42" s="1049">
        <v>7711.8354800000088</v>
      </c>
      <c r="H42" s="231"/>
      <c r="I42" s="159" t="e">
        <f>SUM(I39:I40)</f>
        <v>#REF!</v>
      </c>
      <c r="J42" s="232"/>
      <c r="K42" s="232">
        <v>2031</v>
      </c>
      <c r="L42" s="232">
        <f>SUM(L39:L40)-1</f>
        <v>-62103</v>
      </c>
    </row>
    <row r="43" spans="1:13" ht="6.9" customHeight="1">
      <c r="A43" s="23"/>
      <c r="B43" s="225"/>
      <c r="C43" s="225"/>
      <c r="D43" s="225"/>
      <c r="E43" s="159"/>
      <c r="F43" s="232"/>
      <c r="G43" s="232"/>
      <c r="H43" s="231"/>
      <c r="I43" s="159"/>
      <c r="J43" s="232"/>
      <c r="K43" s="232"/>
      <c r="L43" s="232"/>
    </row>
    <row r="44" spans="1:13">
      <c r="A44" s="152" t="s">
        <v>742</v>
      </c>
      <c r="B44" s="225"/>
      <c r="C44" s="225"/>
      <c r="D44" s="225"/>
      <c r="E44" s="159"/>
      <c r="F44" s="232"/>
      <c r="G44" s="1152"/>
      <c r="H44" s="231"/>
      <c r="I44" s="159"/>
      <c r="J44" s="232"/>
      <c r="K44" s="232"/>
      <c r="L44" s="232"/>
    </row>
    <row r="45" spans="1:13">
      <c r="A45" s="174" t="s">
        <v>301</v>
      </c>
      <c r="B45" s="225"/>
      <c r="C45" s="225"/>
      <c r="D45" s="153"/>
      <c r="E45" s="159">
        <f>E42+E35</f>
        <v>-37710.192730000068</v>
      </c>
      <c r="F45" s="232"/>
      <c r="G45" s="1049">
        <v>54871</v>
      </c>
      <c r="H45" s="231"/>
      <c r="I45" s="159" t="e">
        <f>I42+I35</f>
        <v>#REF!</v>
      </c>
      <c r="J45" s="232"/>
      <c r="K45" s="232" t="e">
        <f>K42+K35</f>
        <v>#REF!</v>
      </c>
      <c r="L45" s="232">
        <f>L35+L42+1</f>
        <v>-50008</v>
      </c>
      <c r="M45" s="161">
        <f>E45-L45</f>
        <v>12297.807269999932</v>
      </c>
    </row>
    <row r="46" spans="1:13" ht="6.9" customHeight="1">
      <c r="A46" s="237"/>
      <c r="B46" s="225"/>
      <c r="C46" s="225"/>
      <c r="D46" s="225"/>
      <c r="E46" s="159"/>
      <c r="F46" s="232"/>
      <c r="G46" s="232"/>
      <c r="H46" s="231"/>
      <c r="I46" s="159"/>
      <c r="J46" s="232"/>
      <c r="K46" s="232"/>
      <c r="L46" s="232"/>
    </row>
    <row r="47" spans="1:13">
      <c r="A47" s="207" t="s">
        <v>302</v>
      </c>
      <c r="B47" s="225"/>
      <c r="C47" s="225"/>
      <c r="D47" s="225"/>
      <c r="E47" s="175">
        <f>BS!I11</f>
        <v>186376</v>
      </c>
      <c r="F47" s="251"/>
      <c r="G47" s="251">
        <v>99855</v>
      </c>
      <c r="H47" s="231"/>
      <c r="I47" s="175">
        <v>337273</v>
      </c>
      <c r="J47" s="251"/>
      <c r="K47" s="251">
        <v>23154</v>
      </c>
      <c r="L47" s="251">
        <f>E47</f>
        <v>186376</v>
      </c>
    </row>
    <row r="48" spans="1:13" ht="6.9" customHeight="1">
      <c r="A48" s="207"/>
      <c r="B48" s="225"/>
      <c r="C48" s="225"/>
      <c r="D48" s="225"/>
      <c r="E48" s="175"/>
      <c r="F48" s="251"/>
      <c r="G48" s="251"/>
      <c r="H48" s="231"/>
      <c r="I48" s="175"/>
      <c r="J48" s="251"/>
      <c r="K48" s="251"/>
      <c r="L48" s="251"/>
    </row>
    <row r="49" spans="1:20" s="10" customFormat="1" ht="21" customHeight="1" thickBot="1">
      <c r="A49" s="24" t="s">
        <v>303</v>
      </c>
      <c r="B49" s="247"/>
      <c r="C49" s="229"/>
      <c r="D49" s="229"/>
      <c r="E49" s="176">
        <f>E47+E45</f>
        <v>148665.80726999993</v>
      </c>
      <c r="F49" s="252"/>
      <c r="G49" s="1050">
        <f>G47+G45</f>
        <v>154726</v>
      </c>
      <c r="H49" s="254"/>
      <c r="I49" s="176" t="e">
        <f>I47+I45</f>
        <v>#REF!</v>
      </c>
      <c r="J49" s="252"/>
      <c r="K49" s="253" t="e">
        <f>K47+K45</f>
        <v>#REF!</v>
      </c>
      <c r="L49" s="253">
        <f>L47+L45</f>
        <v>136368</v>
      </c>
      <c r="M49" s="177" t="e">
        <f>E49-I49</f>
        <v>#REF!</v>
      </c>
      <c r="N49" s="178" t="e">
        <f>K49-G49</f>
        <v>#REF!</v>
      </c>
      <c r="P49" s="178"/>
      <c r="T49" s="871">
        <f>BS!G11</f>
        <v>148665.51221999998</v>
      </c>
    </row>
    <row r="50" spans="1:20" ht="24" customHeight="1" thickTop="1">
      <c r="B50" s="225"/>
      <c r="C50" s="226"/>
      <c r="D50" s="226"/>
      <c r="E50" s="179"/>
      <c r="F50" s="225"/>
      <c r="G50" s="255"/>
      <c r="H50" s="256"/>
      <c r="I50" s="179"/>
      <c r="J50" s="225"/>
      <c r="K50" s="255"/>
      <c r="L50" s="180"/>
      <c r="T50" s="569">
        <f>T49-E49</f>
        <v>-0.2950499999569729</v>
      </c>
    </row>
    <row r="51" spans="1:20" s="207" customFormat="1">
      <c r="A51" s="200" t="str">
        <f>'UHF-Updated'!A64</f>
        <v>The annexed notes from 1 to 18 form an integral part of this condensed interim financial information.</v>
      </c>
      <c r="B51" s="200"/>
      <c r="C51" s="257"/>
      <c r="D51" s="257"/>
      <c r="E51" s="258"/>
      <c r="F51" s="257"/>
      <c r="G51" s="223"/>
      <c r="I51" s="223"/>
      <c r="K51" s="223"/>
      <c r="L51" s="223"/>
      <c r="M51" s="207">
        <v>230950</v>
      </c>
    </row>
    <row r="52" spans="1:20" s="207" customFormat="1">
      <c r="A52" s="200"/>
      <c r="B52" s="200"/>
      <c r="D52" s="257"/>
      <c r="E52" s="258"/>
      <c r="F52" s="257"/>
      <c r="G52" s="223"/>
      <c r="I52" s="223"/>
      <c r="K52" s="223"/>
      <c r="L52" s="223"/>
    </row>
    <row r="53" spans="1:20" s="207" customFormat="1">
      <c r="A53" s="200"/>
      <c r="B53" s="200"/>
      <c r="C53" s="257"/>
      <c r="D53" s="257"/>
      <c r="E53" s="258"/>
      <c r="F53" s="257"/>
      <c r="G53" s="223"/>
      <c r="I53" s="223"/>
      <c r="K53" s="223"/>
      <c r="L53" s="223"/>
    </row>
    <row r="54" spans="1:20" s="23" customFormat="1" ht="15" customHeight="1">
      <c r="A54" s="1301"/>
      <c r="B54" s="1301"/>
      <c r="C54" s="1301"/>
      <c r="D54" s="1301"/>
      <c r="E54" s="1301"/>
      <c r="F54" s="1301"/>
      <c r="G54" s="1301"/>
      <c r="H54" s="1301"/>
      <c r="I54" s="1301"/>
      <c r="J54" s="1301"/>
      <c r="K54" s="1301"/>
      <c r="L54" s="686"/>
    </row>
    <row r="55" spans="1:20" s="23" customFormat="1" ht="15" customHeight="1">
      <c r="A55" s="1301"/>
      <c r="B55" s="1301"/>
      <c r="C55" s="1301"/>
      <c r="D55" s="1301"/>
      <c r="E55" s="1301"/>
      <c r="F55" s="1301"/>
      <c r="G55" s="1301"/>
      <c r="H55" s="1301"/>
      <c r="I55" s="1301"/>
      <c r="J55" s="1301"/>
      <c r="K55" s="1301"/>
      <c r="L55" s="686"/>
    </row>
    <row r="56" spans="1:20" s="23" customFormat="1">
      <c r="A56" s="686"/>
      <c r="B56" s="686"/>
      <c r="C56" s="686"/>
      <c r="D56" s="686"/>
      <c r="E56" s="181"/>
      <c r="F56" s="686"/>
      <c r="G56" s="210"/>
      <c r="H56" s="24"/>
      <c r="I56" s="182"/>
      <c r="J56" s="24"/>
      <c r="K56" s="223"/>
      <c r="L56" s="223"/>
    </row>
    <row r="57" spans="1:20" s="23" customFormat="1">
      <c r="A57" s="686"/>
      <c r="B57" s="686"/>
      <c r="C57" s="686"/>
      <c r="D57" s="686"/>
      <c r="E57" s="181"/>
      <c r="F57" s="686"/>
      <c r="G57" s="210"/>
      <c r="H57" s="24"/>
      <c r="I57" s="182"/>
      <c r="J57" s="24"/>
      <c r="K57" s="223"/>
      <c r="L57" s="223"/>
    </row>
    <row r="58" spans="1:20" s="23" customFormat="1">
      <c r="A58" s="686"/>
      <c r="B58" s="686"/>
      <c r="C58" s="686"/>
      <c r="D58" s="686"/>
      <c r="E58" s="181"/>
      <c r="F58" s="686"/>
      <c r="G58" s="210"/>
      <c r="H58" s="24"/>
      <c r="I58" s="182"/>
      <c r="J58" s="24"/>
      <c r="K58" s="223"/>
      <c r="L58" s="223"/>
    </row>
    <row r="59" spans="1:20" s="23" customFormat="1">
      <c r="A59" s="686"/>
      <c r="B59" s="686"/>
      <c r="C59" s="686"/>
      <c r="D59" s="686"/>
      <c r="E59" s="181"/>
      <c r="F59" s="686"/>
      <c r="G59" s="210"/>
      <c r="H59" s="24"/>
      <c r="I59" s="182"/>
      <c r="J59" s="24"/>
      <c r="K59" s="223"/>
      <c r="L59" s="223"/>
    </row>
    <row r="60" spans="1:20" s="23" customFormat="1">
      <c r="A60" s="686"/>
      <c r="B60" s="686"/>
      <c r="C60" s="686"/>
      <c r="D60" s="686"/>
      <c r="E60" s="181"/>
      <c r="F60" s="686"/>
      <c r="G60" s="210"/>
      <c r="H60" s="24"/>
      <c r="I60" s="182"/>
      <c r="J60" s="24"/>
      <c r="K60" s="223"/>
      <c r="L60" s="223"/>
    </row>
    <row r="61" spans="1:20" s="23" customFormat="1">
      <c r="A61" s="686"/>
      <c r="B61" s="686"/>
      <c r="C61" s="686"/>
      <c r="D61" s="686"/>
      <c r="E61" s="181"/>
      <c r="F61" s="686"/>
      <c r="G61" s="210"/>
      <c r="H61" s="24"/>
      <c r="I61" s="182"/>
      <c r="J61" s="24"/>
      <c r="K61" s="223"/>
      <c r="L61" s="223"/>
    </row>
    <row r="62" spans="1:20" s="363" customFormat="1">
      <c r="A62" s="364"/>
      <c r="B62" s="360"/>
      <c r="C62" s="361"/>
      <c r="E62" s="685"/>
      <c r="F62" s="685"/>
      <c r="G62" s="685"/>
      <c r="H62" s="685"/>
      <c r="I62" s="685"/>
      <c r="J62" s="685"/>
      <c r="K62" s="685"/>
      <c r="L62" s="362"/>
    </row>
    <row r="63" spans="1:20" s="207" customFormat="1">
      <c r="A63" s="200"/>
      <c r="B63" s="1317"/>
      <c r="C63" s="1317"/>
      <c r="D63" s="23"/>
      <c r="E63" s="23"/>
      <c r="F63" s="23"/>
      <c r="H63" s="96"/>
      <c r="I63" s="686"/>
    </row>
    <row r="65" spans="5:9">
      <c r="E65" s="183"/>
      <c r="I65" s="183"/>
    </row>
    <row r="66" spans="5:9">
      <c r="E66" s="184"/>
      <c r="I66" s="184"/>
    </row>
    <row r="67" spans="5:9">
      <c r="F67" s="23"/>
      <c r="G67" s="23"/>
      <c r="H67" s="23"/>
      <c r="I67" s="23">
        <f>BS!G11</f>
        <v>148665.51221999998</v>
      </c>
    </row>
    <row r="68" spans="5:9">
      <c r="F68" s="23"/>
      <c r="G68" s="23"/>
      <c r="H68" s="23"/>
      <c r="I68" s="569" t="e">
        <f>I67-I49</f>
        <v>#REF!</v>
      </c>
    </row>
  </sheetData>
  <mergeCells count="6">
    <mergeCell ref="A55:K55"/>
    <mergeCell ref="B63:C63"/>
    <mergeCell ref="E5:G5"/>
    <mergeCell ref="I5:K5"/>
    <mergeCell ref="E7:K7"/>
    <mergeCell ref="A54:K54"/>
  </mergeCells>
  <pageMargins left="0.65" right="0.35" top="0.44" bottom="0.28999999999999998" header="0.27" footer="0.17"/>
  <pageSetup scale="83" orientation="portrait" horizontalDpi="4294967295" verticalDpi="4294967295" r:id="rId1"/>
  <headerFooter alignWithMargins="0"/>
  <ignoredErrors>
    <ignoredError sqref="H5:K5" unlockedFormula="1"/>
    <ignoredError sqref="F6 J6 H6" numberStoredAsText="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125"/>
  <sheetViews>
    <sheetView showGridLines="0" view="pageBreakPreview" topLeftCell="A97" zoomScaleSheetLayoutView="100" workbookViewId="0">
      <selection activeCell="B131" sqref="B131"/>
    </sheetView>
  </sheetViews>
  <sheetFormatPr defaultColWidth="9.109375" defaultRowHeight="13.2"/>
  <cols>
    <col min="1" max="1" width="6.44140625" style="90" customWidth="1"/>
    <col min="2" max="2" width="9.109375" style="90"/>
    <col min="3" max="3" width="16.33203125" style="90" customWidth="1"/>
    <col min="4" max="4" width="32.88671875" style="90" customWidth="1"/>
    <col min="5" max="5" width="8.88671875" style="90" customWidth="1"/>
    <col min="6" max="6" width="1" style="90" customWidth="1"/>
    <col min="7" max="7" width="14.33203125" style="90" customWidth="1"/>
    <col min="8" max="8" width="1" style="90" customWidth="1"/>
    <col min="9" max="9" width="14" style="90" customWidth="1"/>
    <col min="10" max="10" width="3.109375" style="90" hidden="1" customWidth="1"/>
    <col min="11" max="16" width="0" style="90" hidden="1" customWidth="1"/>
    <col min="17" max="17" width="3.44140625" style="90" customWidth="1"/>
    <col min="18" max="18" width="9.109375" style="90"/>
    <col min="19" max="19" width="6.44140625" style="90" customWidth="1"/>
    <col min="20" max="16384" width="9.109375" style="90"/>
  </cols>
  <sheetData>
    <row r="1" spans="1:19">
      <c r="A1" s="89" t="s">
        <v>123</v>
      </c>
    </row>
    <row r="2" spans="1:19">
      <c r="A2" s="259" t="s">
        <v>188</v>
      </c>
    </row>
    <row r="3" spans="1:19">
      <c r="A3" s="1" t="str">
        <f>+CF!A3</f>
        <v>FOR THE QUARTER ENDED SEPTEMBER 30, 2021</v>
      </c>
    </row>
    <row r="4" spans="1:19" ht="19.5" customHeight="1"/>
    <row r="6" spans="1:19" ht="12.75" customHeight="1">
      <c r="A6" s="260" t="s">
        <v>189</v>
      </c>
      <c r="B6" s="11" t="s">
        <v>190</v>
      </c>
      <c r="C6" s="191"/>
      <c r="D6" s="192"/>
      <c r="E6" s="192"/>
      <c r="F6" s="24"/>
      <c r="G6" s="24"/>
      <c r="H6" s="24"/>
      <c r="I6" s="192"/>
      <c r="J6" s="261">
        <v>1</v>
      </c>
    </row>
    <row r="7" spans="1:19" ht="14.25" customHeight="1">
      <c r="A7" s="262"/>
      <c r="B7" s="191"/>
      <c r="C7" s="191"/>
      <c r="D7" s="192"/>
      <c r="E7" s="192"/>
      <c r="F7" s="24"/>
      <c r="G7" s="24"/>
      <c r="H7" s="24"/>
      <c r="I7" s="192"/>
    </row>
    <row r="8" spans="1:19">
      <c r="A8" s="263">
        <f>+A6+0.1</f>
        <v>1.1000000000000001</v>
      </c>
      <c r="B8" s="1322" t="s">
        <v>589</v>
      </c>
      <c r="C8" s="1322"/>
      <c r="D8" s="1322"/>
      <c r="E8" s="1322"/>
      <c r="F8" s="1322"/>
      <c r="G8" s="1322"/>
      <c r="H8" s="1322"/>
      <c r="I8" s="1322"/>
      <c r="K8" s="1326"/>
      <c r="L8" s="1326"/>
      <c r="M8" s="1326"/>
      <c r="N8" s="1326"/>
      <c r="O8" s="1326"/>
      <c r="P8" s="1326"/>
      <c r="Q8" s="1326"/>
      <c r="R8" s="1326"/>
      <c r="S8" s="1326"/>
    </row>
    <row r="9" spans="1:19" ht="13.8">
      <c r="A9" s="262"/>
      <c r="B9" s="1322"/>
      <c r="C9" s="1322"/>
      <c r="D9" s="1322"/>
      <c r="E9" s="1322"/>
      <c r="F9" s="1322"/>
      <c r="G9" s="1322"/>
      <c r="H9" s="1322"/>
      <c r="I9" s="1322"/>
      <c r="K9" s="1326"/>
      <c r="L9" s="1326"/>
      <c r="M9" s="1326"/>
      <c r="N9" s="1326"/>
      <c r="O9" s="1326"/>
      <c r="P9" s="1326"/>
      <c r="Q9" s="1326"/>
      <c r="R9" s="1326"/>
      <c r="S9" s="1326"/>
    </row>
    <row r="10" spans="1:19" ht="13.8">
      <c r="A10" s="262"/>
      <c r="B10" s="1322"/>
      <c r="C10" s="1322"/>
      <c r="D10" s="1322"/>
      <c r="E10" s="1322"/>
      <c r="F10" s="1322"/>
      <c r="G10" s="1322"/>
      <c r="H10" s="1322"/>
      <c r="I10" s="1322"/>
      <c r="K10" s="1326"/>
      <c r="L10" s="1326"/>
      <c r="M10" s="1326"/>
      <c r="N10" s="1326"/>
      <c r="O10" s="1326"/>
      <c r="P10" s="1326"/>
      <c r="Q10" s="1326"/>
      <c r="R10" s="1326"/>
      <c r="S10" s="1326"/>
    </row>
    <row r="11" spans="1:19" ht="13.8">
      <c r="A11" s="262"/>
      <c r="B11" s="1322"/>
      <c r="C11" s="1322"/>
      <c r="D11" s="1322"/>
      <c r="E11" s="1322"/>
      <c r="F11" s="1322"/>
      <c r="G11" s="1322"/>
      <c r="H11" s="1322"/>
      <c r="I11" s="1322"/>
      <c r="K11" s="1326"/>
      <c r="L11" s="1326"/>
      <c r="M11" s="1326"/>
      <c r="N11" s="1326"/>
      <c r="O11" s="1326"/>
      <c r="P11" s="1326"/>
      <c r="Q11" s="1326"/>
      <c r="R11" s="1326"/>
      <c r="S11" s="1326"/>
    </row>
    <row r="12" spans="1:19" ht="13.8">
      <c r="A12" s="262"/>
      <c r="B12" s="1322"/>
      <c r="C12" s="1322"/>
      <c r="D12" s="1322"/>
      <c r="E12" s="1322"/>
      <c r="F12" s="1322"/>
      <c r="G12" s="1322"/>
      <c r="H12" s="1322"/>
      <c r="I12" s="1322"/>
      <c r="K12" s="1326"/>
      <c r="L12" s="1326"/>
      <c r="M12" s="1326"/>
      <c r="N12" s="1326"/>
      <c r="O12" s="1326"/>
      <c r="P12" s="1326"/>
      <c r="Q12" s="1326"/>
      <c r="R12" s="1326"/>
      <c r="S12" s="1326"/>
    </row>
    <row r="13" spans="1:19" ht="21" customHeight="1">
      <c r="A13" s="262"/>
      <c r="B13" s="1322"/>
      <c r="C13" s="1322"/>
      <c r="D13" s="1322"/>
      <c r="E13" s="1322"/>
      <c r="F13" s="1322"/>
      <c r="G13" s="1322"/>
      <c r="H13" s="1322"/>
      <c r="I13" s="1322"/>
      <c r="K13" s="1326"/>
      <c r="L13" s="1326"/>
      <c r="M13" s="1326"/>
      <c r="N13" s="1326"/>
      <c r="O13" s="1326"/>
      <c r="P13" s="1326"/>
      <c r="Q13" s="1326"/>
      <c r="R13" s="1326"/>
      <c r="S13" s="1326"/>
    </row>
    <row r="14" spans="1:19">
      <c r="A14" s="263">
        <f>+A8+0.1</f>
        <v>1.2000000000000002</v>
      </c>
      <c r="B14" s="1323" t="s">
        <v>608</v>
      </c>
      <c r="C14" s="1323"/>
      <c r="D14" s="1323"/>
      <c r="E14" s="1323"/>
      <c r="F14" s="1323"/>
      <c r="G14" s="1323"/>
      <c r="H14" s="1323"/>
      <c r="I14" s="1323"/>
      <c r="K14" s="1327"/>
      <c r="L14" s="1327"/>
      <c r="M14" s="1327"/>
      <c r="N14" s="1327"/>
      <c r="O14" s="1327"/>
      <c r="P14" s="1327"/>
      <c r="Q14" s="1327"/>
      <c r="R14" s="1327"/>
      <c r="S14" s="1327"/>
    </row>
    <row r="15" spans="1:19">
      <c r="A15" s="263"/>
      <c r="B15" s="1323"/>
      <c r="C15" s="1323"/>
      <c r="D15" s="1323"/>
      <c r="E15" s="1323"/>
      <c r="F15" s="1323"/>
      <c r="G15" s="1323"/>
      <c r="H15" s="1323"/>
      <c r="I15" s="1323"/>
      <c r="K15" s="1327"/>
      <c r="L15" s="1327"/>
      <c r="M15" s="1327"/>
      <c r="N15" s="1327"/>
      <c r="O15" s="1327"/>
      <c r="P15" s="1327"/>
      <c r="Q15" s="1327"/>
      <c r="R15" s="1327"/>
      <c r="S15" s="1327"/>
    </row>
    <row r="16" spans="1:19">
      <c r="A16" s="264"/>
      <c r="B16" s="1323"/>
      <c r="C16" s="1323"/>
      <c r="D16" s="1323"/>
      <c r="E16" s="1323"/>
      <c r="F16" s="1323"/>
      <c r="G16" s="1323"/>
      <c r="H16" s="1323"/>
      <c r="I16" s="1323"/>
      <c r="K16" s="1327"/>
      <c r="L16" s="1327"/>
      <c r="M16" s="1327"/>
      <c r="N16" s="1327"/>
      <c r="O16" s="1327"/>
      <c r="P16" s="1327"/>
      <c r="Q16" s="1327"/>
      <c r="R16" s="1327"/>
      <c r="S16" s="1327"/>
    </row>
    <row r="17" spans="1:19" ht="14.25" customHeight="1">
      <c r="A17" s="264"/>
      <c r="B17" s="1323"/>
      <c r="C17" s="1323"/>
      <c r="D17" s="1323"/>
      <c r="E17" s="1323"/>
      <c r="F17" s="1323"/>
      <c r="G17" s="1323"/>
      <c r="H17" s="1323"/>
      <c r="I17" s="1323"/>
      <c r="K17" s="1327"/>
      <c r="L17" s="1327"/>
      <c r="M17" s="1327"/>
      <c r="N17" s="1327"/>
      <c r="O17" s="1327"/>
      <c r="P17" s="1327"/>
      <c r="Q17" s="1327"/>
      <c r="R17" s="1327"/>
      <c r="S17" s="1327"/>
    </row>
    <row r="18" spans="1:19" ht="17.25" customHeight="1">
      <c r="A18" s="264"/>
      <c r="B18" s="265"/>
      <c r="C18" s="265"/>
      <c r="D18" s="265"/>
      <c r="E18" s="265"/>
      <c r="F18" s="911"/>
      <c r="G18" s="265"/>
      <c r="H18" s="265"/>
      <c r="I18" s="265"/>
      <c r="K18" s="1327"/>
      <c r="L18" s="1327"/>
      <c r="M18" s="1327"/>
      <c r="N18" s="1327"/>
      <c r="O18" s="1327"/>
      <c r="P18" s="1327"/>
      <c r="Q18" s="1327"/>
      <c r="R18" s="1327"/>
      <c r="S18" s="1327"/>
    </row>
    <row r="19" spans="1:19">
      <c r="A19" s="263">
        <f>+A14+0.1</f>
        <v>1.3000000000000003</v>
      </c>
      <c r="B19" s="1323" t="s">
        <v>590</v>
      </c>
      <c r="C19" s="1323"/>
      <c r="D19" s="1323"/>
      <c r="E19" s="1323"/>
      <c r="F19" s="1323"/>
      <c r="G19" s="1323"/>
      <c r="H19" s="1323"/>
      <c r="I19" s="1323"/>
      <c r="K19" s="204"/>
      <c r="L19" s="266"/>
      <c r="M19" s="204"/>
      <c r="N19" s="10"/>
      <c r="O19" s="204"/>
      <c r="P19" s="204"/>
      <c r="Q19" s="204"/>
      <c r="R19" s="267"/>
      <c r="S19" s="267"/>
    </row>
    <row r="20" spans="1:19">
      <c r="A20" s="263"/>
      <c r="B20" s="1323"/>
      <c r="C20" s="1323"/>
      <c r="D20" s="1323"/>
      <c r="E20" s="1323"/>
      <c r="F20" s="1323"/>
      <c r="G20" s="1323"/>
      <c r="H20" s="1323"/>
      <c r="I20" s="1323"/>
      <c r="K20" s="1328"/>
      <c r="L20" s="1328"/>
      <c r="M20" s="1328"/>
      <c r="N20" s="1328"/>
      <c r="O20" s="1328"/>
      <c r="P20" s="1328"/>
      <c r="Q20" s="1328"/>
      <c r="R20" s="1328"/>
      <c r="S20" s="1328"/>
    </row>
    <row r="21" spans="1:19">
      <c r="A21" s="263"/>
      <c r="B21" s="1323"/>
      <c r="C21" s="1323"/>
      <c r="D21" s="1323"/>
      <c r="E21" s="1323"/>
      <c r="F21" s="1323"/>
      <c r="G21" s="1323"/>
      <c r="H21" s="1323"/>
      <c r="I21" s="1323"/>
      <c r="K21" s="1328"/>
      <c r="L21" s="1328"/>
      <c r="M21" s="1328"/>
      <c r="N21" s="1328"/>
      <c r="O21" s="1328"/>
      <c r="P21" s="1328"/>
      <c r="Q21" s="1328"/>
      <c r="R21" s="1328"/>
      <c r="S21" s="1328"/>
    </row>
    <row r="22" spans="1:19" ht="24.75" customHeight="1">
      <c r="A22" s="264"/>
      <c r="B22" s="1323"/>
      <c r="C22" s="1323"/>
      <c r="D22" s="1323"/>
      <c r="E22" s="1323"/>
      <c r="F22" s="1323"/>
      <c r="G22" s="1323"/>
      <c r="H22" s="1323"/>
      <c r="I22" s="1323"/>
      <c r="K22" s="1328"/>
      <c r="L22" s="1328"/>
      <c r="M22" s="1328"/>
      <c r="N22" s="1328"/>
      <c r="O22" s="1328"/>
      <c r="P22" s="1328"/>
      <c r="Q22" s="1328"/>
      <c r="R22" s="1328"/>
      <c r="S22" s="1328"/>
    </row>
    <row r="23" spans="1:19">
      <c r="A23" s="264"/>
      <c r="B23" s="265"/>
      <c r="C23" s="265"/>
      <c r="D23" s="265"/>
      <c r="E23" s="265"/>
      <c r="F23" s="911"/>
      <c r="G23" s="265"/>
      <c r="H23" s="265"/>
      <c r="I23" s="265"/>
      <c r="K23" s="268"/>
      <c r="L23" s="268"/>
      <c r="M23" s="268"/>
      <c r="N23" s="268"/>
      <c r="O23" s="268"/>
      <c r="P23" s="268"/>
      <c r="Q23" s="268"/>
      <c r="R23" s="268"/>
      <c r="S23" s="268"/>
    </row>
    <row r="24" spans="1:19">
      <c r="A24" s="263">
        <f>A19+0.1</f>
        <v>1.4000000000000004</v>
      </c>
      <c r="B24" s="1322" t="s">
        <v>191</v>
      </c>
      <c r="C24" s="1322"/>
      <c r="D24" s="1322"/>
      <c r="E24" s="1322"/>
      <c r="F24" s="1322"/>
      <c r="G24" s="1322"/>
      <c r="H24" s="1322"/>
      <c r="I24" s="1322"/>
      <c r="K24" s="1326"/>
      <c r="L24" s="1326"/>
      <c r="M24" s="1326"/>
      <c r="N24" s="1326"/>
      <c r="O24" s="1326"/>
      <c r="P24" s="1326"/>
      <c r="Q24" s="1326"/>
      <c r="R24" s="1326"/>
      <c r="S24" s="1326"/>
    </row>
    <row r="25" spans="1:19">
      <c r="A25" s="263"/>
      <c r="B25" s="1322"/>
      <c r="C25" s="1322"/>
      <c r="D25" s="1322"/>
      <c r="E25" s="1322"/>
      <c r="F25" s="1322"/>
      <c r="G25" s="1322"/>
      <c r="H25" s="1322"/>
      <c r="I25" s="1322"/>
      <c r="K25" s="1326"/>
      <c r="L25" s="1326"/>
      <c r="M25" s="1326"/>
      <c r="N25" s="1326"/>
      <c r="O25" s="1326"/>
      <c r="P25" s="1326"/>
      <c r="Q25" s="1326"/>
      <c r="R25" s="1326"/>
      <c r="S25" s="1326"/>
    </row>
    <row r="26" spans="1:19" ht="17.25" customHeight="1">
      <c r="A26" s="204"/>
      <c r="B26" s="189"/>
      <c r="C26" s="189"/>
      <c r="D26" s="189"/>
      <c r="E26" s="189"/>
      <c r="F26" s="913"/>
      <c r="G26" s="189"/>
      <c r="H26" s="189"/>
      <c r="I26" s="189"/>
      <c r="J26" s="269"/>
      <c r="K26" s="1326"/>
      <c r="L26" s="1326"/>
      <c r="M26" s="1326"/>
      <c r="N26" s="1326"/>
      <c r="O26" s="1326"/>
      <c r="P26" s="1326"/>
      <c r="Q26" s="1326"/>
      <c r="R26" s="1326"/>
      <c r="S26" s="1326"/>
    </row>
    <row r="27" spans="1:19" ht="12.75" customHeight="1">
      <c r="A27" s="270">
        <f>+A24+0.1</f>
        <v>1.5000000000000004</v>
      </c>
      <c r="B27" s="1322" t="s">
        <v>681</v>
      </c>
      <c r="C27" s="1322"/>
      <c r="D27" s="1322"/>
      <c r="E27" s="1322"/>
      <c r="F27" s="1322"/>
      <c r="G27" s="1322"/>
      <c r="H27" s="1322"/>
      <c r="I27" s="1322"/>
      <c r="K27" s="189"/>
      <c r="L27" s="189"/>
      <c r="M27" s="189"/>
      <c r="N27" s="189"/>
      <c r="O27" s="189"/>
      <c r="P27" s="189"/>
      <c r="Q27" s="189"/>
      <c r="R27" s="267"/>
      <c r="S27" s="267"/>
    </row>
    <row r="28" spans="1:19" ht="19.5" customHeight="1">
      <c r="A28" s="270"/>
      <c r="B28" s="1322"/>
      <c r="C28" s="1322"/>
      <c r="D28" s="1322"/>
      <c r="E28" s="1322"/>
      <c r="F28" s="1322"/>
      <c r="G28" s="1322"/>
      <c r="H28" s="1322"/>
      <c r="I28" s="1322"/>
      <c r="K28" s="1326"/>
      <c r="L28" s="1326"/>
      <c r="M28" s="1326"/>
      <c r="N28" s="1326"/>
      <c r="O28" s="1326"/>
      <c r="P28" s="1326"/>
      <c r="Q28" s="1326"/>
      <c r="R28" s="1326"/>
      <c r="S28" s="1326"/>
    </row>
    <row r="29" spans="1:19">
      <c r="A29" s="270">
        <f>+A27+0.1</f>
        <v>1.6000000000000005</v>
      </c>
      <c r="B29" s="1322" t="s">
        <v>591</v>
      </c>
      <c r="C29" s="1322"/>
      <c r="D29" s="1322"/>
      <c r="E29" s="1322"/>
      <c r="F29" s="1322"/>
      <c r="G29" s="1322"/>
      <c r="H29" s="1322"/>
      <c r="I29" s="1322"/>
      <c r="K29" s="1326"/>
      <c r="L29" s="1326"/>
      <c r="M29" s="1326"/>
      <c r="N29" s="1326"/>
      <c r="O29" s="1326"/>
      <c r="P29" s="1326"/>
      <c r="Q29" s="1326"/>
      <c r="R29" s="1326"/>
      <c r="S29" s="1326"/>
    </row>
    <row r="30" spans="1:19">
      <c r="A30" s="204"/>
      <c r="B30" s="1322"/>
      <c r="C30" s="1322"/>
      <c r="D30" s="1322"/>
      <c r="E30" s="1322"/>
      <c r="F30" s="1322"/>
      <c r="G30" s="1322"/>
      <c r="H30" s="1322"/>
      <c r="I30" s="1322"/>
      <c r="K30" s="1326"/>
      <c r="L30" s="1326"/>
      <c r="M30" s="1326"/>
      <c r="N30" s="1326"/>
      <c r="O30" s="1326"/>
      <c r="P30" s="1326"/>
      <c r="Q30" s="1326"/>
      <c r="R30" s="1326"/>
      <c r="S30" s="1326"/>
    </row>
    <row r="31" spans="1:19">
      <c r="A31" s="204"/>
      <c r="B31" s="1128"/>
      <c r="C31" s="1128"/>
      <c r="D31" s="1128"/>
      <c r="E31" s="1128"/>
      <c r="F31" s="1128"/>
      <c r="G31" s="1128"/>
      <c r="H31" s="1128"/>
      <c r="I31" s="1128"/>
      <c r="K31" s="1129"/>
      <c r="L31" s="1129"/>
      <c r="M31" s="1129"/>
      <c r="N31" s="1129"/>
      <c r="O31" s="1129"/>
      <c r="P31" s="1129"/>
      <c r="Q31" s="1129"/>
      <c r="R31" s="1129"/>
      <c r="S31" s="1129"/>
    </row>
    <row r="32" spans="1:19" ht="24.9" customHeight="1">
      <c r="A32" s="1099">
        <v>1.7</v>
      </c>
      <c r="B32" s="1322" t="s">
        <v>682</v>
      </c>
      <c r="C32" s="1322"/>
      <c r="D32" s="1322"/>
      <c r="E32" s="1322"/>
      <c r="F32" s="1322"/>
      <c r="G32" s="1322"/>
      <c r="H32" s="1322"/>
      <c r="I32" s="1322"/>
      <c r="K32" s="1124"/>
      <c r="L32" s="1124"/>
      <c r="M32" s="1124"/>
      <c r="N32" s="1124"/>
      <c r="O32" s="1124"/>
      <c r="P32" s="1124"/>
      <c r="Q32" s="1124"/>
      <c r="R32" s="1124"/>
      <c r="S32" s="1124"/>
    </row>
    <row r="33" spans="1:19">
      <c r="A33" s="204"/>
      <c r="B33" s="1322"/>
      <c r="C33" s="1322"/>
      <c r="D33" s="1322"/>
      <c r="E33" s="1322"/>
      <c r="F33" s="1322"/>
      <c r="G33" s="1322"/>
      <c r="H33" s="1322"/>
      <c r="I33" s="1322"/>
      <c r="K33" s="1124"/>
      <c r="L33" s="1124"/>
      <c r="M33" s="1124"/>
      <c r="N33" s="1124"/>
      <c r="O33" s="1124"/>
      <c r="P33" s="1124"/>
      <c r="Q33" s="1124"/>
      <c r="R33" s="1124"/>
      <c r="S33" s="1124"/>
    </row>
    <row r="34" spans="1:19">
      <c r="A34" s="204"/>
      <c r="B34" s="1322"/>
      <c r="C34" s="1322"/>
      <c r="D34" s="1322"/>
      <c r="E34" s="1322"/>
      <c r="F34" s="1322"/>
      <c r="G34" s="1322"/>
      <c r="H34" s="1322"/>
      <c r="I34" s="1322"/>
      <c r="K34" s="1124"/>
      <c r="L34" s="1124"/>
      <c r="M34" s="1124"/>
      <c r="N34" s="1124"/>
      <c r="O34" s="1124"/>
      <c r="P34" s="1124"/>
      <c r="Q34" s="1124"/>
      <c r="R34" s="1124"/>
      <c r="S34" s="1124"/>
    </row>
    <row r="35" spans="1:19">
      <c r="A35" s="204"/>
      <c r="B35" s="1322"/>
      <c r="C35" s="1322"/>
      <c r="D35" s="1322"/>
      <c r="E35" s="1322"/>
      <c r="F35" s="1322"/>
      <c r="G35" s="1322"/>
      <c r="H35" s="1322"/>
      <c r="I35" s="1322"/>
      <c r="K35" s="1124"/>
      <c r="L35" s="1124"/>
      <c r="M35" s="1124"/>
      <c r="N35" s="1124"/>
      <c r="O35" s="1124"/>
      <c r="P35" s="1124"/>
      <c r="Q35" s="1124"/>
      <c r="R35" s="1124"/>
      <c r="S35" s="1124"/>
    </row>
    <row r="36" spans="1:19">
      <c r="A36" s="204"/>
      <c r="B36" s="1322"/>
      <c r="C36" s="1322"/>
      <c r="D36" s="1322"/>
      <c r="E36" s="1322"/>
      <c r="F36" s="1322"/>
      <c r="G36" s="1322"/>
      <c r="H36" s="1322"/>
      <c r="I36" s="1322"/>
      <c r="K36" s="1124"/>
      <c r="L36" s="1124"/>
      <c r="M36" s="1124"/>
      <c r="N36" s="1124"/>
      <c r="O36" s="1124"/>
      <c r="P36" s="1124"/>
      <c r="Q36" s="1124"/>
      <c r="R36" s="1124"/>
      <c r="S36" s="1124"/>
    </row>
    <row r="37" spans="1:19">
      <c r="A37" s="204"/>
      <c r="B37" s="1125"/>
      <c r="C37" s="1125"/>
      <c r="D37" s="1125"/>
      <c r="E37" s="1125"/>
      <c r="F37" s="1125"/>
      <c r="G37" s="1125"/>
      <c r="H37" s="1125"/>
      <c r="I37" s="1125"/>
      <c r="K37" s="1124"/>
      <c r="L37" s="1124"/>
      <c r="M37" s="1124"/>
      <c r="N37" s="1124"/>
      <c r="O37" s="1124"/>
      <c r="P37" s="1124"/>
      <c r="Q37" s="1124"/>
      <c r="R37" s="1124"/>
      <c r="S37" s="1124"/>
    </row>
    <row r="38" spans="1:19" ht="12" customHeight="1">
      <c r="A38" s="271"/>
      <c r="B38" s="92"/>
      <c r="C38" s="92"/>
      <c r="D38" s="92"/>
      <c r="E38" s="92"/>
      <c r="F38" s="92"/>
      <c r="G38" s="92"/>
      <c r="H38" s="92"/>
      <c r="I38" s="92"/>
      <c r="K38" s="93"/>
      <c r="L38" s="93"/>
      <c r="M38" s="93"/>
      <c r="N38" s="93"/>
      <c r="O38" s="93"/>
      <c r="P38" s="93"/>
      <c r="Q38" s="93"/>
      <c r="R38" s="267"/>
      <c r="S38" s="267"/>
    </row>
    <row r="39" spans="1:19">
      <c r="A39" s="263" t="str">
        <f>CONCATENATE(J39,".")</f>
        <v>2.</v>
      </c>
      <c r="B39" s="271" t="s">
        <v>479</v>
      </c>
      <c r="C39" s="272"/>
      <c r="D39" s="272"/>
      <c r="E39" s="272"/>
      <c r="F39" s="272"/>
      <c r="G39" s="272"/>
      <c r="H39" s="272"/>
      <c r="I39" s="272"/>
      <c r="J39" s="261">
        <f>J6+1</f>
        <v>2</v>
      </c>
      <c r="K39" s="267"/>
      <c r="L39" s="267"/>
      <c r="M39" s="267"/>
      <c r="N39" s="267"/>
      <c r="O39" s="267"/>
      <c r="P39" s="267"/>
      <c r="Q39" s="267"/>
      <c r="R39" s="267"/>
      <c r="S39" s="267"/>
    </row>
    <row r="40" spans="1:19" ht="15" customHeight="1">
      <c r="A40" s="271"/>
      <c r="B40" s="272"/>
      <c r="C40" s="272"/>
      <c r="D40" s="272"/>
      <c r="E40" s="265"/>
      <c r="F40" s="272"/>
      <c r="G40" s="272"/>
      <c r="H40" s="272"/>
      <c r="I40" s="272"/>
      <c r="K40" s="267"/>
      <c r="L40" s="267"/>
      <c r="M40" s="267"/>
      <c r="N40" s="267"/>
      <c r="O40" s="267"/>
      <c r="P40" s="267"/>
      <c r="Q40" s="267"/>
      <c r="R40" s="267"/>
      <c r="S40" s="267"/>
    </row>
    <row r="41" spans="1:19" ht="15" customHeight="1">
      <c r="A41" s="281">
        <f>A39+0.1</f>
        <v>2.1</v>
      </c>
      <c r="B41" s="271" t="s">
        <v>540</v>
      </c>
      <c r="C41" s="272"/>
      <c r="D41" s="272"/>
      <c r="E41" s="999"/>
      <c r="F41" s="272"/>
      <c r="G41" s="272"/>
      <c r="H41" s="272"/>
      <c r="I41" s="272"/>
      <c r="K41" s="267"/>
      <c r="L41" s="267"/>
      <c r="M41" s="267"/>
      <c r="N41" s="267"/>
      <c r="O41" s="267"/>
      <c r="P41" s="267"/>
      <c r="Q41" s="267"/>
      <c r="R41" s="267"/>
      <c r="S41" s="267"/>
    </row>
    <row r="42" spans="1:19" ht="12.75" customHeight="1">
      <c r="A42" s="281" t="s">
        <v>541</v>
      </c>
      <c r="B42" s="1324" t="s">
        <v>480</v>
      </c>
      <c r="C42" s="1324"/>
      <c r="D42" s="1324"/>
      <c r="E42" s="1324"/>
      <c r="F42" s="1324"/>
      <c r="G42" s="1324"/>
      <c r="H42" s="1324"/>
      <c r="I42" s="1324"/>
      <c r="K42" s="267"/>
      <c r="L42" s="267"/>
      <c r="M42" s="267"/>
      <c r="N42" s="267"/>
      <c r="O42" s="267"/>
      <c r="P42" s="267"/>
      <c r="Q42" s="267"/>
      <c r="R42" s="267"/>
      <c r="S42" s="267"/>
    </row>
    <row r="43" spans="1:19">
      <c r="A43" s="271"/>
      <c r="B43" s="1324"/>
      <c r="C43" s="1324"/>
      <c r="D43" s="1324"/>
      <c r="E43" s="1324"/>
      <c r="F43" s="1324"/>
      <c r="G43" s="1324"/>
      <c r="H43" s="1324"/>
      <c r="I43" s="1324"/>
      <c r="K43" s="267"/>
      <c r="L43" s="267"/>
      <c r="M43" s="267"/>
      <c r="N43" s="267"/>
      <c r="O43" s="267"/>
      <c r="P43" s="267"/>
      <c r="Q43" s="267"/>
      <c r="R43" s="267"/>
      <c r="S43" s="267"/>
    </row>
    <row r="44" spans="1:19">
      <c r="A44" s="271"/>
      <c r="B44" s="893"/>
      <c r="C44" s="893"/>
      <c r="D44" s="893"/>
      <c r="E44" s="893"/>
      <c r="F44" s="909"/>
      <c r="G44" s="893"/>
      <c r="H44" s="893"/>
      <c r="I44" s="893"/>
      <c r="K44" s="267"/>
      <c r="L44" s="267"/>
      <c r="M44" s="267"/>
      <c r="N44" s="267"/>
      <c r="O44" s="267"/>
      <c r="P44" s="267"/>
      <c r="Q44" s="267"/>
      <c r="R44" s="267"/>
      <c r="S44" s="267"/>
    </row>
    <row r="45" spans="1:19">
      <c r="A45" s="892" t="s">
        <v>457</v>
      </c>
      <c r="B45" s="1324" t="s">
        <v>567</v>
      </c>
      <c r="C45" s="1324"/>
      <c r="D45" s="1324"/>
      <c r="E45" s="1324"/>
      <c r="F45" s="1324"/>
      <c r="G45" s="1324"/>
      <c r="H45" s="1324"/>
      <c r="I45" s="1324"/>
    </row>
    <row r="46" spans="1:19">
      <c r="A46" s="271"/>
      <c r="B46" s="1324"/>
      <c r="C46" s="1324"/>
      <c r="D46" s="1324"/>
      <c r="E46" s="1324"/>
      <c r="F46" s="1324"/>
      <c r="G46" s="1324"/>
      <c r="H46" s="1324"/>
      <c r="I46" s="1324"/>
    </row>
    <row r="47" spans="1:19">
      <c r="A47" s="271"/>
      <c r="B47" s="1104"/>
      <c r="C47" s="1104"/>
      <c r="D47" s="1104"/>
      <c r="E47" s="1104"/>
      <c r="F47" s="1104"/>
      <c r="G47" s="1104"/>
      <c r="H47" s="1104"/>
      <c r="I47" s="1104"/>
    </row>
    <row r="48" spans="1:19">
      <c r="A48" s="891" t="s">
        <v>457</v>
      </c>
      <c r="B48" s="1324" t="s">
        <v>592</v>
      </c>
      <c r="C48" s="1324"/>
      <c r="D48" s="1324"/>
      <c r="E48" s="1324"/>
      <c r="F48" s="1324"/>
      <c r="G48" s="1324"/>
      <c r="H48" s="1324"/>
      <c r="I48" s="1324"/>
    </row>
    <row r="49" spans="1:9">
      <c r="A49" s="271"/>
      <c r="B49" s="1324"/>
      <c r="C49" s="1324"/>
      <c r="D49" s="1324"/>
      <c r="E49" s="1324"/>
      <c r="F49" s="1324"/>
      <c r="G49" s="1324"/>
      <c r="H49" s="1324"/>
      <c r="I49" s="1324"/>
    </row>
    <row r="50" spans="1:9">
      <c r="A50" s="271"/>
      <c r="B50" s="1104"/>
      <c r="C50" s="1104"/>
      <c r="D50" s="1104"/>
      <c r="E50" s="1104"/>
      <c r="F50" s="1104"/>
      <c r="G50" s="1104"/>
      <c r="H50" s="1104"/>
      <c r="I50" s="1104"/>
    </row>
    <row r="51" spans="1:9" ht="38.25" customHeight="1">
      <c r="A51" s="892" t="s">
        <v>457</v>
      </c>
      <c r="B51" s="1324" t="s">
        <v>593</v>
      </c>
      <c r="C51" s="1324"/>
      <c r="D51" s="1324"/>
      <c r="E51" s="1324"/>
      <c r="F51" s="1324"/>
      <c r="G51" s="1324"/>
      <c r="H51" s="1324"/>
      <c r="I51" s="1324"/>
    </row>
    <row r="52" spans="1:9">
      <c r="A52" s="271"/>
      <c r="B52" s="611"/>
      <c r="C52" s="611"/>
      <c r="D52" s="611"/>
      <c r="E52" s="611"/>
      <c r="F52" s="611"/>
      <c r="G52" s="611"/>
      <c r="H52" s="611"/>
      <c r="I52" s="611"/>
    </row>
    <row r="53" spans="1:9" ht="66.75" customHeight="1">
      <c r="A53" s="271"/>
      <c r="B53" s="1325" t="s">
        <v>568</v>
      </c>
      <c r="C53" s="1325"/>
      <c r="D53" s="1325"/>
      <c r="E53" s="1325"/>
      <c r="F53" s="1325"/>
      <c r="G53" s="1325"/>
      <c r="H53" s="1325"/>
      <c r="I53" s="1325"/>
    </row>
    <row r="54" spans="1:9">
      <c r="A54" s="271"/>
      <c r="B54" s="611"/>
      <c r="C54" s="611"/>
      <c r="D54" s="611"/>
      <c r="E54" s="611"/>
      <c r="F54" s="611"/>
      <c r="G54" s="611"/>
      <c r="H54" s="611"/>
      <c r="I54" s="611"/>
    </row>
    <row r="55" spans="1:9" ht="12.75" customHeight="1">
      <c r="A55" s="281" t="s">
        <v>542</v>
      </c>
      <c r="B55" s="1323" t="s">
        <v>683</v>
      </c>
      <c r="C55" s="1323"/>
      <c r="D55" s="1323"/>
      <c r="E55" s="1323"/>
      <c r="F55" s="1323"/>
      <c r="G55" s="1323"/>
      <c r="H55" s="1323"/>
      <c r="I55" s="1323"/>
    </row>
    <row r="56" spans="1:9">
      <c r="A56" s="273"/>
      <c r="B56" s="1323"/>
      <c r="C56" s="1323"/>
      <c r="D56" s="1323"/>
      <c r="E56" s="1323"/>
      <c r="F56" s="1323"/>
      <c r="G56" s="1323"/>
      <c r="H56" s="1323"/>
      <c r="I56" s="1323"/>
    </row>
    <row r="57" spans="1:9">
      <c r="A57" s="273"/>
      <c r="B57" s="1323"/>
      <c r="C57" s="1323"/>
      <c r="D57" s="1323"/>
      <c r="E57" s="1323"/>
      <c r="F57" s="1323"/>
      <c r="G57" s="1323"/>
      <c r="H57" s="1323"/>
      <c r="I57" s="1323"/>
    </row>
    <row r="58" spans="1:9">
      <c r="A58" s="273"/>
      <c r="B58" s="611"/>
      <c r="C58" s="611"/>
      <c r="D58" s="611"/>
      <c r="E58" s="611"/>
      <c r="F58" s="611"/>
      <c r="G58" s="611"/>
      <c r="H58" s="611"/>
      <c r="I58" s="611"/>
    </row>
    <row r="59" spans="1:9">
      <c r="A59" s="281" t="s">
        <v>543</v>
      </c>
      <c r="B59" s="1325" t="s">
        <v>733</v>
      </c>
      <c r="C59" s="1325"/>
      <c r="D59" s="1325"/>
      <c r="E59" s="1325"/>
      <c r="F59" s="1325"/>
      <c r="G59" s="1325"/>
      <c r="H59" s="1325"/>
      <c r="I59" s="1325"/>
    </row>
    <row r="60" spans="1:9" ht="52.5" customHeight="1">
      <c r="A60" s="274"/>
      <c r="B60" s="1325"/>
      <c r="C60" s="1325"/>
      <c r="D60" s="1325"/>
      <c r="E60" s="1325"/>
      <c r="F60" s="1325"/>
      <c r="G60" s="1325"/>
      <c r="H60" s="1325"/>
      <c r="I60" s="1325"/>
    </row>
    <row r="61" spans="1:9">
      <c r="A61" s="274"/>
      <c r="B61" s="275"/>
      <c r="C61" s="275"/>
      <c r="D61" s="275"/>
      <c r="E61" s="275"/>
      <c r="F61" s="910"/>
      <c r="G61" s="275"/>
      <c r="H61" s="275"/>
      <c r="I61" s="275"/>
    </row>
    <row r="62" spans="1:9">
      <c r="A62" s="281" t="s">
        <v>544</v>
      </c>
      <c r="B62" s="1325" t="s">
        <v>546</v>
      </c>
      <c r="C62" s="1325"/>
      <c r="D62" s="1325"/>
      <c r="E62" s="1325"/>
      <c r="F62" s="1325"/>
      <c r="G62" s="1325"/>
      <c r="H62" s="1325"/>
      <c r="I62" s="1325"/>
    </row>
    <row r="63" spans="1:9">
      <c r="A63" s="274"/>
      <c r="B63" s="1325"/>
      <c r="C63" s="1325"/>
      <c r="D63" s="1325"/>
      <c r="E63" s="1325"/>
      <c r="F63" s="1325"/>
      <c r="G63" s="1325"/>
      <c r="H63" s="1325"/>
      <c r="I63" s="1325"/>
    </row>
    <row r="64" spans="1:9">
      <c r="A64" s="274"/>
      <c r="B64" s="1325"/>
      <c r="C64" s="1325"/>
      <c r="D64" s="1325"/>
      <c r="E64" s="1325"/>
      <c r="F64" s="1325"/>
      <c r="G64" s="1325"/>
      <c r="H64" s="1325"/>
      <c r="I64" s="1325"/>
    </row>
    <row r="65" spans="1:12">
      <c r="A65" s="274"/>
      <c r="B65" s="1000"/>
      <c r="C65" s="1000"/>
      <c r="D65" s="1000"/>
      <c r="E65" s="1000"/>
      <c r="F65" s="1000"/>
      <c r="G65" s="1000"/>
      <c r="H65" s="1000"/>
      <c r="I65" s="1000"/>
    </row>
    <row r="66" spans="1:12">
      <c r="A66" s="281" t="s">
        <v>545</v>
      </c>
      <c r="B66" s="1325" t="s">
        <v>594</v>
      </c>
      <c r="C66" s="1325"/>
      <c r="D66" s="1325"/>
      <c r="E66" s="1325"/>
      <c r="F66" s="1325"/>
      <c r="G66" s="1325"/>
      <c r="H66" s="1325"/>
      <c r="I66" s="1325"/>
    </row>
    <row r="67" spans="1:12">
      <c r="A67" s="274"/>
      <c r="B67" s="1325"/>
      <c r="C67" s="1325"/>
      <c r="D67" s="1325"/>
      <c r="E67" s="1325"/>
      <c r="F67" s="1325"/>
      <c r="G67" s="1325"/>
      <c r="H67" s="1325"/>
      <c r="I67" s="1325"/>
    </row>
    <row r="68" spans="1:12" ht="19.5" customHeight="1">
      <c r="A68" s="274"/>
      <c r="B68" s="1325"/>
      <c r="C68" s="1325"/>
      <c r="D68" s="1325"/>
      <c r="E68" s="1325"/>
      <c r="F68" s="1325"/>
      <c r="G68" s="1325"/>
      <c r="H68" s="1325"/>
      <c r="I68" s="1325"/>
    </row>
    <row r="69" spans="1:12" ht="12.75" customHeight="1">
      <c r="A69" s="263">
        <v>3</v>
      </c>
      <c r="B69" s="1333" t="s">
        <v>595</v>
      </c>
      <c r="C69" s="1333"/>
      <c r="D69" s="1333"/>
      <c r="E69" s="1333"/>
      <c r="F69" s="1333"/>
      <c r="G69" s="1333"/>
      <c r="H69" s="1333"/>
      <c r="I69" s="1333"/>
      <c r="J69" s="1333"/>
      <c r="K69" s="1333"/>
      <c r="L69" s="267"/>
    </row>
    <row r="70" spans="1:12">
      <c r="A70" s="263"/>
      <c r="B70" s="1068"/>
      <c r="C70" s="1068"/>
      <c r="D70" s="1068"/>
      <c r="E70" s="1068"/>
      <c r="F70" s="1068"/>
      <c r="G70" s="1068"/>
      <c r="H70" s="1068"/>
      <c r="I70" s="1068"/>
      <c r="J70" s="1068"/>
      <c r="K70" s="1068"/>
      <c r="L70" s="267"/>
    </row>
    <row r="71" spans="1:12">
      <c r="A71" s="280">
        <f>A69+0.1</f>
        <v>3.1</v>
      </c>
      <c r="B71" s="1334" t="s">
        <v>656</v>
      </c>
      <c r="C71" s="1334"/>
      <c r="D71" s="1334"/>
      <c r="E71" s="1334"/>
      <c r="F71" s="1334"/>
      <c r="G71" s="1334"/>
      <c r="H71" s="1334"/>
      <c r="I71" s="1334"/>
      <c r="J71" s="1334"/>
      <c r="K71" s="1334"/>
      <c r="L71" s="267"/>
    </row>
    <row r="72" spans="1:12" ht="12.75" customHeight="1">
      <c r="B72" s="1334"/>
      <c r="C72" s="1334"/>
      <c r="D72" s="1334"/>
      <c r="E72" s="1334"/>
      <c r="F72" s="1334"/>
      <c r="G72" s="1334"/>
      <c r="H72" s="1334"/>
      <c r="I72" s="1334"/>
      <c r="J72" s="1334"/>
      <c r="K72" s="1334"/>
      <c r="L72" s="267"/>
    </row>
    <row r="73" spans="1:12">
      <c r="A73" s="280"/>
      <c r="B73" s="1334"/>
      <c r="C73" s="1334"/>
      <c r="D73" s="1334"/>
      <c r="E73" s="1334"/>
      <c r="F73" s="1334"/>
      <c r="G73" s="1334"/>
      <c r="H73" s="1334"/>
      <c r="I73" s="1334"/>
      <c r="J73" s="1334"/>
      <c r="K73" s="1334"/>
      <c r="L73" s="267"/>
    </row>
    <row r="74" spans="1:12" ht="12" customHeight="1">
      <c r="A74" s="280">
        <f>A71+0.1</f>
        <v>3.2</v>
      </c>
      <c r="B74" s="1335" t="s">
        <v>606</v>
      </c>
      <c r="C74" s="1335"/>
      <c r="D74" s="1335"/>
      <c r="E74" s="1335"/>
      <c r="F74" s="1335"/>
      <c r="G74" s="1335"/>
      <c r="H74" s="1335"/>
      <c r="I74" s="1335"/>
      <c r="J74" s="1103"/>
      <c r="K74" s="1103"/>
      <c r="L74" s="267"/>
    </row>
    <row r="75" spans="1:12">
      <c r="A75" s="280"/>
      <c r="B75" s="1335"/>
      <c r="C75" s="1335"/>
      <c r="D75" s="1335"/>
      <c r="E75" s="1335"/>
      <c r="F75" s="1335"/>
      <c r="G75" s="1335"/>
      <c r="H75" s="1335"/>
      <c r="I75" s="1335"/>
      <c r="J75" s="1103"/>
      <c r="K75" s="1103"/>
      <c r="L75" s="267"/>
    </row>
    <row r="76" spans="1:12" ht="27" customHeight="1">
      <c r="B76" s="1332" t="s">
        <v>657</v>
      </c>
      <c r="C76" s="1332"/>
      <c r="D76" s="1332"/>
      <c r="E76" s="1332"/>
      <c r="F76" s="1332"/>
      <c r="G76" s="1332"/>
      <c r="H76" s="1332"/>
      <c r="I76" s="1332"/>
      <c r="J76" s="1332"/>
      <c r="K76" s="1332"/>
      <c r="L76" s="267"/>
    </row>
    <row r="77" spans="1:12" ht="19.5" customHeight="1">
      <c r="A77" s="280"/>
      <c r="B77" s="1332"/>
      <c r="C77" s="1332"/>
      <c r="D77" s="1332"/>
      <c r="E77" s="1332"/>
      <c r="F77" s="1332"/>
      <c r="G77" s="1332"/>
      <c r="H77" s="1332"/>
      <c r="I77" s="1332"/>
      <c r="J77" s="1332"/>
      <c r="K77" s="1332"/>
      <c r="L77" s="267"/>
    </row>
    <row r="78" spans="1:12" ht="12.75" customHeight="1">
      <c r="A78" s="280"/>
      <c r="B78" s="1068"/>
      <c r="C78" s="1068"/>
      <c r="D78" s="1068"/>
      <c r="E78" s="1068"/>
      <c r="F78" s="1068"/>
      <c r="G78" s="1068"/>
      <c r="H78" s="1068"/>
      <c r="I78" s="1068"/>
      <c r="J78" s="1068"/>
      <c r="K78" s="1068"/>
      <c r="L78" s="267"/>
    </row>
    <row r="79" spans="1:12" ht="14.25" customHeight="1">
      <c r="A79" s="280">
        <f>A69+1</f>
        <v>4</v>
      </c>
      <c r="B79" s="1333" t="s">
        <v>596</v>
      </c>
      <c r="C79" s="1333"/>
      <c r="D79" s="1333"/>
      <c r="E79" s="1333"/>
      <c r="F79" s="1333"/>
      <c r="G79" s="1333"/>
      <c r="H79" s="1333"/>
      <c r="I79" s="1333"/>
      <c r="J79" s="1333"/>
      <c r="K79" s="1333"/>
      <c r="L79" s="950"/>
    </row>
    <row r="80" spans="1:12" ht="12.75" customHeight="1">
      <c r="A80" s="280"/>
      <c r="B80" s="1068"/>
      <c r="C80" s="1068"/>
      <c r="D80" s="1068"/>
      <c r="E80" s="1068"/>
      <c r="F80" s="1068"/>
      <c r="G80" s="1068"/>
      <c r="H80" s="1068"/>
      <c r="I80" s="1068"/>
      <c r="J80" s="1068"/>
      <c r="K80" s="1068"/>
      <c r="L80" s="950"/>
    </row>
    <row r="81" spans="1:12">
      <c r="A81" s="280"/>
      <c r="B81" s="1332" t="s">
        <v>658</v>
      </c>
      <c r="C81" s="1332"/>
      <c r="D81" s="1332"/>
      <c r="E81" s="1332"/>
      <c r="F81" s="1332"/>
      <c r="G81" s="1332"/>
      <c r="H81" s="1332"/>
      <c r="I81" s="1332"/>
      <c r="J81" s="1332"/>
      <c r="K81" s="1332"/>
      <c r="L81" s="950"/>
    </row>
    <row r="82" spans="1:12">
      <c r="A82" s="280"/>
      <c r="B82" s="1332"/>
      <c r="C82" s="1332"/>
      <c r="D82" s="1332"/>
      <c r="E82" s="1332"/>
      <c r="F82" s="1332"/>
      <c r="G82" s="1332"/>
      <c r="H82" s="1332"/>
      <c r="I82" s="1332"/>
      <c r="J82" s="1332"/>
      <c r="K82" s="1332"/>
      <c r="L82" s="950"/>
    </row>
    <row r="83" spans="1:12" s="947" customFormat="1" ht="12" customHeight="1">
      <c r="B83" s="1332"/>
      <c r="C83" s="1332"/>
      <c r="D83" s="1332"/>
      <c r="E83" s="1332"/>
      <c r="F83" s="1332"/>
      <c r="G83" s="1332"/>
      <c r="H83" s="1332"/>
      <c r="I83" s="1332"/>
      <c r="J83" s="1332"/>
      <c r="K83" s="1332"/>
      <c r="L83" s="1085"/>
    </row>
    <row r="84" spans="1:12" s="947" customFormat="1" ht="12">
      <c r="A84" s="948"/>
      <c r="B84" s="1332"/>
      <c r="C84" s="1332"/>
      <c r="D84" s="1332"/>
      <c r="E84" s="1332"/>
      <c r="F84" s="1332"/>
      <c r="G84" s="1332"/>
      <c r="H84" s="1332"/>
      <c r="I84" s="1332"/>
      <c r="J84" s="1332"/>
      <c r="K84" s="1332"/>
      <c r="L84" s="1085"/>
    </row>
    <row r="85" spans="1:12" s="947" customFormat="1" ht="11.4">
      <c r="A85" s="949"/>
      <c r="B85" s="1332"/>
      <c r="C85" s="1332"/>
      <c r="D85" s="1332"/>
      <c r="E85" s="1332"/>
      <c r="F85" s="1332"/>
      <c r="G85" s="1332"/>
      <c r="H85" s="1332"/>
      <c r="I85" s="1332"/>
      <c r="J85" s="1332"/>
      <c r="K85" s="1332"/>
      <c r="L85" s="1085"/>
    </row>
    <row r="86" spans="1:12" s="947" customFormat="1" ht="11.4">
      <c r="A86" s="949"/>
      <c r="B86" s="1068"/>
      <c r="C86" s="1068"/>
      <c r="D86" s="1068"/>
      <c r="E86" s="1068"/>
      <c r="F86" s="1068"/>
      <c r="G86" s="1068"/>
      <c r="H86" s="1068"/>
      <c r="I86" s="1068"/>
      <c r="J86" s="1068"/>
      <c r="K86" s="1068"/>
      <c r="L86" s="1085"/>
    </row>
    <row r="87" spans="1:12" s="947" customFormat="1" ht="12">
      <c r="A87" s="1087">
        <v>5</v>
      </c>
      <c r="B87" s="1333" t="s">
        <v>597</v>
      </c>
      <c r="C87" s="1333"/>
      <c r="D87" s="1333"/>
      <c r="E87" s="1333"/>
      <c r="F87" s="1333"/>
      <c r="G87" s="1333"/>
      <c r="H87" s="1333"/>
      <c r="I87" s="1333"/>
      <c r="J87" s="1333"/>
      <c r="K87" s="1333"/>
      <c r="L87" s="1085"/>
    </row>
    <row r="88" spans="1:12" s="947" customFormat="1" ht="11.4">
      <c r="A88" s="949"/>
      <c r="B88" s="1068"/>
      <c r="C88" s="1068"/>
      <c r="D88" s="1068"/>
      <c r="E88" s="1068"/>
      <c r="F88" s="1068"/>
      <c r="G88" s="1068"/>
      <c r="H88" s="1068"/>
      <c r="I88" s="1068"/>
      <c r="J88" s="1068"/>
      <c r="K88" s="1068"/>
      <c r="L88" s="1085"/>
    </row>
    <row r="89" spans="1:12" s="947" customFormat="1" ht="11.4">
      <c r="A89" s="949"/>
      <c r="B89" s="1332" t="s">
        <v>659</v>
      </c>
      <c r="C89" s="1332"/>
      <c r="D89" s="1332"/>
      <c r="E89" s="1332"/>
      <c r="F89" s="1332"/>
      <c r="G89" s="1332"/>
      <c r="H89" s="1332"/>
      <c r="I89" s="1332"/>
      <c r="J89" s="1332"/>
      <c r="K89" s="1332"/>
      <c r="L89" s="1085"/>
    </row>
    <row r="90" spans="1:12" s="947" customFormat="1" ht="11.4">
      <c r="A90" s="949"/>
      <c r="B90" s="1332"/>
      <c r="C90" s="1332"/>
      <c r="D90" s="1332"/>
      <c r="E90" s="1332"/>
      <c r="F90" s="1332"/>
      <c r="G90" s="1332"/>
      <c r="H90" s="1332"/>
      <c r="I90" s="1332"/>
      <c r="J90" s="1332"/>
      <c r="K90" s="1332"/>
      <c r="L90" s="1085"/>
    </row>
    <row r="91" spans="1:12" s="947" customFormat="1" ht="12" customHeight="1">
      <c r="A91" s="949"/>
      <c r="B91" s="1086"/>
      <c r="C91" s="1086"/>
      <c r="D91" s="1086"/>
      <c r="E91" s="1086"/>
      <c r="F91" s="1086"/>
      <c r="G91" s="1086"/>
      <c r="H91" s="1086"/>
      <c r="I91" s="1086"/>
      <c r="J91" s="1086"/>
      <c r="K91" s="1086"/>
      <c r="L91" s="1086"/>
    </row>
    <row r="92" spans="1:12" ht="12.75" hidden="1" customHeight="1">
      <c r="A92" s="280"/>
      <c r="B92" s="276"/>
      <c r="C92" s="277"/>
      <c r="D92" s="278"/>
      <c r="E92" s="278"/>
      <c r="F92" s="278"/>
      <c r="G92" s="279"/>
      <c r="H92" s="278"/>
      <c r="I92" s="279"/>
    </row>
    <row r="93" spans="1:12" ht="12.75" hidden="1" customHeight="1">
      <c r="A93" s="263" t="str">
        <f>CONCATENATE(J93,".")</f>
        <v>1.</v>
      </c>
      <c r="B93" s="89" t="s">
        <v>192</v>
      </c>
      <c r="D93" s="912"/>
      <c r="E93" s="912"/>
      <c r="F93" s="912"/>
      <c r="G93" s="912"/>
      <c r="H93" s="912"/>
      <c r="I93" s="912"/>
      <c r="J93" s="261">
        <f>J69+1</f>
        <v>1</v>
      </c>
    </row>
    <row r="94" spans="1:12" ht="12.75" hidden="1" customHeight="1">
      <c r="A94" s="263"/>
      <c r="B94" s="89"/>
      <c r="D94" s="912"/>
      <c r="E94" s="912"/>
      <c r="F94" s="912"/>
      <c r="G94" s="912"/>
      <c r="H94" s="912"/>
      <c r="I94" s="912"/>
    </row>
    <row r="95" spans="1:12" ht="12.75" hidden="1" customHeight="1">
      <c r="A95" s="281"/>
      <c r="B95" s="1322" t="s">
        <v>494</v>
      </c>
      <c r="C95" s="1322"/>
      <c r="D95" s="1322"/>
      <c r="E95" s="1322"/>
      <c r="F95" s="1322"/>
      <c r="G95" s="1322"/>
      <c r="H95" s="1322"/>
      <c r="I95" s="1322"/>
    </row>
    <row r="96" spans="1:12" ht="12.75" hidden="1" customHeight="1">
      <c r="A96" s="263"/>
      <c r="B96" s="1322"/>
      <c r="C96" s="1322"/>
      <c r="D96" s="1322"/>
      <c r="E96" s="1322"/>
      <c r="F96" s="1322"/>
      <c r="G96" s="1322"/>
      <c r="H96" s="1322"/>
      <c r="I96" s="1322"/>
    </row>
    <row r="97" spans="1:20" ht="12.75" customHeight="1">
      <c r="A97" s="282"/>
      <c r="F97" s="283"/>
      <c r="G97" s="998" t="s">
        <v>193</v>
      </c>
      <c r="H97" s="202"/>
      <c r="I97" s="202" t="s">
        <v>125</v>
      </c>
    </row>
    <row r="98" spans="1:20">
      <c r="A98" s="282"/>
      <c r="B98" s="89"/>
      <c r="F98" s="283"/>
      <c r="G98" s="5" t="s">
        <v>571</v>
      </c>
      <c r="H98" s="284"/>
      <c r="I98" s="284" t="s">
        <v>194</v>
      </c>
    </row>
    <row r="99" spans="1:20">
      <c r="A99" s="282"/>
      <c r="F99" s="283"/>
      <c r="G99" s="94">
        <v>2021</v>
      </c>
      <c r="H99" s="283"/>
      <c r="I99" s="283">
        <v>2021</v>
      </c>
    </row>
    <row r="100" spans="1:20">
      <c r="A100" s="282">
        <f>A87+1</f>
        <v>6</v>
      </c>
      <c r="B100" s="89" t="s">
        <v>547</v>
      </c>
      <c r="F100" s="283"/>
      <c r="G100" s="1329" t="s">
        <v>195</v>
      </c>
      <c r="H100" s="1329"/>
      <c r="I100" s="1329"/>
    </row>
    <row r="101" spans="1:20">
      <c r="A101" s="282"/>
      <c r="F101" s="283"/>
      <c r="G101" s="94"/>
      <c r="H101" s="283"/>
      <c r="I101" s="283"/>
    </row>
    <row r="102" spans="1:20">
      <c r="A102" s="282"/>
      <c r="B102" s="90" t="s">
        <v>548</v>
      </c>
      <c r="E102" s="90">
        <f>A106</f>
        <v>6.1</v>
      </c>
      <c r="F102" s="283"/>
      <c r="G102" s="1004">
        <f>TB!F7+TB!F12+TB!F9+TB!F10+TB!F18</f>
        <v>2794.0846299999998</v>
      </c>
      <c r="H102" s="1005"/>
      <c r="I102" s="1005">
        <v>5050</v>
      </c>
    </row>
    <row r="103" spans="1:20">
      <c r="A103" s="282"/>
      <c r="B103" s="90" t="s">
        <v>549</v>
      </c>
      <c r="E103" s="90">
        <f>A109</f>
        <v>6.1999999999999993</v>
      </c>
      <c r="F103" s="283"/>
      <c r="G103" s="1004">
        <f>SUM(TB!F3:F19)-G102</f>
        <v>145871.42758999998</v>
      </c>
      <c r="H103" s="1005"/>
      <c r="I103" s="1005">
        <v>181326</v>
      </c>
      <c r="T103" s="90">
        <f>472/1000</f>
        <v>0.47199999999999998</v>
      </c>
    </row>
    <row r="104" spans="1:20" ht="13.8" thickBot="1">
      <c r="A104" s="282"/>
      <c r="F104" s="283"/>
      <c r="G104" s="1006">
        <f>SUM(G102:G103)</f>
        <v>148665.51221999998</v>
      </c>
      <c r="H104" s="1005"/>
      <c r="I104" s="1007">
        <f>SUM(I102:I103)</f>
        <v>186376</v>
      </c>
      <c r="R104" s="90">
        <f>465/1000</f>
        <v>0.46500000000000002</v>
      </c>
    </row>
    <row r="105" spans="1:20" ht="13.8" thickTop="1">
      <c r="A105" s="282"/>
      <c r="F105" s="283"/>
      <c r="G105" s="94"/>
      <c r="H105" s="283"/>
      <c r="I105" s="283"/>
    </row>
    <row r="106" spans="1:20">
      <c r="A106" s="282">
        <f>A100+0.1</f>
        <v>6.1</v>
      </c>
      <c r="B106" s="1330" t="s">
        <v>709</v>
      </c>
      <c r="C106" s="1330"/>
      <c r="D106" s="1330"/>
      <c r="E106" s="1330"/>
      <c r="F106" s="1330"/>
      <c r="G106" s="1330"/>
      <c r="H106" s="1330"/>
      <c r="I106" s="1330"/>
    </row>
    <row r="107" spans="1:20">
      <c r="A107" s="282"/>
      <c r="B107" s="1330"/>
      <c r="C107" s="1330"/>
      <c r="D107" s="1330"/>
      <c r="E107" s="1330"/>
      <c r="F107" s="1330"/>
      <c r="G107" s="1330"/>
      <c r="H107" s="1330"/>
      <c r="I107" s="1330"/>
    </row>
    <row r="108" spans="1:20">
      <c r="A108" s="282"/>
      <c r="F108" s="283"/>
      <c r="G108" s="94"/>
      <c r="H108" s="283"/>
      <c r="I108" s="283"/>
    </row>
    <row r="109" spans="1:20" ht="15" customHeight="1">
      <c r="A109" s="282">
        <f>A106+0.1</f>
        <v>6.1999999999999993</v>
      </c>
      <c r="B109" s="1331" t="s">
        <v>710</v>
      </c>
      <c r="C109" s="1331"/>
      <c r="D109" s="1331"/>
      <c r="E109" s="1331"/>
      <c r="F109" s="1331"/>
      <c r="G109" s="1331"/>
      <c r="H109" s="1331"/>
      <c r="I109" s="1331"/>
    </row>
    <row r="110" spans="1:20" ht="24.75" customHeight="1">
      <c r="A110" s="282"/>
      <c r="B110" s="1331"/>
      <c r="C110" s="1331"/>
      <c r="D110" s="1331"/>
      <c r="E110" s="1331"/>
      <c r="F110" s="1331"/>
      <c r="G110" s="1331"/>
      <c r="H110" s="1331"/>
      <c r="I110" s="1331"/>
    </row>
    <row r="111" spans="1:20">
      <c r="A111" s="282"/>
      <c r="F111" s="283"/>
      <c r="G111" s="94"/>
      <c r="H111" s="283"/>
      <c r="I111" s="283"/>
      <c r="S111" s="90">
        <f>6528.19/1000000</f>
        <v>6.5281899999999997E-3</v>
      </c>
    </row>
    <row r="112" spans="1:20" ht="12.75" customHeight="1">
      <c r="A112" s="282"/>
      <c r="F112" s="202"/>
      <c r="G112" s="908" t="s">
        <v>193</v>
      </c>
      <c r="H112" s="202"/>
      <c r="I112" s="202" t="s">
        <v>125</v>
      </c>
    </row>
    <row r="113" spans="1:10" ht="12.75" customHeight="1">
      <c r="F113" s="284"/>
      <c r="G113" s="5" t="s">
        <v>571</v>
      </c>
      <c r="H113" s="284"/>
      <c r="I113" s="284" t="s">
        <v>194</v>
      </c>
      <c r="J113" s="90">
        <f>J93+1</f>
        <v>2</v>
      </c>
    </row>
    <row r="114" spans="1:10" ht="12.75" customHeight="1">
      <c r="A114" s="282"/>
      <c r="F114" s="283"/>
      <c r="G114" s="94">
        <v>2021</v>
      </c>
      <c r="H114" s="283"/>
      <c r="I114" s="283">
        <v>2021</v>
      </c>
    </row>
    <row r="115" spans="1:10" ht="12.75" customHeight="1">
      <c r="A115" s="282"/>
      <c r="E115" s="261" t="s">
        <v>129</v>
      </c>
      <c r="F115" s="261"/>
      <c r="G115" s="1329" t="s">
        <v>195</v>
      </c>
      <c r="H115" s="1329"/>
      <c r="I115" s="1329"/>
    </row>
    <row r="116" spans="1:10" ht="12.75" customHeight="1">
      <c r="A116" s="263">
        <f>A100+1</f>
        <v>7</v>
      </c>
      <c r="B116" s="11" t="s">
        <v>196</v>
      </c>
      <c r="E116" s="285"/>
      <c r="F116" s="914"/>
      <c r="G116" s="914"/>
      <c r="H116" s="914"/>
      <c r="I116" s="914"/>
    </row>
    <row r="117" spans="1:10" ht="12.75" customHeight="1">
      <c r="A117" s="282"/>
      <c r="B117" s="96"/>
      <c r="E117" s="285"/>
      <c r="F117" s="914"/>
      <c r="G117" s="914"/>
      <c r="H117" s="914"/>
      <c r="I117" s="914"/>
    </row>
    <row r="118" spans="1:10" ht="12.75" customHeight="1">
      <c r="A118" s="282"/>
      <c r="B118" s="96" t="s">
        <v>197</v>
      </c>
      <c r="E118" s="285"/>
      <c r="F118" s="914"/>
      <c r="G118" s="914"/>
      <c r="H118" s="914"/>
      <c r="I118" s="914"/>
    </row>
    <row r="119" spans="1:10" ht="12.75" customHeight="1">
      <c r="A119" s="282"/>
      <c r="B119" s="96"/>
      <c r="E119" s="285"/>
    </row>
    <row r="120" spans="1:10" ht="12.75" customHeight="1">
      <c r="B120" s="286" t="s">
        <v>198</v>
      </c>
      <c r="E120" s="852">
        <f>+'Note 5.1'!A1</f>
        <v>7.1</v>
      </c>
      <c r="G120" s="287">
        <f>+'Note 5.1'!K119</f>
        <v>297050.77400000003</v>
      </c>
      <c r="I120" s="288">
        <v>272708</v>
      </c>
    </row>
    <row r="121" spans="1:10" ht="12.75" customHeight="1">
      <c r="B121" s="286" t="s">
        <v>199</v>
      </c>
      <c r="E121" s="852">
        <f>+'Note 5.2-5.3'!A2</f>
        <v>7.1999999999999993</v>
      </c>
      <c r="G121" s="997">
        <f>+'Note 5.2-5.3'!J46</f>
        <v>0</v>
      </c>
      <c r="I121" s="288">
        <v>0</v>
      </c>
    </row>
    <row r="122" spans="1:10" ht="12.75" customHeight="1">
      <c r="B122" s="286" t="s">
        <v>335</v>
      </c>
      <c r="E122" s="852">
        <f>'Note 5.2-5.3'!A52</f>
        <v>7.2999999999999989</v>
      </c>
      <c r="G122" s="287">
        <f>+'Note 5.2-5.3'!J68</f>
        <v>500.755</v>
      </c>
      <c r="I122" s="288">
        <v>584</v>
      </c>
    </row>
    <row r="123" spans="1:10" ht="12.75" customHeight="1" thickBot="1">
      <c r="B123" s="23"/>
      <c r="E123" s="285"/>
      <c r="G123" s="1052">
        <f>SUM(G120:G122)</f>
        <v>297551.52900000004</v>
      </c>
      <c r="I123" s="1051">
        <f>SUM(I120:I122)</f>
        <v>273292</v>
      </c>
      <c r="J123" s="289"/>
    </row>
    <row r="124" spans="1:10" ht="12.75" customHeight="1" thickTop="1">
      <c r="B124" s="23"/>
      <c r="E124" s="285"/>
      <c r="G124" s="89"/>
    </row>
    <row r="125" spans="1:10" s="97" customFormat="1" ht="21" customHeight="1">
      <c r="B125" s="264"/>
      <c r="G125" s="1012"/>
      <c r="I125" s="1013"/>
    </row>
  </sheetData>
  <mergeCells count="35">
    <mergeCell ref="G115:I115"/>
    <mergeCell ref="B59:I60"/>
    <mergeCell ref="B66:I68"/>
    <mergeCell ref="B62:I64"/>
    <mergeCell ref="B95:I96"/>
    <mergeCell ref="B106:I107"/>
    <mergeCell ref="B109:I110"/>
    <mergeCell ref="G100:I100"/>
    <mergeCell ref="B89:K90"/>
    <mergeCell ref="B69:K69"/>
    <mergeCell ref="B71:K73"/>
    <mergeCell ref="B76:K77"/>
    <mergeCell ref="B79:K79"/>
    <mergeCell ref="B81:K85"/>
    <mergeCell ref="B87:K87"/>
    <mergeCell ref="B74:I75"/>
    <mergeCell ref="K8:S13"/>
    <mergeCell ref="B14:I17"/>
    <mergeCell ref="K14:S18"/>
    <mergeCell ref="B19:I22"/>
    <mergeCell ref="K20:S22"/>
    <mergeCell ref="B8:I13"/>
    <mergeCell ref="K24:S26"/>
    <mergeCell ref="K28:S28"/>
    <mergeCell ref="B29:I30"/>
    <mergeCell ref="K29:S30"/>
    <mergeCell ref="B27:I28"/>
    <mergeCell ref="B24:I25"/>
    <mergeCell ref="B32:I36"/>
    <mergeCell ref="B55:I57"/>
    <mergeCell ref="B42:I43"/>
    <mergeCell ref="B45:I46"/>
    <mergeCell ref="B48:I49"/>
    <mergeCell ref="B51:I51"/>
    <mergeCell ref="B53:I53"/>
  </mergeCells>
  <pageMargins left="0.7" right="0.7" top="0.75" bottom="0.75" header="0.3" footer="0.3"/>
  <pageSetup scale="56" fitToHeight="3" orientation="portrait" horizontalDpi="200" verticalDpi="200" r:id="rId1"/>
  <headerFooter alignWithMargins="0"/>
  <rowBreaks count="2" manualBreakCount="2">
    <brk id="53" max="7" man="1"/>
    <brk id="9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U138"/>
  <sheetViews>
    <sheetView showGridLines="0" view="pageBreakPreview" zoomScale="74" zoomScaleNormal="80" zoomScaleSheetLayoutView="74" workbookViewId="0">
      <selection activeCell="L122" sqref="L122"/>
    </sheetView>
  </sheetViews>
  <sheetFormatPr defaultColWidth="8.109375" defaultRowHeight="12.75" customHeight="1"/>
  <cols>
    <col min="1" max="1" width="5.88671875" style="299" customWidth="1"/>
    <col min="2" max="2" width="35.44140625" style="299" customWidth="1"/>
    <col min="3" max="3" width="6.44140625" style="300" customWidth="1"/>
    <col min="4" max="4" width="12.44140625" style="993" hidden="1" customWidth="1"/>
    <col min="5" max="5" width="12.33203125" style="299" customWidth="1"/>
    <col min="6" max="6" width="11.88671875" style="299" customWidth="1"/>
    <col min="7" max="7" width="13" style="299" customWidth="1"/>
    <col min="8" max="9" width="14" style="299" customWidth="1"/>
    <col min="10" max="10" width="15.33203125" style="299" bestFit="1" customWidth="1"/>
    <col min="11" max="11" width="14.6640625" style="299" bestFit="1" customWidth="1"/>
    <col min="12" max="12" width="14.5546875" style="299" customWidth="1"/>
    <col min="13" max="13" width="12.88671875" style="968" customWidth="1"/>
    <col min="14" max="14" width="13.5546875" style="968" customWidth="1"/>
    <col min="15" max="15" width="18" style="299" bestFit="1" customWidth="1"/>
    <col min="16" max="16" width="8.109375" style="299"/>
    <col min="17" max="17" width="8.44140625" style="299" bestFit="1" customWidth="1"/>
    <col min="18" max="18" width="10" style="299" bestFit="1" customWidth="1"/>
    <col min="19" max="16384" width="8.109375" style="299"/>
  </cols>
  <sheetData>
    <row r="1" spans="1:21" s="204" customFormat="1" ht="12.75" customHeight="1">
      <c r="A1" s="697">
        <v>7.1</v>
      </c>
      <c r="B1" s="381" t="s">
        <v>322</v>
      </c>
      <c r="C1" s="114"/>
      <c r="D1" s="987"/>
      <c r="E1" s="114"/>
      <c r="F1" s="114"/>
      <c r="G1" s="382" t="s">
        <v>163</v>
      </c>
      <c r="H1" s="382" t="s">
        <v>163</v>
      </c>
      <c r="I1" s="382" t="s">
        <v>163</v>
      </c>
      <c r="J1" s="383" t="s">
        <v>163</v>
      </c>
      <c r="K1" s="383" t="s">
        <v>163</v>
      </c>
      <c r="L1" s="383" t="s">
        <v>163</v>
      </c>
      <c r="M1" s="964" t="s">
        <v>163</v>
      </c>
      <c r="N1" s="964" t="s">
        <v>163</v>
      </c>
      <c r="O1" s="384" t="s">
        <v>163</v>
      </c>
    </row>
    <row r="2" spans="1:21" s="204" customFormat="1" ht="18.75" customHeight="1">
      <c r="A2" s="383"/>
      <c r="B2" s="382" t="s">
        <v>163</v>
      </c>
      <c r="C2" s="382" t="s">
        <v>163</v>
      </c>
      <c r="D2" s="988"/>
      <c r="E2" s="382" t="s">
        <v>163</v>
      </c>
      <c r="F2" s="382" t="s">
        <v>163</v>
      </c>
      <c r="G2" s="382" t="s">
        <v>163</v>
      </c>
      <c r="H2" s="382" t="s">
        <v>163</v>
      </c>
      <c r="I2" s="382" t="s">
        <v>163</v>
      </c>
      <c r="J2" s="383" t="s">
        <v>163</v>
      </c>
      <c r="K2" s="383" t="s">
        <v>163</v>
      </c>
      <c r="L2" s="383" t="s">
        <v>163</v>
      </c>
      <c r="M2" s="964" t="s">
        <v>163</v>
      </c>
      <c r="N2" s="964" t="s">
        <v>163</v>
      </c>
      <c r="O2" s="384" t="s">
        <v>163</v>
      </c>
    </row>
    <row r="3" spans="1:21" s="204" customFormat="1" ht="12.75" customHeight="1">
      <c r="A3" s="383"/>
      <c r="B3" s="1360" t="s">
        <v>200</v>
      </c>
      <c r="C3" s="1361"/>
      <c r="D3" s="1339" t="s">
        <v>561</v>
      </c>
      <c r="E3" s="1336" t="s">
        <v>674</v>
      </c>
      <c r="F3" s="1336" t="s">
        <v>201</v>
      </c>
      <c r="G3" s="1336" t="s">
        <v>378</v>
      </c>
      <c r="H3" s="1336" t="s">
        <v>202</v>
      </c>
      <c r="I3" s="1336" t="s">
        <v>675</v>
      </c>
      <c r="J3" s="1357" t="s">
        <v>675</v>
      </c>
      <c r="K3" s="1358"/>
      <c r="L3" s="1359"/>
      <c r="M3" s="1351" t="s">
        <v>332</v>
      </c>
      <c r="N3" s="1351" t="s">
        <v>203</v>
      </c>
      <c r="O3" s="1354" t="s">
        <v>222</v>
      </c>
    </row>
    <row r="4" spans="1:21" s="204" customFormat="1" ht="12.75" customHeight="1">
      <c r="A4" s="383"/>
      <c r="B4" s="1362"/>
      <c r="C4" s="1363"/>
      <c r="D4" s="1340"/>
      <c r="E4" s="1337"/>
      <c r="F4" s="1337"/>
      <c r="G4" s="1337"/>
      <c r="H4" s="1337"/>
      <c r="I4" s="1337"/>
      <c r="J4" s="1344" t="s">
        <v>204</v>
      </c>
      <c r="K4" s="1344" t="s">
        <v>313</v>
      </c>
      <c r="L4" s="1347" t="s">
        <v>205</v>
      </c>
      <c r="M4" s="1352"/>
      <c r="N4" s="1352"/>
      <c r="O4" s="1355"/>
    </row>
    <row r="5" spans="1:21" s="204" customFormat="1" ht="12.75" customHeight="1">
      <c r="A5" s="383"/>
      <c r="B5" s="1362"/>
      <c r="C5" s="1363"/>
      <c r="D5" s="1340"/>
      <c r="E5" s="1337"/>
      <c r="F5" s="1337"/>
      <c r="G5" s="1337"/>
      <c r="H5" s="1337"/>
      <c r="I5" s="1337"/>
      <c r="J5" s="1345"/>
      <c r="K5" s="1345"/>
      <c r="L5" s="1348"/>
      <c r="M5" s="1352"/>
      <c r="N5" s="1352"/>
      <c r="O5" s="1355"/>
      <c r="U5" s="204">
        <v>1000</v>
      </c>
    </row>
    <row r="6" spans="1:21" s="204" customFormat="1" ht="12.75" customHeight="1">
      <c r="A6" s="383"/>
      <c r="B6" s="1362"/>
      <c r="C6" s="1363"/>
      <c r="D6" s="1340"/>
      <c r="E6" s="1337"/>
      <c r="F6" s="1337"/>
      <c r="G6" s="1337"/>
      <c r="H6" s="1337"/>
      <c r="I6" s="1337"/>
      <c r="J6" s="1345"/>
      <c r="K6" s="1345"/>
      <c r="L6" s="1348"/>
      <c r="M6" s="1352"/>
      <c r="N6" s="1352"/>
      <c r="O6" s="1355"/>
      <c r="P6" s="288"/>
      <c r="Q6" s="288"/>
    </row>
    <row r="7" spans="1:21" s="204" customFormat="1" ht="12.75" customHeight="1">
      <c r="A7" s="383"/>
      <c r="B7" s="1362"/>
      <c r="C7" s="1363"/>
      <c r="D7" s="1340"/>
      <c r="E7" s="1337"/>
      <c r="F7" s="1337"/>
      <c r="G7" s="1337"/>
      <c r="H7" s="1337"/>
      <c r="I7" s="1337"/>
      <c r="J7" s="1345"/>
      <c r="K7" s="1345"/>
      <c r="L7" s="1348"/>
      <c r="M7" s="1352"/>
      <c r="N7" s="1352"/>
      <c r="O7" s="1355"/>
      <c r="P7" s="288"/>
      <c r="Q7" s="288"/>
    </row>
    <row r="8" spans="1:21" s="204" customFormat="1" ht="49.5" customHeight="1">
      <c r="A8" s="383"/>
      <c r="B8" s="1364"/>
      <c r="C8" s="1365"/>
      <c r="D8" s="1341"/>
      <c r="E8" s="1338"/>
      <c r="F8" s="1338"/>
      <c r="G8" s="1338"/>
      <c r="H8" s="1338"/>
      <c r="I8" s="1338"/>
      <c r="J8" s="1346"/>
      <c r="K8" s="1346"/>
      <c r="L8" s="1349"/>
      <c r="M8" s="1353"/>
      <c r="N8" s="1353"/>
      <c r="O8" s="1356"/>
    </row>
    <row r="9" spans="1:21" s="204" customFormat="1" ht="12.75" customHeight="1">
      <c r="A9" s="383"/>
      <c r="B9" s="385" t="s">
        <v>163</v>
      </c>
      <c r="C9" s="385" t="s">
        <v>163</v>
      </c>
      <c r="D9" s="989"/>
      <c r="E9" s="1350" t="s">
        <v>377</v>
      </c>
      <c r="F9" s="1350"/>
      <c r="G9" s="1350"/>
      <c r="H9" s="1350"/>
      <c r="I9" s="1350"/>
      <c r="J9" s="1350" t="s">
        <v>346</v>
      </c>
      <c r="K9" s="1350"/>
      <c r="L9" s="1350"/>
      <c r="M9" s="1350" t="s">
        <v>208</v>
      </c>
      <c r="N9" s="1350"/>
      <c r="O9" s="1350"/>
    </row>
    <row r="10" spans="1:21" s="204" customFormat="1" ht="12.75" customHeight="1">
      <c r="A10" s="959"/>
      <c r="B10" s="986"/>
      <c r="C10" s="958"/>
      <c r="D10" s="990"/>
      <c r="E10" s="974"/>
      <c r="F10" s="1059"/>
      <c r="G10" s="974"/>
      <c r="H10" s="974"/>
      <c r="I10" s="971"/>
      <c r="J10" s="977"/>
      <c r="K10" s="977"/>
      <c r="L10" s="978"/>
      <c r="M10" s="980"/>
      <c r="N10" s="980"/>
      <c r="O10" s="981"/>
      <c r="P10" s="962"/>
      <c r="Q10" s="962"/>
    </row>
    <row r="11" spans="1:21" s="204" customFormat="1" ht="12.75" customHeight="1">
      <c r="A11" s="959"/>
      <c r="B11" s="975"/>
      <c r="C11" s="972"/>
      <c r="D11" s="203"/>
      <c r="E11" s="974"/>
      <c r="F11" s="974"/>
      <c r="G11" s="974"/>
      <c r="H11" s="974"/>
      <c r="I11" s="978"/>
      <c r="J11" s="977"/>
      <c r="K11" s="977"/>
      <c r="L11" s="978"/>
      <c r="M11" s="980"/>
      <c r="N11" s="980"/>
      <c r="O11" s="1120"/>
      <c r="P11" s="962">
        <f>J11/1000</f>
        <v>0</v>
      </c>
      <c r="Q11" s="962">
        <f>K11/1000</f>
        <v>0</v>
      </c>
      <c r="R11" s="204">
        <v>7295400</v>
      </c>
    </row>
    <row r="12" spans="1:21" s="204" customFormat="1" ht="12.75" customHeight="1">
      <c r="A12" s="959"/>
      <c r="B12" s="1060" t="s">
        <v>459</v>
      </c>
      <c r="C12" s="960"/>
      <c r="D12" s="203"/>
      <c r="E12" s="974"/>
      <c r="F12" s="974"/>
      <c r="G12" s="974"/>
      <c r="H12" s="974"/>
      <c r="I12" s="978"/>
      <c r="J12" s="977"/>
      <c r="K12" s="977"/>
      <c r="L12" s="978"/>
      <c r="M12" s="980"/>
      <c r="N12" s="1117"/>
      <c r="O12" s="1120"/>
      <c r="P12" s="962">
        <f>J12/1000</f>
        <v>0</v>
      </c>
      <c r="Q12" s="962">
        <f>K12/1000</f>
        <v>0</v>
      </c>
    </row>
    <row r="13" spans="1:21" s="204" customFormat="1" ht="12.75" customHeight="1">
      <c r="A13" s="959"/>
      <c r="B13" s="975" t="s">
        <v>706</v>
      </c>
      <c r="C13" s="960"/>
      <c r="D13" s="203"/>
      <c r="E13" s="1134">
        <v>0</v>
      </c>
      <c r="F13" s="1134">
        <v>13000</v>
      </c>
      <c r="G13" s="1134">
        <v>0</v>
      </c>
      <c r="H13" s="1134">
        <v>13000</v>
      </c>
      <c r="I13" s="978">
        <f>E13+F13+G13-H13</f>
        <v>0</v>
      </c>
      <c r="J13" s="977"/>
      <c r="K13" s="977"/>
      <c r="L13" s="978">
        <f>K13-J13</f>
        <v>0</v>
      </c>
      <c r="M13" s="1117">
        <f>K13/BS!$G$30</f>
        <v>0</v>
      </c>
      <c r="N13" s="1117">
        <f>K13/'Note 1-5'!$G$123</f>
        <v>0</v>
      </c>
      <c r="O13" s="1147">
        <v>1.0000000000000001E-5</v>
      </c>
      <c r="P13" s="1064"/>
      <c r="Q13" s="962"/>
    </row>
    <row r="14" spans="1:21" s="204" customFormat="1" ht="12.75" customHeight="1">
      <c r="A14" s="959"/>
      <c r="B14" s="975" t="s">
        <v>460</v>
      </c>
      <c r="C14" s="960"/>
      <c r="D14" s="203"/>
      <c r="E14" s="1134">
        <v>4100</v>
      </c>
      <c r="F14" s="1134">
        <v>0</v>
      </c>
      <c r="G14" s="1134">
        <v>0</v>
      </c>
      <c r="H14" s="1134">
        <v>0</v>
      </c>
      <c r="I14" s="978">
        <f>E14+F14+G14-H14</f>
        <v>4100</v>
      </c>
      <c r="J14" s="977">
        <v>5142</v>
      </c>
      <c r="K14" s="977">
        <v>4789</v>
      </c>
      <c r="L14" s="978">
        <f>K14-J14</f>
        <v>-353</v>
      </c>
      <c r="M14" s="1117">
        <f>K14/BS!$G$30</f>
        <v>1.0865442925736898E-2</v>
      </c>
      <c r="N14" s="1117">
        <f>K14/'Note 1-5'!$G$123</f>
        <v>1.6094691282866839E-2</v>
      </c>
      <c r="O14" s="1147">
        <v>1.0000000000000001E-5</v>
      </c>
      <c r="P14" s="1064"/>
      <c r="Q14" s="962"/>
    </row>
    <row r="15" spans="1:21" s="204" customFormat="1" ht="12.75" customHeight="1">
      <c r="A15" s="959"/>
      <c r="B15" s="975" t="s">
        <v>705</v>
      </c>
      <c r="C15" s="960"/>
      <c r="D15" s="203"/>
      <c r="E15" s="1134">
        <v>0</v>
      </c>
      <c r="F15" s="1134">
        <v>13000</v>
      </c>
      <c r="G15" s="1134">
        <v>0</v>
      </c>
      <c r="H15" s="1134">
        <v>0</v>
      </c>
      <c r="I15" s="978">
        <f>E15+F15+G15-H15</f>
        <v>13000</v>
      </c>
      <c r="J15" s="977">
        <v>4668</v>
      </c>
      <c r="K15" s="977">
        <v>3478</v>
      </c>
      <c r="L15" s="978">
        <f>K15-J15</f>
        <v>-1190</v>
      </c>
      <c r="M15" s="1117">
        <f>K15/BS!$G$30</f>
        <v>7.8910024004412056E-3</v>
      </c>
      <c r="N15" s="1117">
        <f>K15/'Note 1-5'!$G$123</f>
        <v>1.1688731735604691E-2</v>
      </c>
      <c r="O15" s="1147">
        <v>1.0000000000000001E-5</v>
      </c>
      <c r="P15" s="1064"/>
      <c r="Q15" s="962"/>
    </row>
    <row r="16" spans="1:21" s="204" customFormat="1" ht="12.75" customHeight="1" thickBot="1">
      <c r="A16" s="959"/>
      <c r="B16" s="975"/>
      <c r="C16" s="960"/>
      <c r="D16" s="203"/>
      <c r="E16" s="974"/>
      <c r="F16" s="974"/>
      <c r="G16" s="974"/>
      <c r="H16" s="974"/>
      <c r="I16" s="978"/>
      <c r="J16" s="1062">
        <f t="shared" ref="J16:O16" si="0">SUM(J14:J15)</f>
        <v>9810</v>
      </c>
      <c r="K16" s="1062">
        <f t="shared" si="0"/>
        <v>8267</v>
      </c>
      <c r="L16" s="1062">
        <f t="shared" si="0"/>
        <v>-1543</v>
      </c>
      <c r="M16" s="1118">
        <f t="shared" si="0"/>
        <v>1.8756445326178102E-2</v>
      </c>
      <c r="N16" s="1118">
        <f t="shared" si="0"/>
        <v>2.7783423018471531E-2</v>
      </c>
      <c r="O16" s="1118">
        <f t="shared" si="0"/>
        <v>2.0000000000000002E-5</v>
      </c>
      <c r="P16" s="1064"/>
      <c r="Q16" s="962"/>
    </row>
    <row r="17" spans="1:17" s="204" customFormat="1" ht="12.75" customHeight="1" thickTop="1">
      <c r="A17" s="959"/>
      <c r="B17" s="975"/>
      <c r="C17" s="960"/>
      <c r="D17" s="203"/>
      <c r="E17" s="974"/>
      <c r="F17" s="974"/>
      <c r="G17" s="974"/>
      <c r="H17" s="974"/>
      <c r="I17" s="978"/>
      <c r="J17" s="977"/>
      <c r="K17" s="977"/>
      <c r="L17" s="978"/>
      <c r="M17" s="1117"/>
      <c r="N17" s="1117"/>
      <c r="O17" s="1147"/>
      <c r="P17" s="1064"/>
      <c r="Q17" s="962"/>
    </row>
    <row r="18" spans="1:17" s="204" customFormat="1" ht="12.75" customHeight="1">
      <c r="A18" s="959"/>
      <c r="B18" s="975"/>
      <c r="C18" s="960"/>
      <c r="D18" s="203"/>
      <c r="E18" s="974"/>
      <c r="F18" s="974"/>
      <c r="G18" s="974"/>
      <c r="H18" s="974"/>
      <c r="I18" s="978"/>
      <c r="J18" s="977"/>
      <c r="K18" s="977"/>
      <c r="L18" s="978"/>
      <c r="M18" s="1117"/>
      <c r="N18" s="1117"/>
      <c r="O18" s="1147"/>
      <c r="P18" s="1064"/>
      <c r="Q18" s="962"/>
    </row>
    <row r="19" spans="1:17" s="204" customFormat="1" ht="12.75" customHeight="1">
      <c r="A19" s="959"/>
      <c r="B19" s="1060" t="s">
        <v>628</v>
      </c>
      <c r="C19" s="960"/>
      <c r="D19" s="203"/>
      <c r="E19" s="974"/>
      <c r="F19" s="974"/>
      <c r="G19" s="974"/>
      <c r="H19" s="974"/>
      <c r="I19" s="978"/>
      <c r="J19" s="977"/>
      <c r="K19" s="977"/>
      <c r="L19" s="978"/>
      <c r="M19" s="1117"/>
      <c r="N19" s="1117"/>
      <c r="O19" s="1147"/>
      <c r="P19" s="1064"/>
      <c r="Q19" s="962"/>
    </row>
    <row r="20" spans="1:17" s="204" customFormat="1" ht="12.75" customHeight="1">
      <c r="A20" s="959"/>
      <c r="B20" s="975" t="s">
        <v>704</v>
      </c>
      <c r="C20" s="960"/>
      <c r="D20" s="203"/>
      <c r="E20" s="864">
        <v>40000</v>
      </c>
      <c r="F20" s="864">
        <v>0</v>
      </c>
      <c r="G20" s="864">
        <v>0</v>
      </c>
      <c r="H20" s="864">
        <v>37300</v>
      </c>
      <c r="I20" s="978">
        <f>E20+F20+G20-H20</f>
        <v>2700</v>
      </c>
      <c r="J20" s="864">
        <v>740.85299999999995</v>
      </c>
      <c r="K20" s="864">
        <v>607.20299999999997</v>
      </c>
      <c r="L20" s="978">
        <f>K20-J20</f>
        <v>-133.64999999999998</v>
      </c>
      <c r="M20" s="1117">
        <f>K20/BS!$G$30</f>
        <v>1.3776424182159576E-3</v>
      </c>
      <c r="N20" s="1117">
        <f>K20/'Note 1-5'!$G$123</f>
        <v>2.0406650304929199E-3</v>
      </c>
      <c r="O20" s="1147">
        <v>4.0000000000000003E-5</v>
      </c>
      <c r="P20" s="1064"/>
      <c r="Q20" s="962"/>
    </row>
    <row r="21" spans="1:17" s="204" customFormat="1" ht="12.75" customHeight="1">
      <c r="A21" s="959"/>
      <c r="B21" s="975" t="s">
        <v>703</v>
      </c>
      <c r="C21" s="960"/>
      <c r="D21" s="203"/>
      <c r="E21" s="864">
        <v>90266</v>
      </c>
      <c r="F21" s="864">
        <v>0</v>
      </c>
      <c r="G21" s="864">
        <v>53</v>
      </c>
      <c r="H21" s="864">
        <v>90000</v>
      </c>
      <c r="I21" s="978">
        <f>E21+F21+G21-H21</f>
        <v>319</v>
      </c>
      <c r="J21" s="864">
        <v>18.388999999999999</v>
      </c>
      <c r="K21" s="864">
        <v>15.778</v>
      </c>
      <c r="L21" s="978">
        <f>K21-J21</f>
        <v>-2.6109999999999989</v>
      </c>
      <c r="M21" s="1117">
        <f>K21/BS!$G$30</f>
        <v>3.5797652637769216E-5</v>
      </c>
      <c r="N21" s="1117">
        <f>K21/'Note 1-5'!$G$123</f>
        <v>5.3026109638979533E-5</v>
      </c>
      <c r="O21" s="1147">
        <v>4.0000000000000003E-5</v>
      </c>
      <c r="P21" s="1064"/>
      <c r="Q21" s="962"/>
    </row>
    <row r="22" spans="1:17" s="204" customFormat="1" ht="12.75" customHeight="1">
      <c r="A22" s="959"/>
      <c r="B22" s="975" t="s">
        <v>629</v>
      </c>
      <c r="C22" s="960"/>
      <c r="D22" s="203"/>
      <c r="E22" s="864">
        <v>28600</v>
      </c>
      <c r="F22" s="864">
        <v>0</v>
      </c>
      <c r="G22" s="864">
        <v>0</v>
      </c>
      <c r="H22" s="864">
        <v>0</v>
      </c>
      <c r="I22" s="978">
        <f>E22+F22+G22-H22</f>
        <v>28600</v>
      </c>
      <c r="J22" s="864">
        <v>12091.508</v>
      </c>
      <c r="K22" s="864">
        <v>11106.81</v>
      </c>
      <c r="L22" s="978">
        <f>K22-J22</f>
        <v>-984.69800000000032</v>
      </c>
      <c r="M22" s="1117">
        <f>K22/BS!$G$30</f>
        <v>2.5199500969305455E-2</v>
      </c>
      <c r="N22" s="1117">
        <f>K22/'Note 1-5'!$G$123</f>
        <v>3.7327349778128675E-2</v>
      </c>
      <c r="O22" s="1147">
        <v>4.0000000000000003E-5</v>
      </c>
      <c r="P22" s="1064"/>
      <c r="Q22" s="962"/>
    </row>
    <row r="23" spans="1:17" s="204" customFormat="1" ht="12.75" customHeight="1" thickBot="1">
      <c r="A23" s="959"/>
      <c r="B23" s="975"/>
      <c r="C23" s="960"/>
      <c r="D23" s="203"/>
      <c r="E23" s="974"/>
      <c r="F23" s="974"/>
      <c r="G23" s="974"/>
      <c r="H23" s="974"/>
      <c r="I23" s="978"/>
      <c r="J23" s="1062">
        <f t="shared" ref="J23:O23" si="1">SUM(J20:J22)</f>
        <v>12850.75</v>
      </c>
      <c r="K23" s="1062">
        <f t="shared" si="1"/>
        <v>11729.790999999999</v>
      </c>
      <c r="L23" s="1062">
        <f t="shared" si="1"/>
        <v>-1120.9590000000003</v>
      </c>
      <c r="M23" s="1118">
        <f t="shared" si="1"/>
        <v>2.6612941040159183E-2</v>
      </c>
      <c r="N23" s="1118">
        <f t="shared" si="1"/>
        <v>3.9421040918260576E-2</v>
      </c>
      <c r="O23" s="1118">
        <f t="shared" si="1"/>
        <v>1.2000000000000002E-4</v>
      </c>
      <c r="P23" s="1064"/>
      <c r="Q23" s="962"/>
    </row>
    <row r="24" spans="1:17" s="204" customFormat="1" ht="12.75" customHeight="1" thickTop="1">
      <c r="A24" s="959"/>
      <c r="B24" s="975"/>
      <c r="C24" s="960"/>
      <c r="D24" s="203"/>
      <c r="E24" s="974"/>
      <c r="F24" s="974"/>
      <c r="G24" s="974"/>
      <c r="H24" s="974"/>
      <c r="I24" s="978"/>
      <c r="J24" s="977"/>
      <c r="K24" s="977"/>
      <c r="L24" s="978"/>
      <c r="M24" s="1117"/>
      <c r="N24" s="1117"/>
      <c r="O24" s="1147"/>
      <c r="P24" s="1064"/>
      <c r="Q24" s="962"/>
    </row>
    <row r="25" spans="1:17" s="204" customFormat="1" ht="12.75" customHeight="1">
      <c r="A25" s="959"/>
      <c r="B25" s="975"/>
      <c r="C25" s="960"/>
      <c r="D25" s="203"/>
      <c r="E25" s="974"/>
      <c r="F25" s="974"/>
      <c r="G25" s="974"/>
      <c r="H25" s="974"/>
      <c r="I25" s="978"/>
      <c r="J25" s="977"/>
      <c r="K25" s="977"/>
      <c r="L25" s="978"/>
      <c r="M25" s="1117"/>
      <c r="N25" s="1117"/>
      <c r="O25" s="1147"/>
      <c r="P25" s="962"/>
      <c r="Q25" s="962"/>
    </row>
    <row r="26" spans="1:17" s="204" customFormat="1" ht="12.75" customHeight="1">
      <c r="A26" s="959"/>
      <c r="B26" s="975"/>
      <c r="C26" s="960"/>
      <c r="D26" s="203"/>
      <c r="E26" s="974"/>
      <c r="F26" s="974"/>
      <c r="G26" s="974"/>
      <c r="H26" s="974"/>
      <c r="I26" s="978"/>
      <c r="J26" s="977"/>
      <c r="K26" s="977"/>
      <c r="L26" s="978"/>
      <c r="M26" s="1117"/>
      <c r="N26" s="1117"/>
      <c r="O26" s="1147"/>
      <c r="P26" s="962"/>
      <c r="Q26" s="962"/>
    </row>
    <row r="27" spans="1:17" s="204" customFormat="1" ht="12.75" customHeight="1">
      <c r="A27" s="959"/>
      <c r="B27" s="1060" t="s">
        <v>466</v>
      </c>
      <c r="C27" s="960"/>
      <c r="D27" s="203"/>
      <c r="E27" s="974"/>
      <c r="F27" s="974"/>
      <c r="G27" s="974"/>
      <c r="H27" s="974"/>
      <c r="I27" s="978"/>
      <c r="J27" s="977"/>
      <c r="K27" s="977"/>
      <c r="L27" s="978"/>
      <c r="M27" s="1117"/>
      <c r="N27" s="1117"/>
      <c r="O27" s="1147"/>
      <c r="P27" s="962"/>
      <c r="Q27" s="962"/>
    </row>
    <row r="28" spans="1:17" s="204" customFormat="1" ht="12.75" customHeight="1">
      <c r="A28" s="959"/>
      <c r="B28" s="1133" t="s">
        <v>702</v>
      </c>
      <c r="C28" s="960"/>
      <c r="D28" s="203"/>
      <c r="E28" s="864">
        <v>0</v>
      </c>
      <c r="F28" s="864">
        <v>54000</v>
      </c>
      <c r="G28" s="864">
        <v>0</v>
      </c>
      <c r="H28" s="864">
        <v>0</v>
      </c>
      <c r="I28" s="978">
        <f t="shared" ref="I28:I34" si="2">E28+F28+G28-H28</f>
        <v>54000</v>
      </c>
      <c r="J28" s="864">
        <v>7289.357</v>
      </c>
      <c r="K28" s="864">
        <v>7733.88</v>
      </c>
      <c r="L28" s="978">
        <f t="shared" ref="L28:L34" si="3">K28-J28</f>
        <v>444.52300000000014</v>
      </c>
      <c r="M28" s="1117">
        <f>K28/BS!$G$30</f>
        <v>1.7546884889224908E-2</v>
      </c>
      <c r="N28" s="1117">
        <f>K28/'Note 1-5'!$G$123</f>
        <v>2.599173335116688E-2</v>
      </c>
      <c r="O28" s="1147">
        <v>2.0000000000000002E-5</v>
      </c>
      <c r="P28" s="962"/>
      <c r="Q28" s="962"/>
    </row>
    <row r="29" spans="1:17" s="204" customFormat="1" ht="12.75" customHeight="1">
      <c r="A29" s="959"/>
      <c r="B29" s="1133" t="s">
        <v>738</v>
      </c>
      <c r="C29" s="960"/>
      <c r="D29" s="203"/>
      <c r="E29" s="864">
        <v>38000</v>
      </c>
      <c r="F29" s="864">
        <v>0</v>
      </c>
      <c r="G29" s="864">
        <v>0</v>
      </c>
      <c r="H29" s="864">
        <v>38000</v>
      </c>
      <c r="I29" s="978">
        <f t="shared" si="2"/>
        <v>0</v>
      </c>
      <c r="J29" s="864">
        <v>0</v>
      </c>
      <c r="K29" s="864">
        <v>0</v>
      </c>
      <c r="L29" s="978">
        <f t="shared" si="3"/>
        <v>0</v>
      </c>
      <c r="M29" s="1117">
        <f>K29/BS!$G$30</f>
        <v>0</v>
      </c>
      <c r="N29" s="1117">
        <f>K29/'Note 1-5'!$G$123</f>
        <v>0</v>
      </c>
      <c r="O29" s="1147">
        <v>2.0000000000000002E-5</v>
      </c>
      <c r="P29" s="962"/>
      <c r="Q29" s="962"/>
    </row>
    <row r="30" spans="1:17" s="204" customFormat="1" ht="12.75" customHeight="1">
      <c r="A30" s="959"/>
      <c r="B30" s="1133" t="s">
        <v>701</v>
      </c>
      <c r="C30" s="960"/>
      <c r="D30" s="203"/>
      <c r="E30" s="864">
        <v>0</v>
      </c>
      <c r="F30" s="864">
        <v>20600</v>
      </c>
      <c r="G30" s="864">
        <v>0</v>
      </c>
      <c r="H30" s="864">
        <v>0</v>
      </c>
      <c r="I30" s="978">
        <f t="shared" si="2"/>
        <v>20600</v>
      </c>
      <c r="J30" s="864">
        <v>3460.8</v>
      </c>
      <c r="K30" s="864">
        <v>3541.9639999999999</v>
      </c>
      <c r="L30" s="978">
        <f t="shared" si="3"/>
        <v>81.16399999999976</v>
      </c>
      <c r="M30" s="1117">
        <f>K30/BS!$G$30</f>
        <v>8.0361260570087217E-3</v>
      </c>
      <c r="N30" s="1117">
        <f>K30/'Note 1-5'!$G$123</f>
        <v>1.1903699543751964E-2</v>
      </c>
      <c r="O30" s="1147">
        <v>2.0000000000000002E-5</v>
      </c>
      <c r="P30" s="962"/>
      <c r="Q30" s="962"/>
    </row>
    <row r="31" spans="1:17" s="204" customFormat="1" ht="12.75" customHeight="1">
      <c r="A31" s="959"/>
      <c r="B31" s="1133" t="s">
        <v>630</v>
      </c>
      <c r="C31" s="960"/>
      <c r="D31" s="203"/>
      <c r="E31" s="864">
        <v>38968</v>
      </c>
      <c r="F31" s="864">
        <v>0</v>
      </c>
      <c r="G31" s="864">
        <v>0</v>
      </c>
      <c r="H31" s="864">
        <v>5968</v>
      </c>
      <c r="I31" s="978">
        <f t="shared" si="2"/>
        <v>33000</v>
      </c>
      <c r="J31" s="864">
        <v>28493.52</v>
      </c>
      <c r="K31" s="864">
        <v>23855.7</v>
      </c>
      <c r="L31" s="978">
        <f t="shared" si="3"/>
        <v>-4637.82</v>
      </c>
      <c r="M31" s="1117">
        <f>K31/BS!$G$30</f>
        <v>5.4124607810294788E-2</v>
      </c>
      <c r="N31" s="1117">
        <f>K31/'Note 1-5'!$G$123</f>
        <v>8.0173340329230833E-2</v>
      </c>
      <c r="O31" s="1147">
        <v>2.0000000000000002E-5</v>
      </c>
      <c r="P31" s="962"/>
      <c r="Q31" s="962"/>
    </row>
    <row r="32" spans="1:17" s="204" customFormat="1" ht="12.75" customHeight="1">
      <c r="A32" s="959"/>
      <c r="B32" s="1133" t="s">
        <v>734</v>
      </c>
      <c r="C32" s="960"/>
      <c r="D32" s="203"/>
      <c r="E32" s="864">
        <v>400000</v>
      </c>
      <c r="F32" s="864">
        <v>48000</v>
      </c>
      <c r="G32" s="864">
        <v>0</v>
      </c>
      <c r="H32" s="864">
        <v>0</v>
      </c>
      <c r="I32" s="978">
        <f t="shared" si="2"/>
        <v>448000</v>
      </c>
      <c r="J32" s="864">
        <v>20456.666000000001</v>
      </c>
      <c r="K32" s="864">
        <v>15769.6</v>
      </c>
      <c r="L32" s="978">
        <f t="shared" si="3"/>
        <v>-4687.0660000000007</v>
      </c>
      <c r="M32" s="1117">
        <f>K32/BS!$G$30</f>
        <v>3.5778594437607142E-2</v>
      </c>
      <c r="N32" s="1117">
        <f>K32/'Note 1-5'!$G$123</f>
        <v>5.2997879234557718E-2</v>
      </c>
      <c r="O32" s="1147">
        <v>2.0000000000000002E-5</v>
      </c>
      <c r="P32" s="962">
        <f>J32/1000</f>
        <v>20.456666000000002</v>
      </c>
      <c r="Q32" s="962">
        <f>K32/1000</f>
        <v>15.769600000000001</v>
      </c>
    </row>
    <row r="33" spans="1:18" s="204" customFormat="1" ht="12.75" customHeight="1">
      <c r="A33" s="959"/>
      <c r="B33" s="1133" t="s">
        <v>631</v>
      </c>
      <c r="C33" s="960"/>
      <c r="D33" s="203"/>
      <c r="E33" s="864">
        <v>69000</v>
      </c>
      <c r="F33" s="864">
        <v>17500</v>
      </c>
      <c r="G33" s="864">
        <v>0</v>
      </c>
      <c r="H33" s="864">
        <v>86500</v>
      </c>
      <c r="I33" s="978">
        <f t="shared" si="2"/>
        <v>0</v>
      </c>
      <c r="J33" s="864">
        <v>0</v>
      </c>
      <c r="K33" s="864">
        <v>0</v>
      </c>
      <c r="L33" s="978">
        <f t="shared" si="3"/>
        <v>0</v>
      </c>
      <c r="M33" s="1117">
        <f>K33/BS!$G$30</f>
        <v>0</v>
      </c>
      <c r="N33" s="1117">
        <f>K33/'Note 1-5'!$G$123</f>
        <v>0</v>
      </c>
      <c r="O33" s="1121">
        <v>1.0000000000000001E-5</v>
      </c>
      <c r="P33" s="962">
        <f>J33/1000</f>
        <v>0</v>
      </c>
      <c r="Q33" s="962">
        <f>K33/1000</f>
        <v>0</v>
      </c>
    </row>
    <row r="34" spans="1:18" s="204" customFormat="1" ht="12.75" customHeight="1">
      <c r="A34" s="959"/>
      <c r="B34" s="1133" t="s">
        <v>700</v>
      </c>
      <c r="C34" s="960"/>
      <c r="D34" s="203"/>
      <c r="E34" s="864">
        <v>450000</v>
      </c>
      <c r="F34" s="864">
        <v>0</v>
      </c>
      <c r="G34" s="864">
        <v>0</v>
      </c>
      <c r="H34" s="864">
        <v>450000</v>
      </c>
      <c r="I34" s="978">
        <f t="shared" si="2"/>
        <v>0</v>
      </c>
      <c r="J34" s="864">
        <v>0</v>
      </c>
      <c r="K34" s="864">
        <v>0</v>
      </c>
      <c r="L34" s="978">
        <f t="shared" si="3"/>
        <v>0</v>
      </c>
      <c r="M34" s="1117">
        <f>K34/BS!$G$30</f>
        <v>0</v>
      </c>
      <c r="N34" s="1117">
        <f>K34/'Note 1-5'!$G$123</f>
        <v>0</v>
      </c>
      <c r="O34" s="1117">
        <v>2.0000000000000002E-5</v>
      </c>
      <c r="P34" s="962"/>
      <c r="Q34" s="962"/>
    </row>
    <row r="35" spans="1:18" s="204" customFormat="1" ht="12.75" customHeight="1" thickBot="1">
      <c r="A35" s="959"/>
      <c r="B35" s="975"/>
      <c r="C35" s="960"/>
      <c r="D35" s="203"/>
      <c r="E35" s="974"/>
      <c r="F35" s="974"/>
      <c r="G35" s="974"/>
      <c r="H35" s="974"/>
      <c r="I35" s="978"/>
      <c r="J35" s="982">
        <f t="shared" ref="J35:O35" si="4">SUM(J28:J34)</f>
        <v>59700.342999999993</v>
      </c>
      <c r="K35" s="982">
        <f t="shared" si="4"/>
        <v>50901.144</v>
      </c>
      <c r="L35" s="982">
        <f t="shared" si="4"/>
        <v>-8799.1990000000005</v>
      </c>
      <c r="M35" s="1119">
        <f t="shared" si="4"/>
        <v>0.11548621319413556</v>
      </c>
      <c r="N35" s="1119">
        <f t="shared" si="4"/>
        <v>0.17106665245870739</v>
      </c>
      <c r="O35" s="1119">
        <f t="shared" si="4"/>
        <v>1.3000000000000002E-4</v>
      </c>
      <c r="P35" s="962"/>
      <c r="Q35" s="962"/>
    </row>
    <row r="36" spans="1:18" s="204" customFormat="1" ht="12.75" customHeight="1" thickTop="1">
      <c r="A36" s="959"/>
      <c r="B36" s="975"/>
      <c r="C36" s="960"/>
      <c r="D36" s="203"/>
      <c r="E36" s="974"/>
      <c r="F36" s="974"/>
      <c r="G36" s="974"/>
      <c r="H36" s="974"/>
      <c r="I36" s="978"/>
      <c r="J36" s="979"/>
      <c r="K36" s="979"/>
      <c r="L36" s="978"/>
      <c r="M36" s="1117"/>
      <c r="N36" s="1117"/>
      <c r="O36" s="1117"/>
      <c r="P36" s="962"/>
      <c r="Q36" s="962"/>
    </row>
    <row r="37" spans="1:18" s="204" customFormat="1" ht="12.75" customHeight="1">
      <c r="A37" s="959"/>
      <c r="B37" s="975"/>
      <c r="C37" s="960"/>
      <c r="D37" s="203"/>
      <c r="E37" s="974"/>
      <c r="F37" s="974"/>
      <c r="G37" s="974"/>
      <c r="H37" s="974"/>
      <c r="I37" s="978"/>
      <c r="J37" s="979"/>
      <c r="K37" s="979"/>
      <c r="L37" s="978"/>
      <c r="M37" s="1117"/>
      <c r="N37" s="1117"/>
      <c r="O37" s="1117"/>
      <c r="P37" s="962"/>
      <c r="Q37" s="962"/>
    </row>
    <row r="38" spans="1:18" s="204" customFormat="1" ht="12.75" customHeight="1">
      <c r="A38" s="959"/>
      <c r="B38" s="1060" t="s">
        <v>223</v>
      </c>
      <c r="C38" s="960"/>
      <c r="D38" s="203"/>
      <c r="E38" s="974"/>
      <c r="F38" s="974"/>
      <c r="G38" s="974"/>
      <c r="H38" s="974"/>
      <c r="I38" s="978"/>
      <c r="J38" s="979"/>
      <c r="K38" s="979"/>
      <c r="L38" s="978"/>
      <c r="M38" s="1117"/>
      <c r="N38" s="1117"/>
      <c r="O38" s="1117"/>
      <c r="P38" s="962"/>
      <c r="Q38" s="962"/>
    </row>
    <row r="39" spans="1:18" s="204" customFormat="1" ht="12.75" customHeight="1">
      <c r="A39" s="959"/>
      <c r="B39" s="1133" t="s">
        <v>699</v>
      </c>
      <c r="C39" s="960"/>
      <c r="D39" s="203"/>
      <c r="E39" s="864">
        <v>8150</v>
      </c>
      <c r="F39" s="864">
        <v>2200</v>
      </c>
      <c r="G39" s="864">
        <v>0</v>
      </c>
      <c r="H39" s="864">
        <v>0</v>
      </c>
      <c r="I39" s="978">
        <f>E39+F39+G39-H39</f>
        <v>10350</v>
      </c>
      <c r="J39" s="864">
        <v>5963.875</v>
      </c>
      <c r="K39" s="864">
        <v>6464.817</v>
      </c>
      <c r="L39" s="978">
        <f>K39-J39</f>
        <v>500.94200000000001</v>
      </c>
      <c r="M39" s="1117">
        <f>K39/BS!$G$30</f>
        <v>1.4667592428238388E-2</v>
      </c>
      <c r="N39" s="1117">
        <f>K39/'Note 1-5'!$G$123</f>
        <v>2.1726714097980653E-2</v>
      </c>
      <c r="O39" s="1117">
        <v>4.0000000000000003E-5</v>
      </c>
      <c r="P39" s="962"/>
      <c r="Q39" s="962"/>
    </row>
    <row r="40" spans="1:18" s="204" customFormat="1" ht="12.75" customHeight="1" thickBot="1">
      <c r="A40" s="959"/>
      <c r="B40" s="986"/>
      <c r="C40" s="973"/>
      <c r="D40" s="203"/>
      <c r="E40" s="974"/>
      <c r="F40" s="974"/>
      <c r="G40" s="974"/>
      <c r="H40" s="974"/>
      <c r="I40" s="978"/>
      <c r="J40" s="1062">
        <f t="shared" ref="J40:O40" si="5">SUM(J36:J39)</f>
        <v>5963.875</v>
      </c>
      <c r="K40" s="1062">
        <f t="shared" si="5"/>
        <v>6464.817</v>
      </c>
      <c r="L40" s="1063">
        <f t="shared" si="5"/>
        <v>500.94200000000001</v>
      </c>
      <c r="M40" s="1118">
        <f t="shared" si="5"/>
        <v>1.4667592428238388E-2</v>
      </c>
      <c r="N40" s="1118">
        <f t="shared" si="5"/>
        <v>2.1726714097980653E-2</v>
      </c>
      <c r="O40" s="1148">
        <f t="shared" si="5"/>
        <v>4.0000000000000003E-5</v>
      </c>
      <c r="P40" s="962"/>
      <c r="Q40" s="962"/>
    </row>
    <row r="41" spans="1:18" s="204" customFormat="1" ht="12.75" customHeight="1" thickTop="1">
      <c r="A41" s="959"/>
      <c r="B41" s="986"/>
      <c r="C41" s="973"/>
      <c r="D41" s="203"/>
      <c r="E41" s="974"/>
      <c r="F41" s="974"/>
      <c r="G41" s="974"/>
      <c r="H41" s="974"/>
      <c r="I41" s="978"/>
      <c r="J41" s="977"/>
      <c r="K41" s="977"/>
      <c r="L41" s="978"/>
      <c r="M41" s="1117"/>
      <c r="N41" s="1117"/>
      <c r="O41" s="1147"/>
      <c r="P41" s="962"/>
      <c r="Q41" s="962"/>
    </row>
    <row r="42" spans="1:18" s="204" customFormat="1" ht="12.75" customHeight="1">
      <c r="A42" s="959"/>
      <c r="B42" s="1060" t="s">
        <v>461</v>
      </c>
      <c r="C42" s="973"/>
      <c r="D42" s="203"/>
      <c r="E42" s="974"/>
      <c r="F42" s="974"/>
      <c r="G42" s="974"/>
      <c r="H42" s="974"/>
      <c r="I42" s="978"/>
      <c r="J42" s="977"/>
      <c r="K42" s="977"/>
      <c r="L42" s="978"/>
      <c r="M42" s="1117"/>
      <c r="N42" s="1117"/>
      <c r="O42" s="1147"/>
      <c r="P42" s="962">
        <f>J42/1000</f>
        <v>0</v>
      </c>
      <c r="Q42" s="962">
        <f>K42/1000</f>
        <v>0</v>
      </c>
      <c r="R42" s="204">
        <v>9484215</v>
      </c>
    </row>
    <row r="43" spans="1:18" s="204" customFormat="1" ht="12.75" customHeight="1">
      <c r="A43" s="959"/>
      <c r="B43" s="1133" t="s">
        <v>467</v>
      </c>
      <c r="C43" s="973"/>
      <c r="D43" s="203"/>
      <c r="E43" s="864">
        <v>140131</v>
      </c>
      <c r="F43" s="864">
        <v>0</v>
      </c>
      <c r="G43" s="864">
        <v>0</v>
      </c>
      <c r="H43" s="864">
        <v>0</v>
      </c>
      <c r="I43" s="978">
        <f t="shared" ref="I43:I50" si="6">E43+F43+G43-H43</f>
        <v>140131</v>
      </c>
      <c r="J43" s="864">
        <v>9825.9860000000008</v>
      </c>
      <c r="K43" s="864">
        <v>9690.0589999999993</v>
      </c>
      <c r="L43" s="978">
        <f t="shared" ref="L43:L50" si="7">K43-J43</f>
        <v>-135.9270000000015</v>
      </c>
      <c r="M43" s="1117">
        <f>K43/BS!$G$30</f>
        <v>2.198512904813597E-2</v>
      </c>
      <c r="N43" s="1117">
        <f>K43/'Note 1-5'!$G$123</f>
        <v>3.2565986243008008E-2</v>
      </c>
      <c r="O43" s="1147">
        <v>0</v>
      </c>
      <c r="P43" s="962">
        <f>J43/1000</f>
        <v>9.8259860000000003</v>
      </c>
      <c r="Q43" s="962">
        <f>K43/1000</f>
        <v>9.6900589999999998</v>
      </c>
      <c r="R43" s="204">
        <v>21454824</v>
      </c>
    </row>
    <row r="44" spans="1:18" s="204" customFormat="1" ht="12.75" customHeight="1">
      <c r="A44" s="959"/>
      <c r="B44" s="1133" t="s">
        <v>698</v>
      </c>
      <c r="C44" s="973"/>
      <c r="D44" s="203"/>
      <c r="E44" s="864">
        <v>300000</v>
      </c>
      <c r="F44" s="864">
        <v>0</v>
      </c>
      <c r="G44" s="864">
        <v>0</v>
      </c>
      <c r="H44" s="864">
        <v>0</v>
      </c>
      <c r="I44" s="978">
        <f t="shared" si="6"/>
        <v>300000</v>
      </c>
      <c r="J44" s="864">
        <v>9654</v>
      </c>
      <c r="K44" s="864">
        <v>9705</v>
      </c>
      <c r="L44" s="978">
        <f t="shared" si="7"/>
        <v>51</v>
      </c>
      <c r="M44" s="1117">
        <f>K44/BS!$G$30</f>
        <v>2.2019027687257591E-2</v>
      </c>
      <c r="N44" s="1117">
        <f>K44/'Note 1-5'!$G$123</f>
        <v>3.2616199394492104E-2</v>
      </c>
      <c r="O44" s="1117">
        <v>0</v>
      </c>
      <c r="P44" s="962"/>
      <c r="Q44" s="962"/>
    </row>
    <row r="45" spans="1:18" s="204" customFormat="1" ht="12.75" customHeight="1">
      <c r="A45" s="959"/>
      <c r="B45" s="1133" t="s">
        <v>468</v>
      </c>
      <c r="C45" s="973"/>
      <c r="D45" s="203"/>
      <c r="E45" s="864">
        <v>0</v>
      </c>
      <c r="F45" s="864">
        <v>351500</v>
      </c>
      <c r="G45" s="864">
        <v>0</v>
      </c>
      <c r="H45" s="864">
        <v>0</v>
      </c>
      <c r="I45" s="978">
        <f t="shared" si="6"/>
        <v>351500</v>
      </c>
      <c r="J45" s="864">
        <v>7091.5829999999996</v>
      </c>
      <c r="K45" s="864">
        <v>9251.48</v>
      </c>
      <c r="L45" s="978">
        <f t="shared" si="7"/>
        <v>2159.8969999999999</v>
      </c>
      <c r="M45" s="1117">
        <f>K45/BS!$G$30</f>
        <v>2.0990066385173603E-2</v>
      </c>
      <c r="N45" s="1117">
        <f>K45/'Note 1-5'!$G$123</f>
        <v>3.1092026416708475E-2</v>
      </c>
      <c r="O45" s="1147">
        <v>1.0000000000000001E-5</v>
      </c>
      <c r="P45" s="962"/>
      <c r="Q45" s="962"/>
    </row>
    <row r="46" spans="1:18" s="204" customFormat="1" ht="12.75" customHeight="1">
      <c r="A46" s="959"/>
      <c r="B46" s="1133" t="s">
        <v>462</v>
      </c>
      <c r="C46" s="973"/>
      <c r="D46" s="203"/>
      <c r="E46" s="864">
        <v>139000</v>
      </c>
      <c r="F46" s="864">
        <v>0</v>
      </c>
      <c r="G46" s="864">
        <v>0</v>
      </c>
      <c r="H46" s="864">
        <v>0</v>
      </c>
      <c r="I46" s="978">
        <f t="shared" si="6"/>
        <v>139000</v>
      </c>
      <c r="J46" s="864">
        <v>17009.43</v>
      </c>
      <c r="K46" s="864">
        <v>15199.65</v>
      </c>
      <c r="L46" s="978">
        <f t="shared" si="7"/>
        <v>-1809.7800000000007</v>
      </c>
      <c r="M46" s="1117">
        <f>K46/BS!$G$30</f>
        <v>3.4485472868276641E-2</v>
      </c>
      <c r="N46" s="1117">
        <f>K46/'Note 1-5'!$G$123</f>
        <v>5.1082412686913124E-2</v>
      </c>
      <c r="O46" s="1147">
        <v>0</v>
      </c>
      <c r="P46" s="962"/>
      <c r="Q46" s="962"/>
    </row>
    <row r="47" spans="1:18" s="204" customFormat="1" ht="12.75" customHeight="1">
      <c r="A47" s="959"/>
      <c r="B47" s="1133" t="s">
        <v>531</v>
      </c>
      <c r="C47" s="973"/>
      <c r="D47" s="203"/>
      <c r="E47" s="864">
        <v>0</v>
      </c>
      <c r="F47" s="864">
        <v>225000</v>
      </c>
      <c r="G47" s="864">
        <v>0</v>
      </c>
      <c r="H47" s="864">
        <v>0</v>
      </c>
      <c r="I47" s="978">
        <f t="shared" si="6"/>
        <v>225000</v>
      </c>
      <c r="J47" s="864">
        <v>9224.7749999999996</v>
      </c>
      <c r="K47" s="864">
        <v>9787.5</v>
      </c>
      <c r="L47" s="978">
        <f t="shared" si="7"/>
        <v>562.72500000000036</v>
      </c>
      <c r="M47" s="1117">
        <f>K47/BS!$G$30</f>
        <v>2.2206206438849425E-2</v>
      </c>
      <c r="N47" s="1117">
        <f>K47/'Note 1-5'!$G$123</f>
        <v>3.2893462295063521E-2</v>
      </c>
      <c r="O47" s="1147">
        <v>0</v>
      </c>
      <c r="P47" s="962"/>
      <c r="Q47" s="962"/>
    </row>
    <row r="48" spans="1:18" s="204" customFormat="1" ht="12.75" customHeight="1">
      <c r="A48" s="959"/>
      <c r="B48" s="1133" t="s">
        <v>697</v>
      </c>
      <c r="C48" s="973"/>
      <c r="D48" s="203"/>
      <c r="E48" s="864">
        <v>85000</v>
      </c>
      <c r="F48" s="864">
        <v>0</v>
      </c>
      <c r="G48" s="864">
        <v>8250</v>
      </c>
      <c r="H48" s="864">
        <v>30000</v>
      </c>
      <c r="I48" s="978">
        <f t="shared" si="6"/>
        <v>63250</v>
      </c>
      <c r="J48" s="864">
        <v>6347.549</v>
      </c>
      <c r="K48" s="864">
        <v>8850.5730000000003</v>
      </c>
      <c r="L48" s="978">
        <f t="shared" si="7"/>
        <v>2503.0240000000003</v>
      </c>
      <c r="M48" s="1117">
        <f>K48/BS!$G$30</f>
        <v>2.0080475212271454E-2</v>
      </c>
      <c r="N48" s="1117">
        <f>K48/'Note 1-5'!$G$123</f>
        <v>2.9744673232715936E-2</v>
      </c>
      <c r="O48" s="1147">
        <v>2.0000000000000002E-5</v>
      </c>
      <c r="P48" s="962"/>
      <c r="Q48" s="962"/>
    </row>
    <row r="49" spans="1:18" s="204" customFormat="1" ht="12.75" customHeight="1">
      <c r="A49" s="959"/>
      <c r="B49" s="1133" t="s">
        <v>696</v>
      </c>
      <c r="C49" s="973"/>
      <c r="D49" s="973"/>
      <c r="E49" s="864">
        <v>92500</v>
      </c>
      <c r="F49" s="864">
        <v>0</v>
      </c>
      <c r="G49" s="864">
        <v>0</v>
      </c>
      <c r="H49" s="864">
        <v>92500</v>
      </c>
      <c r="I49" s="978">
        <f t="shared" si="6"/>
        <v>0</v>
      </c>
      <c r="J49" s="864">
        <v>0</v>
      </c>
      <c r="K49" s="864">
        <v>0</v>
      </c>
      <c r="L49" s="978">
        <f t="shared" si="7"/>
        <v>0</v>
      </c>
      <c r="M49" s="1117">
        <f>K49/BS!$G$30</f>
        <v>0</v>
      </c>
      <c r="N49" s="1117">
        <f>K49/'Note 1-5'!$G$123</f>
        <v>0</v>
      </c>
      <c r="O49" s="1121">
        <v>2.9999999999999997E-5</v>
      </c>
      <c r="P49" s="962">
        <f>J49/1000</f>
        <v>0</v>
      </c>
      <c r="Q49" s="962">
        <f>K49/1000</f>
        <v>0</v>
      </c>
    </row>
    <row r="50" spans="1:18" s="204" customFormat="1" ht="12.75" customHeight="1">
      <c r="A50" s="959"/>
      <c r="B50" s="1133" t="s">
        <v>735</v>
      </c>
      <c r="C50" s="973"/>
      <c r="D50" s="973"/>
      <c r="E50" s="864">
        <v>165702</v>
      </c>
      <c r="F50" s="864">
        <v>97946</v>
      </c>
      <c r="G50" s="864">
        <v>0</v>
      </c>
      <c r="H50" s="864">
        <v>0</v>
      </c>
      <c r="I50" s="978">
        <f t="shared" si="6"/>
        <v>263648</v>
      </c>
      <c r="J50" s="864">
        <v>32333.843000000001</v>
      </c>
      <c r="K50" s="864">
        <v>31258.107</v>
      </c>
      <c r="L50" s="978">
        <f t="shared" si="7"/>
        <v>-1075.7360000000008</v>
      </c>
      <c r="M50" s="1117">
        <f>K50/BS!$G$30</f>
        <v>7.0919435701623929E-2</v>
      </c>
      <c r="N50" s="1117">
        <f>K50/'Note 1-5'!$G$123</f>
        <v>0.10505107167505093</v>
      </c>
      <c r="O50" s="1147">
        <v>0</v>
      </c>
      <c r="P50" s="962">
        <f>J50/1000</f>
        <v>32.333843000000002</v>
      </c>
      <c r="Q50" s="962">
        <f>K50/1000</f>
        <v>31.258106999999999</v>
      </c>
    </row>
    <row r="51" spans="1:18" s="204" customFormat="1" ht="12.75" customHeight="1" thickBot="1">
      <c r="A51" s="959"/>
      <c r="B51" s="975"/>
      <c r="C51" s="973"/>
      <c r="D51" s="973"/>
      <c r="E51" s="974"/>
      <c r="F51" s="974"/>
      <c r="G51" s="974"/>
      <c r="H51" s="974"/>
      <c r="I51" s="978"/>
      <c r="J51" s="1062">
        <f t="shared" ref="J51:O51" si="8">SUM(J43:J50)</f>
        <v>91487.165999999997</v>
      </c>
      <c r="K51" s="1062">
        <f t="shared" si="8"/>
        <v>93742.369000000006</v>
      </c>
      <c r="L51" s="1062">
        <f t="shared" si="8"/>
        <v>2255.2029999999977</v>
      </c>
      <c r="M51" s="1118">
        <f t="shared" si="8"/>
        <v>0.21268581334158859</v>
      </c>
      <c r="N51" s="1118">
        <f t="shared" si="8"/>
        <v>0.31504583194395208</v>
      </c>
      <c r="O51" s="1118">
        <f t="shared" si="8"/>
        <v>6.0000000000000002E-5</v>
      </c>
      <c r="P51" s="962"/>
      <c r="Q51" s="962"/>
    </row>
    <row r="52" spans="1:18" s="204" customFormat="1" ht="12.75" customHeight="1" thickTop="1">
      <c r="A52" s="959"/>
      <c r="B52" s="975"/>
      <c r="C52" s="973"/>
      <c r="D52" s="973"/>
      <c r="E52" s="974"/>
      <c r="F52" s="974"/>
      <c r="G52" s="974"/>
      <c r="H52" s="974"/>
      <c r="I52" s="978"/>
      <c r="J52" s="977"/>
      <c r="K52" s="977"/>
      <c r="L52" s="978"/>
      <c r="M52" s="1117"/>
      <c r="N52" s="1117"/>
      <c r="O52" s="1147"/>
      <c r="P52" s="962"/>
      <c r="Q52" s="962"/>
    </row>
    <row r="53" spans="1:18" s="204" customFormat="1" ht="12.75" customHeight="1">
      <c r="A53" s="959"/>
      <c r="B53" s="975"/>
      <c r="C53" s="973"/>
      <c r="D53" s="973"/>
      <c r="E53" s="974"/>
      <c r="F53" s="974"/>
      <c r="G53" s="974"/>
      <c r="H53" s="974"/>
      <c r="I53" s="978"/>
      <c r="J53" s="977"/>
      <c r="K53" s="977"/>
      <c r="L53" s="978"/>
      <c r="M53" s="1117"/>
      <c r="N53" s="1117"/>
      <c r="O53" s="1147"/>
      <c r="P53" s="962"/>
      <c r="Q53" s="962"/>
    </row>
    <row r="54" spans="1:18" s="204" customFormat="1" ht="12.75" customHeight="1">
      <c r="A54" s="959"/>
      <c r="B54" s="1060" t="s">
        <v>469</v>
      </c>
      <c r="C54" s="973"/>
      <c r="D54" s="973"/>
      <c r="E54" s="974"/>
      <c r="F54" s="974"/>
      <c r="G54" s="974"/>
      <c r="H54" s="974"/>
      <c r="I54" s="978"/>
      <c r="J54" s="977"/>
      <c r="K54" s="977"/>
      <c r="L54" s="978"/>
      <c r="M54" s="1117"/>
      <c r="N54" s="1117"/>
      <c r="O54" s="1147"/>
      <c r="P54" s="962"/>
      <c r="Q54" s="962"/>
    </row>
    <row r="55" spans="1:18" s="204" customFormat="1" ht="12.75" customHeight="1">
      <c r="A55" s="959"/>
      <c r="B55" s="1133" t="s">
        <v>695</v>
      </c>
      <c r="C55" s="973"/>
      <c r="D55" s="973"/>
      <c r="E55" s="864">
        <v>0</v>
      </c>
      <c r="F55" s="864">
        <v>115000</v>
      </c>
      <c r="G55" s="864">
        <v>0</v>
      </c>
      <c r="H55" s="864">
        <v>0</v>
      </c>
      <c r="I55" s="978">
        <f>E55+F55+G55-H55</f>
        <v>115000</v>
      </c>
      <c r="J55" s="864">
        <v>4379.43</v>
      </c>
      <c r="K55" s="864">
        <v>4502.25</v>
      </c>
      <c r="L55" s="978">
        <f>K55-J55</f>
        <v>122.81999999999971</v>
      </c>
      <c r="M55" s="1117">
        <f>K55/BS!$G$30</f>
        <v>1.0214854961870735E-2</v>
      </c>
      <c r="N55" s="1117">
        <f>K55/'Note 1-5'!$G$123</f>
        <v>1.5130992655729219E-2</v>
      </c>
      <c r="O55" s="1147">
        <v>0</v>
      </c>
      <c r="P55" s="962"/>
      <c r="Q55" s="962"/>
    </row>
    <row r="56" spans="1:18" s="204" customFormat="1" ht="12.75" customHeight="1" thickBot="1">
      <c r="A56" s="959"/>
      <c r="B56" s="975"/>
      <c r="C56" s="973"/>
      <c r="D56" s="973"/>
      <c r="E56" s="974"/>
      <c r="F56" s="974"/>
      <c r="G56" s="974"/>
      <c r="H56" s="974"/>
      <c r="I56" s="978"/>
      <c r="J56" s="1062">
        <f t="shared" ref="J56:O56" si="9">SUM(J55)</f>
        <v>4379.43</v>
      </c>
      <c r="K56" s="1062">
        <f t="shared" si="9"/>
        <v>4502.25</v>
      </c>
      <c r="L56" s="1062">
        <f t="shared" si="9"/>
        <v>122.81999999999971</v>
      </c>
      <c r="M56" s="1118">
        <f t="shared" si="9"/>
        <v>1.0214854961870735E-2</v>
      </c>
      <c r="N56" s="1118">
        <f t="shared" si="9"/>
        <v>1.5130992655729219E-2</v>
      </c>
      <c r="O56" s="1118">
        <f t="shared" si="9"/>
        <v>0</v>
      </c>
      <c r="P56" s="962"/>
      <c r="Q56" s="962"/>
    </row>
    <row r="57" spans="1:18" s="204" customFormat="1" ht="12.75" customHeight="1" thickTop="1">
      <c r="A57" s="959"/>
      <c r="B57" s="975"/>
      <c r="C57" s="973"/>
      <c r="D57" s="973"/>
      <c r="E57" s="974"/>
      <c r="F57" s="974"/>
      <c r="G57" s="974"/>
      <c r="H57" s="974"/>
      <c r="I57" s="978"/>
      <c r="J57" s="977"/>
      <c r="K57" s="977"/>
      <c r="L57" s="978"/>
      <c r="M57" s="1117"/>
      <c r="N57" s="1117"/>
      <c r="O57" s="1147"/>
      <c r="P57" s="962"/>
      <c r="Q57" s="962"/>
    </row>
    <row r="58" spans="1:18" s="204" customFormat="1" ht="12.75" customHeight="1">
      <c r="A58" s="959"/>
      <c r="B58" s="1060" t="s">
        <v>470</v>
      </c>
      <c r="C58" s="973"/>
      <c r="D58" s="973"/>
      <c r="E58" s="974"/>
      <c r="F58" s="974"/>
      <c r="G58" s="974"/>
      <c r="H58" s="974"/>
      <c r="I58" s="978"/>
      <c r="J58" s="977"/>
      <c r="K58" s="977"/>
      <c r="L58" s="978"/>
      <c r="M58" s="1117"/>
      <c r="N58" s="1117"/>
      <c r="O58" s="1147"/>
      <c r="P58" s="962"/>
      <c r="Q58" s="962"/>
    </row>
    <row r="59" spans="1:18" s="204" customFormat="1" ht="12.75" customHeight="1">
      <c r="A59" s="959"/>
      <c r="B59" s="1133" t="s">
        <v>694</v>
      </c>
      <c r="C59" s="973"/>
      <c r="D59" s="973"/>
      <c r="E59" s="864">
        <v>0</v>
      </c>
      <c r="F59" s="864">
        <v>64000</v>
      </c>
      <c r="G59" s="864">
        <v>0</v>
      </c>
      <c r="H59" s="864">
        <v>0</v>
      </c>
      <c r="I59" s="978">
        <f>E59+F59+G59-H59</f>
        <v>64000</v>
      </c>
      <c r="J59" s="864">
        <v>19008</v>
      </c>
      <c r="K59" s="864">
        <v>17904</v>
      </c>
      <c r="L59" s="978">
        <f>K59-J59</f>
        <v>-1104</v>
      </c>
      <c r="M59" s="1117">
        <f>K59/BS!$G$30</f>
        <v>4.0621192345456969E-2</v>
      </c>
      <c r="N59" s="1117">
        <f>K59/'Note 1-5'!$G$123</f>
        <v>6.0171090567644157E-2</v>
      </c>
      <c r="O59" s="1147">
        <v>0</v>
      </c>
      <c r="P59" s="962"/>
      <c r="Q59" s="962"/>
    </row>
    <row r="60" spans="1:18" s="204" customFormat="1" ht="12.75" customHeight="1" thickBot="1">
      <c r="A60" s="959"/>
      <c r="B60" s="1060"/>
      <c r="C60" s="973"/>
      <c r="D60" s="991"/>
      <c r="E60" s="974"/>
      <c r="F60" s="974"/>
      <c r="G60" s="974"/>
      <c r="H60" s="974"/>
      <c r="I60" s="978"/>
      <c r="J60" s="1062">
        <f t="shared" ref="J60:O60" si="10">SUM(J59)</f>
        <v>19008</v>
      </c>
      <c r="K60" s="1062">
        <f t="shared" si="10"/>
        <v>17904</v>
      </c>
      <c r="L60" s="1062">
        <f t="shared" si="10"/>
        <v>-1104</v>
      </c>
      <c r="M60" s="1118">
        <f t="shared" si="10"/>
        <v>4.0621192345456969E-2</v>
      </c>
      <c r="N60" s="1118">
        <f t="shared" si="10"/>
        <v>6.0171090567644157E-2</v>
      </c>
      <c r="O60" s="1118">
        <f t="shared" si="10"/>
        <v>0</v>
      </c>
      <c r="P60" s="962"/>
      <c r="Q60" s="962"/>
    </row>
    <row r="61" spans="1:18" s="204" customFormat="1" ht="12.75" customHeight="1" thickTop="1">
      <c r="A61" s="959"/>
      <c r="B61" s="1060"/>
      <c r="C61" s="973"/>
      <c r="D61" s="991"/>
      <c r="E61" s="974"/>
      <c r="F61" s="974"/>
      <c r="G61" s="974"/>
      <c r="H61" s="974"/>
      <c r="I61" s="978"/>
      <c r="J61" s="977"/>
      <c r="K61" s="977"/>
      <c r="L61" s="978"/>
      <c r="M61" s="1117"/>
      <c r="N61" s="1117"/>
      <c r="O61" s="1147"/>
      <c r="P61" s="962"/>
      <c r="Q61" s="962"/>
    </row>
    <row r="62" spans="1:18" s="204" customFormat="1" ht="12.75" customHeight="1">
      <c r="A62" s="959"/>
      <c r="B62" s="1060"/>
      <c r="C62" s="973"/>
      <c r="D62" s="991"/>
      <c r="E62" s="974"/>
      <c r="F62" s="974"/>
      <c r="G62" s="974"/>
      <c r="H62" s="974"/>
      <c r="I62" s="978"/>
      <c r="J62" s="977"/>
      <c r="K62" s="977"/>
      <c r="L62" s="978"/>
      <c r="M62" s="1117"/>
      <c r="N62" s="1117"/>
      <c r="O62" s="1147"/>
      <c r="P62" s="962"/>
      <c r="Q62" s="962"/>
    </row>
    <row r="63" spans="1:18" s="204" customFormat="1" ht="12.75" customHeight="1">
      <c r="A63" s="959"/>
      <c r="B63" s="1060" t="s">
        <v>463</v>
      </c>
      <c r="C63" s="973"/>
      <c r="D63" s="203"/>
      <c r="E63" s="974"/>
      <c r="F63" s="974"/>
      <c r="G63" s="974"/>
      <c r="H63" s="974"/>
      <c r="I63" s="978"/>
      <c r="J63" s="977"/>
      <c r="K63" s="977"/>
      <c r="L63" s="978"/>
      <c r="M63" s="1117"/>
      <c r="N63" s="1117"/>
      <c r="O63" s="1147"/>
      <c r="P63" s="962">
        <f t="shared" ref="P63:Q66" si="11">J63/1000</f>
        <v>0</v>
      </c>
      <c r="Q63" s="962">
        <f t="shared" si="11"/>
        <v>0</v>
      </c>
    </row>
    <row r="64" spans="1:18" s="204" customFormat="1" ht="14.4">
      <c r="A64" s="959"/>
      <c r="B64" s="1133" t="s">
        <v>632</v>
      </c>
      <c r="C64" s="973"/>
      <c r="D64" s="203"/>
      <c r="E64" s="864">
        <v>6700</v>
      </c>
      <c r="F64" s="864">
        <v>0</v>
      </c>
      <c r="G64" s="864">
        <v>0</v>
      </c>
      <c r="H64" s="864">
        <v>0</v>
      </c>
      <c r="I64" s="978">
        <f>E64+F64+G64-H64</f>
        <v>6700</v>
      </c>
      <c r="J64" s="864">
        <v>3898.06</v>
      </c>
      <c r="K64" s="864">
        <v>3390.0659999999998</v>
      </c>
      <c r="L64" s="978">
        <f>K64-J64</f>
        <v>-507.99400000000014</v>
      </c>
      <c r="M64" s="1117">
        <f>K64/BS!$G$30</f>
        <v>7.6914948084111879E-3</v>
      </c>
      <c r="N64" s="1117">
        <f>K64/'Note 1-5'!$G$123</f>
        <v>1.1393206451982303E-2</v>
      </c>
      <c r="O64" s="1147">
        <v>0</v>
      </c>
      <c r="P64" s="962">
        <f t="shared" si="11"/>
        <v>3.8980600000000001</v>
      </c>
      <c r="Q64" s="962">
        <f t="shared" si="11"/>
        <v>3.390066</v>
      </c>
      <c r="R64" s="204">
        <v>12083192</v>
      </c>
    </row>
    <row r="65" spans="1:18" s="204" customFormat="1" ht="14.4">
      <c r="A65" s="959"/>
      <c r="B65" s="1133" t="s">
        <v>532</v>
      </c>
      <c r="C65" s="973"/>
      <c r="D65" s="203"/>
      <c r="E65" s="864">
        <v>9960</v>
      </c>
      <c r="F65" s="864">
        <v>0</v>
      </c>
      <c r="G65" s="864">
        <v>0</v>
      </c>
      <c r="H65" s="864">
        <v>0</v>
      </c>
      <c r="I65" s="978">
        <f>E65+F65+G65-H65</f>
        <v>9960</v>
      </c>
      <c r="J65" s="864">
        <v>3300.346</v>
      </c>
      <c r="K65" s="864">
        <v>3180.2280000000001</v>
      </c>
      <c r="L65" s="978">
        <f>K65-J65</f>
        <v>-120.11799999999994</v>
      </c>
      <c r="M65" s="1117">
        <f>K65/BS!$G$30</f>
        <v>7.2154073553623733E-3</v>
      </c>
      <c r="N65" s="1117">
        <f>K65/'Note 1-5'!$G$123</f>
        <v>1.0687990784950729E-2</v>
      </c>
      <c r="O65" s="1147">
        <v>1.7000000000000001E-4</v>
      </c>
      <c r="P65" s="962">
        <f t="shared" si="11"/>
        <v>3.3003460000000002</v>
      </c>
      <c r="Q65" s="962">
        <f t="shared" si="11"/>
        <v>3.1802280000000001</v>
      </c>
    </row>
    <row r="66" spans="1:18" s="204" customFormat="1" ht="14.4">
      <c r="A66" s="959"/>
      <c r="B66" s="1133" t="s">
        <v>693</v>
      </c>
      <c r="C66" s="973"/>
      <c r="D66" s="203"/>
      <c r="E66" s="864">
        <v>150000</v>
      </c>
      <c r="F66" s="864">
        <v>0</v>
      </c>
      <c r="G66" s="864">
        <v>0</v>
      </c>
      <c r="H66" s="864">
        <v>0</v>
      </c>
      <c r="I66" s="978">
        <f>E66+F66+G66-H66</f>
        <v>150000</v>
      </c>
      <c r="J66" s="864">
        <v>5511</v>
      </c>
      <c r="K66" s="864">
        <v>5389.5</v>
      </c>
      <c r="L66" s="978">
        <f>K66-J66</f>
        <v>-121.5</v>
      </c>
      <c r="M66" s="1117">
        <f>K66/BS!$G$30</f>
        <v>1.2227877353990188E-2</v>
      </c>
      <c r="N66" s="1117">
        <f>K66/'Note 1-5'!$G$123</f>
        <v>1.8112829122783634E-2</v>
      </c>
      <c r="O66" s="1147">
        <v>2.0000000000000002E-5</v>
      </c>
      <c r="P66" s="962">
        <f t="shared" si="11"/>
        <v>5.5110000000000001</v>
      </c>
      <c r="Q66" s="962">
        <f t="shared" si="11"/>
        <v>5.3895</v>
      </c>
    </row>
    <row r="67" spans="1:18" s="204" customFormat="1" ht="15" thickBot="1">
      <c r="A67" s="959"/>
      <c r="B67" s="975"/>
      <c r="C67" s="973"/>
      <c r="D67" s="203"/>
      <c r="E67" s="974"/>
      <c r="F67" s="974"/>
      <c r="G67" s="974"/>
      <c r="H67" s="974"/>
      <c r="I67" s="978"/>
      <c r="J67" s="1062">
        <f t="shared" ref="J67:O67" si="12">SUM(J62:J66)</f>
        <v>12709.405999999999</v>
      </c>
      <c r="K67" s="1062">
        <f t="shared" si="12"/>
        <v>11959.794</v>
      </c>
      <c r="L67" s="1063">
        <f t="shared" si="12"/>
        <v>-749.61200000000008</v>
      </c>
      <c r="M67" s="1118">
        <f t="shared" si="12"/>
        <v>2.7134779517763746E-2</v>
      </c>
      <c r="N67" s="1118">
        <f t="shared" si="12"/>
        <v>4.0194026359716667E-2</v>
      </c>
      <c r="O67" s="1148">
        <f t="shared" si="12"/>
        <v>1.9000000000000001E-4</v>
      </c>
      <c r="P67" s="962"/>
      <c r="Q67" s="962"/>
    </row>
    <row r="68" spans="1:18" s="204" customFormat="1" ht="15" thickTop="1">
      <c r="A68" s="959"/>
      <c r="B68" s="975"/>
      <c r="C68" s="973"/>
      <c r="D68" s="203"/>
      <c r="E68" s="974"/>
      <c r="F68" s="974"/>
      <c r="G68" s="974"/>
      <c r="H68" s="974"/>
      <c r="I68" s="978"/>
      <c r="J68" s="977"/>
      <c r="K68" s="977"/>
      <c r="L68" s="978"/>
      <c r="M68" s="1117"/>
      <c r="N68" s="1117"/>
      <c r="O68" s="1147"/>
      <c r="P68" s="962"/>
      <c r="Q68" s="962"/>
    </row>
    <row r="69" spans="1:18" s="204" customFormat="1" ht="14.4">
      <c r="A69" s="959"/>
      <c r="B69" s="1060" t="s">
        <v>471</v>
      </c>
      <c r="C69" s="973"/>
      <c r="D69" s="203"/>
      <c r="E69" s="974"/>
      <c r="F69" s="974"/>
      <c r="G69" s="974"/>
      <c r="H69" s="974"/>
      <c r="I69" s="978"/>
      <c r="J69" s="977"/>
      <c r="K69" s="977"/>
      <c r="L69" s="978"/>
      <c r="M69" s="1117"/>
      <c r="N69" s="1117"/>
      <c r="O69" s="1147"/>
      <c r="P69" s="962"/>
      <c r="Q69" s="962"/>
    </row>
    <row r="70" spans="1:18" s="204" customFormat="1" ht="14.4">
      <c r="A70" s="959"/>
      <c r="B70" s="1133" t="s">
        <v>692</v>
      </c>
      <c r="C70" s="973"/>
      <c r="D70" s="203"/>
      <c r="E70" s="864">
        <v>426</v>
      </c>
      <c r="F70" s="864">
        <v>0</v>
      </c>
      <c r="G70" s="864">
        <v>0</v>
      </c>
      <c r="H70" s="864">
        <v>0</v>
      </c>
      <c r="I70" s="978">
        <f>E70+F70+G70-H70</f>
        <v>426</v>
      </c>
      <c r="J70" s="864">
        <v>24.635999999999999</v>
      </c>
      <c r="K70" s="864">
        <v>19.123000000000001</v>
      </c>
      <c r="L70" s="978">
        <f>K70-J70</f>
        <v>-5.5129999999999981</v>
      </c>
      <c r="M70" s="1117">
        <f>K70/BS!$G$30</f>
        <v>4.3386900202310861E-5</v>
      </c>
      <c r="N70" s="1117">
        <f>K70/'Note 1-5'!$G$123</f>
        <v>6.4267859971238792E-5</v>
      </c>
      <c r="O70" s="1147">
        <v>1.0000000000000001E-5</v>
      </c>
      <c r="P70" s="962"/>
      <c r="Q70" s="962"/>
    </row>
    <row r="71" spans="1:18" s="204" customFormat="1" ht="14.4">
      <c r="A71" s="959"/>
      <c r="B71" s="1133" t="s">
        <v>583</v>
      </c>
      <c r="C71" s="973"/>
      <c r="D71" s="203"/>
      <c r="E71" s="864">
        <v>13</v>
      </c>
      <c r="F71" s="864">
        <v>0</v>
      </c>
      <c r="G71" s="864">
        <v>0</v>
      </c>
      <c r="H71" s="864">
        <v>0</v>
      </c>
      <c r="I71" s="978">
        <f>E71+F71+G71-H71</f>
        <v>13</v>
      </c>
      <c r="J71" s="864">
        <v>7.6390000000000002</v>
      </c>
      <c r="K71" s="864">
        <v>5.7969999999999997</v>
      </c>
      <c r="L71" s="978">
        <f>K71-J71</f>
        <v>-1.8420000000000005</v>
      </c>
      <c r="M71" s="1117">
        <f>K71/BS!$G$30</f>
        <v>1.3152426945186218E-5</v>
      </c>
      <c r="N71" s="1117">
        <f>K71/'Note 1-5'!$G$123</f>
        <v>1.9482339813484874E-5</v>
      </c>
      <c r="O71" s="1147">
        <v>1.0000000000000001E-5</v>
      </c>
      <c r="P71" s="962"/>
      <c r="Q71" s="962"/>
    </row>
    <row r="72" spans="1:18" s="204" customFormat="1" ht="15" thickBot="1">
      <c r="A72" s="959"/>
      <c r="B72" s="975"/>
      <c r="C72" s="973"/>
      <c r="D72" s="203"/>
      <c r="E72" s="974"/>
      <c r="F72" s="974"/>
      <c r="G72" s="974"/>
      <c r="H72" s="974"/>
      <c r="I72" s="978"/>
      <c r="J72" s="1062">
        <f t="shared" ref="J72:O72" si="13">SUM(J70:J71)</f>
        <v>32.274999999999999</v>
      </c>
      <c r="K72" s="1062">
        <f t="shared" si="13"/>
        <v>24.92</v>
      </c>
      <c r="L72" s="1062">
        <f t="shared" si="13"/>
        <v>-7.3549999999999986</v>
      </c>
      <c r="M72" s="1118">
        <f t="shared" si="13"/>
        <v>5.6539327147497076E-5</v>
      </c>
      <c r="N72" s="1118">
        <f t="shared" si="13"/>
        <v>8.3750199784723666E-5</v>
      </c>
      <c r="O72" s="1118">
        <f t="shared" si="13"/>
        <v>2.0000000000000002E-5</v>
      </c>
      <c r="P72" s="962"/>
      <c r="Q72" s="962"/>
    </row>
    <row r="73" spans="1:18" s="204" customFormat="1" ht="15" thickTop="1">
      <c r="A73" s="959"/>
      <c r="B73" s="975"/>
      <c r="C73" s="973"/>
      <c r="D73" s="203"/>
      <c r="E73" s="974"/>
      <c r="F73" s="974"/>
      <c r="G73" s="974"/>
      <c r="H73" s="974"/>
      <c r="I73" s="978"/>
      <c r="J73" s="977"/>
      <c r="K73" s="977"/>
      <c r="L73" s="978"/>
      <c r="M73" s="1117"/>
      <c r="N73" s="1117"/>
      <c r="O73" s="1147"/>
      <c r="P73" s="962"/>
      <c r="Q73" s="962"/>
    </row>
    <row r="74" spans="1:18" s="204" customFormat="1" ht="14.4">
      <c r="A74" s="959"/>
      <c r="B74" s="1060" t="s">
        <v>584</v>
      </c>
      <c r="C74" s="973"/>
      <c r="D74" s="203"/>
      <c r="E74" s="974"/>
      <c r="F74" s="974"/>
      <c r="G74" s="974"/>
      <c r="H74" s="974"/>
      <c r="I74" s="978"/>
      <c r="J74" s="977"/>
      <c r="K74" s="977"/>
      <c r="L74" s="978"/>
      <c r="M74" s="1117"/>
      <c r="N74" s="1117"/>
      <c r="O74" s="1147"/>
      <c r="P74" s="962"/>
      <c r="Q74" s="962"/>
    </row>
    <row r="75" spans="1:18" s="204" customFormat="1" ht="14.4">
      <c r="A75" s="959"/>
      <c r="B75" s="1133" t="s">
        <v>633</v>
      </c>
      <c r="C75" s="973"/>
      <c r="D75" s="203"/>
      <c r="E75" s="864">
        <v>431</v>
      </c>
      <c r="F75" s="864">
        <v>0</v>
      </c>
      <c r="G75" s="864">
        <v>0</v>
      </c>
      <c r="H75" s="864">
        <v>0</v>
      </c>
      <c r="I75" s="978">
        <f>E75+F75+G75-H75</f>
        <v>431</v>
      </c>
      <c r="J75" s="864">
        <v>18.536999999999999</v>
      </c>
      <c r="K75" s="864">
        <v>17.244</v>
      </c>
      <c r="L75" s="978">
        <f>K75-J75</f>
        <v>-1.2929999999999993</v>
      </c>
      <c r="M75" s="1117">
        <f>K75/BS!$G$30</f>
        <v>3.9123762332722296E-5</v>
      </c>
      <c r="N75" s="1117">
        <f>K75/'Note 1-5'!$G$123</f>
        <v>5.7952987363072829E-5</v>
      </c>
      <c r="O75" s="1147">
        <v>1.1999999999999999E-4</v>
      </c>
      <c r="P75" s="962"/>
      <c r="Q75" s="962"/>
    </row>
    <row r="76" spans="1:18" s="204" customFormat="1" ht="15" thickBot="1">
      <c r="A76" s="959"/>
      <c r="B76" s="975"/>
      <c r="C76" s="973"/>
      <c r="D76" s="203"/>
      <c r="E76" s="974"/>
      <c r="F76" s="974"/>
      <c r="G76" s="974"/>
      <c r="H76" s="974"/>
      <c r="I76" s="978"/>
      <c r="J76" s="1062">
        <f t="shared" ref="J76:O76" si="14">SUM(J74:J75)</f>
        <v>18.536999999999999</v>
      </c>
      <c r="K76" s="1062">
        <f t="shared" si="14"/>
        <v>17.244</v>
      </c>
      <c r="L76" s="1062">
        <f t="shared" si="14"/>
        <v>-1.2929999999999993</v>
      </c>
      <c r="M76" s="1118">
        <f t="shared" si="14"/>
        <v>3.9123762332722296E-5</v>
      </c>
      <c r="N76" s="1118">
        <f t="shared" si="14"/>
        <v>5.7952987363072829E-5</v>
      </c>
      <c r="O76" s="1118">
        <f t="shared" si="14"/>
        <v>1.1999999999999999E-4</v>
      </c>
      <c r="P76" s="962"/>
      <c r="Q76" s="962"/>
    </row>
    <row r="77" spans="1:18" s="204" customFormat="1" ht="15" thickTop="1">
      <c r="A77" s="959"/>
      <c r="B77" s="975"/>
      <c r="C77" s="973"/>
      <c r="D77" s="203"/>
      <c r="E77" s="974"/>
      <c r="F77" s="974"/>
      <c r="G77" s="974"/>
      <c r="H77" s="974"/>
      <c r="I77" s="978"/>
      <c r="J77" s="977"/>
      <c r="K77" s="977"/>
      <c r="L77" s="978"/>
      <c r="M77" s="1117"/>
      <c r="N77" s="1117"/>
      <c r="O77" s="1147"/>
      <c r="P77" s="962"/>
      <c r="Q77" s="962"/>
    </row>
    <row r="78" spans="1:18" s="204" customFormat="1" ht="14.4">
      <c r="A78" s="959"/>
      <c r="B78" s="975"/>
      <c r="C78" s="973"/>
      <c r="D78" s="203"/>
      <c r="E78" s="974"/>
      <c r="F78" s="974"/>
      <c r="G78" s="974"/>
      <c r="H78" s="974"/>
      <c r="I78" s="978"/>
      <c r="J78" s="977"/>
      <c r="K78" s="977"/>
      <c r="L78" s="978"/>
      <c r="M78" s="1117"/>
      <c r="N78" s="1117"/>
      <c r="O78" s="1147"/>
      <c r="P78" s="962"/>
      <c r="Q78" s="962"/>
    </row>
    <row r="79" spans="1:18" s="204" customFormat="1" ht="12.75" customHeight="1">
      <c r="A79" s="959"/>
      <c r="B79" s="986" t="s">
        <v>639</v>
      </c>
      <c r="C79" s="973"/>
      <c r="D79" s="203"/>
      <c r="E79" s="974"/>
      <c r="F79" s="974"/>
      <c r="G79" s="974"/>
      <c r="H79" s="974"/>
      <c r="I79" s="978"/>
      <c r="J79" s="977"/>
      <c r="K79" s="977"/>
      <c r="L79" s="978"/>
      <c r="M79" s="1117"/>
      <c r="N79" s="1117"/>
      <c r="O79" s="1147"/>
      <c r="P79" s="962">
        <f>J79/1000</f>
        <v>0</v>
      </c>
      <c r="Q79" s="962">
        <f>K79/1000</f>
        <v>0</v>
      </c>
    </row>
    <row r="80" spans="1:18" s="204" customFormat="1" ht="12.75" customHeight="1">
      <c r="A80" s="959"/>
      <c r="B80" s="1133" t="s">
        <v>585</v>
      </c>
      <c r="C80" s="973"/>
      <c r="D80" s="203"/>
      <c r="E80" s="864">
        <v>10240</v>
      </c>
      <c r="F80" s="864">
        <v>5000</v>
      </c>
      <c r="G80" s="864">
        <v>0</v>
      </c>
      <c r="H80" s="864">
        <v>0</v>
      </c>
      <c r="I80" s="978">
        <f>E80+F80+G80-H80</f>
        <v>15240</v>
      </c>
      <c r="J80" s="864">
        <v>23141.754000000001</v>
      </c>
      <c r="K80" s="864">
        <v>23673.359</v>
      </c>
      <c r="L80" s="978">
        <f>K80-J80</f>
        <v>531.60499999999956</v>
      </c>
      <c r="M80" s="1117">
        <f>K80/BS!$G$30</f>
        <v>5.3710906467943187E-2</v>
      </c>
      <c r="N80" s="1117">
        <f>K80/'Note 1-5'!$G$123</f>
        <v>7.9560535546769104E-2</v>
      </c>
      <c r="O80" s="1147">
        <v>0</v>
      </c>
      <c r="P80" s="962">
        <f>J80/1000</f>
        <v>23.141754000000002</v>
      </c>
      <c r="Q80" s="962">
        <f>K80/1000</f>
        <v>23.673359000000001</v>
      </c>
      <c r="R80" s="204">
        <v>9908025</v>
      </c>
    </row>
    <row r="81" spans="1:17" s="204" customFormat="1" ht="12.75" customHeight="1">
      <c r="A81" s="959"/>
      <c r="B81" s="1133" t="s">
        <v>472</v>
      </c>
      <c r="C81" s="973"/>
      <c r="D81" s="203"/>
      <c r="E81" s="864">
        <v>28924</v>
      </c>
      <c r="F81" s="864">
        <v>0</v>
      </c>
      <c r="G81" s="864">
        <v>0</v>
      </c>
      <c r="H81" s="864">
        <v>0</v>
      </c>
      <c r="I81" s="978">
        <f>E81+F81+G81-H81</f>
        <v>28924</v>
      </c>
      <c r="J81" s="864">
        <v>11392.007</v>
      </c>
      <c r="K81" s="864">
        <v>10856.623</v>
      </c>
      <c r="L81" s="978">
        <f>K81-J81</f>
        <v>-535.38400000000001</v>
      </c>
      <c r="M81" s="1117">
        <f>K81/BS!$G$30</f>
        <v>2.4631868359311443E-2</v>
      </c>
      <c r="N81" s="1117">
        <f>K81/'Note 1-5'!$G$123</f>
        <v>3.6486530707761873E-2</v>
      </c>
      <c r="O81" s="1147">
        <v>0</v>
      </c>
      <c r="P81" s="962"/>
      <c r="Q81" s="962"/>
    </row>
    <row r="82" spans="1:17" s="204" customFormat="1" ht="12.75" customHeight="1" thickBot="1">
      <c r="A82" s="959"/>
      <c r="B82" s="975"/>
      <c r="C82" s="973"/>
      <c r="D82" s="203"/>
      <c r="E82" s="974"/>
      <c r="F82" s="974"/>
      <c r="G82" s="974"/>
      <c r="H82" s="974"/>
      <c r="I82" s="978"/>
      <c r="J82" s="1062">
        <f t="shared" ref="J82:O82" si="15">SUM(J80:J81)</f>
        <v>34533.760999999999</v>
      </c>
      <c r="K82" s="1062">
        <f t="shared" si="15"/>
        <v>34529.982000000004</v>
      </c>
      <c r="L82" s="1062">
        <f t="shared" si="15"/>
        <v>-3.7790000000004511</v>
      </c>
      <c r="M82" s="1118">
        <f t="shared" si="15"/>
        <v>7.834277482725463E-2</v>
      </c>
      <c r="N82" s="1118">
        <f t="shared" si="15"/>
        <v>0.11604706625453098</v>
      </c>
      <c r="O82" s="1118">
        <f t="shared" si="15"/>
        <v>0</v>
      </c>
      <c r="P82" s="962"/>
      <c r="Q82" s="962"/>
    </row>
    <row r="83" spans="1:17" s="204" customFormat="1" ht="12.75" customHeight="1" thickTop="1">
      <c r="A83" s="959"/>
      <c r="B83" s="975"/>
      <c r="C83" s="973"/>
      <c r="D83" s="203"/>
      <c r="E83" s="974"/>
      <c r="F83" s="974"/>
      <c r="G83" s="974"/>
      <c r="H83" s="974"/>
      <c r="I83" s="978"/>
      <c r="J83" s="977"/>
      <c r="K83" s="977"/>
      <c r="L83" s="978"/>
      <c r="M83" s="1117"/>
      <c r="N83" s="1117"/>
      <c r="O83" s="1147"/>
      <c r="P83" s="962"/>
      <c r="Q83" s="962"/>
    </row>
    <row r="84" spans="1:17" s="204" customFormat="1" ht="12.75" customHeight="1">
      <c r="A84" s="959"/>
      <c r="B84" s="975"/>
      <c r="C84" s="973"/>
      <c r="D84" s="203"/>
      <c r="E84" s="974"/>
      <c r="F84" s="974"/>
      <c r="G84" s="974"/>
      <c r="H84" s="974"/>
      <c r="I84" s="978"/>
      <c r="J84" s="977"/>
      <c r="K84" s="977"/>
      <c r="L84" s="978"/>
      <c r="M84" s="1117"/>
      <c r="N84" s="1117"/>
      <c r="O84" s="1147"/>
      <c r="P84" s="962"/>
      <c r="Q84" s="962"/>
    </row>
    <row r="85" spans="1:17" s="204" customFormat="1" ht="12.75" customHeight="1">
      <c r="A85" s="959"/>
      <c r="B85" s="975"/>
      <c r="C85" s="973"/>
      <c r="D85" s="203"/>
      <c r="E85" s="974"/>
      <c r="F85" s="974"/>
      <c r="G85" s="974"/>
      <c r="H85" s="974"/>
      <c r="I85" s="978"/>
      <c r="J85" s="977"/>
      <c r="K85" s="977"/>
      <c r="L85" s="978"/>
      <c r="M85" s="1117"/>
      <c r="N85" s="1117"/>
      <c r="O85" s="1147"/>
      <c r="P85" s="962"/>
      <c r="Q85" s="962"/>
    </row>
    <row r="86" spans="1:17" s="204" customFormat="1" ht="12.75" customHeight="1">
      <c r="A86" s="959"/>
      <c r="B86" s="1060" t="s">
        <v>473</v>
      </c>
      <c r="C86" s="973"/>
      <c r="D86" s="203"/>
      <c r="E86" s="974"/>
      <c r="F86" s="974"/>
      <c r="G86" s="974"/>
      <c r="H86" s="974"/>
      <c r="I86" s="978"/>
      <c r="J86" s="1113"/>
      <c r="K86" s="1113"/>
      <c r="L86" s="978"/>
      <c r="M86" s="1117"/>
      <c r="N86" s="1117"/>
      <c r="O86" s="1117"/>
      <c r="P86" s="962"/>
      <c r="Q86" s="962"/>
    </row>
    <row r="87" spans="1:17" s="204" customFormat="1" ht="12.75" customHeight="1">
      <c r="A87" s="959"/>
      <c r="B87" s="1133" t="s">
        <v>691</v>
      </c>
      <c r="C87" s="973"/>
      <c r="D87" s="203"/>
      <c r="E87" s="864">
        <v>24800</v>
      </c>
      <c r="F87" s="864">
        <v>2800</v>
      </c>
      <c r="G87" s="864">
        <v>0</v>
      </c>
      <c r="H87" s="864">
        <v>0</v>
      </c>
      <c r="I87" s="978">
        <f>E87+F87+G87-H87</f>
        <v>27600</v>
      </c>
      <c r="J87" s="864">
        <v>8886.1460000000006</v>
      </c>
      <c r="K87" s="864">
        <v>8004</v>
      </c>
      <c r="L87" s="978">
        <f>K87-J87</f>
        <v>-882.14600000000064</v>
      </c>
      <c r="M87" s="1117">
        <f>K87/BS!$G$30</f>
        <v>1.8159742154436862E-2</v>
      </c>
      <c r="N87" s="1117">
        <f>K87/'Note 1-5'!$G$123</f>
        <v>2.6899542499074166E-2</v>
      </c>
      <c r="O87" s="1147">
        <v>2.0000000000000002E-5</v>
      </c>
      <c r="P87" s="962"/>
      <c r="Q87" s="962"/>
    </row>
    <row r="88" spans="1:17" s="204" customFormat="1" ht="12.75" customHeight="1">
      <c r="A88" s="959"/>
      <c r="B88" s="1133" t="s">
        <v>690</v>
      </c>
      <c r="C88" s="973"/>
      <c r="D88" s="203"/>
      <c r="E88" s="864">
        <v>38700</v>
      </c>
      <c r="F88" s="864">
        <v>0</v>
      </c>
      <c r="G88" s="864">
        <v>0</v>
      </c>
      <c r="H88" s="864">
        <v>0</v>
      </c>
      <c r="I88" s="978">
        <f>E88+F88+G88-H88</f>
        <v>38700</v>
      </c>
      <c r="J88" s="864">
        <v>8678.4750000000004</v>
      </c>
      <c r="K88" s="864">
        <v>7778.3130000000001</v>
      </c>
      <c r="L88" s="978">
        <f>K88-J88</f>
        <v>-900.16200000000026</v>
      </c>
      <c r="M88" s="1117">
        <f>K88/BS!$G$30</f>
        <v>1.7647695961582239E-2</v>
      </c>
      <c r="N88" s="1117">
        <f>K88/'Note 1-5'!$G$123</f>
        <v>2.6141062108270999E-2</v>
      </c>
      <c r="O88" s="1147">
        <v>0</v>
      </c>
      <c r="P88" s="962"/>
      <c r="Q88" s="962"/>
    </row>
    <row r="89" spans="1:17" s="204" customFormat="1" ht="12.75" customHeight="1" thickBot="1">
      <c r="A89" s="959"/>
      <c r="B89" s="975"/>
      <c r="C89" s="973"/>
      <c r="D89" s="203"/>
      <c r="E89" s="974"/>
      <c r="F89" s="974"/>
      <c r="G89" s="974"/>
      <c r="H89" s="978"/>
      <c r="I89" s="978"/>
      <c r="J89" s="1062">
        <f t="shared" ref="J89:O89" si="16">SUM(J85:J88)</f>
        <v>17564.620999999999</v>
      </c>
      <c r="K89" s="1062">
        <f t="shared" si="16"/>
        <v>15782.313</v>
      </c>
      <c r="L89" s="1062">
        <f t="shared" si="16"/>
        <v>-1782.3080000000009</v>
      </c>
      <c r="M89" s="1118">
        <f t="shared" si="16"/>
        <v>3.5807438116019101E-2</v>
      </c>
      <c r="N89" s="1118">
        <f t="shared" si="16"/>
        <v>5.3040604607345165E-2</v>
      </c>
      <c r="O89" s="1118">
        <f t="shared" si="16"/>
        <v>2.0000000000000002E-5</v>
      </c>
      <c r="P89" s="962"/>
      <c r="Q89" s="962"/>
    </row>
    <row r="90" spans="1:17" s="204" customFormat="1" ht="12.75" customHeight="1" thickTop="1">
      <c r="A90" s="959"/>
      <c r="B90" s="975"/>
      <c r="C90" s="973"/>
      <c r="D90" s="203"/>
      <c r="E90" s="974"/>
      <c r="F90" s="974"/>
      <c r="G90" s="974"/>
      <c r="H90" s="978"/>
      <c r="I90" s="978"/>
      <c r="J90" s="977"/>
      <c r="K90" s="977"/>
      <c r="L90" s="978"/>
      <c r="M90" s="1117"/>
      <c r="N90" s="1117"/>
      <c r="O90" s="1147"/>
      <c r="P90" s="962"/>
      <c r="Q90" s="962"/>
    </row>
    <row r="91" spans="1:17" s="204" customFormat="1" ht="12.75" customHeight="1">
      <c r="A91" s="959"/>
      <c r="B91" s="1060" t="s">
        <v>689</v>
      </c>
      <c r="C91" s="973"/>
      <c r="D91" s="203"/>
      <c r="E91" s="974"/>
      <c r="F91" s="974"/>
      <c r="G91" s="974"/>
      <c r="H91" s="974"/>
      <c r="I91" s="978"/>
      <c r="J91" s="1113"/>
      <c r="K91" s="1113"/>
      <c r="L91" s="978"/>
      <c r="M91" s="1117"/>
      <c r="N91" s="1117"/>
      <c r="O91" s="1117"/>
      <c r="P91" s="962"/>
      <c r="Q91" s="962"/>
    </row>
    <row r="92" spans="1:17" s="204" customFormat="1" ht="12.75" customHeight="1">
      <c r="A92" s="959"/>
      <c r="B92" s="1133" t="s">
        <v>688</v>
      </c>
      <c r="C92" s="973"/>
      <c r="D92" s="203"/>
      <c r="E92" s="864">
        <v>0</v>
      </c>
      <c r="F92" s="864">
        <v>6700</v>
      </c>
      <c r="G92" s="864">
        <v>0</v>
      </c>
      <c r="H92" s="864">
        <v>0</v>
      </c>
      <c r="I92" s="978">
        <f>E92+F92+G92-H92</f>
        <v>6700</v>
      </c>
      <c r="J92" s="864">
        <v>1239.627</v>
      </c>
      <c r="K92" s="864">
        <v>1200.6400000000001</v>
      </c>
      <c r="L92" s="978">
        <f>K92-J92</f>
        <v>-38.986999999999853</v>
      </c>
      <c r="M92" s="1117">
        <f>K92/BS!$G$30</f>
        <v>2.7240520764996346E-3</v>
      </c>
      <c r="N92" s="1117">
        <f>K92/'Note 1-5'!$G$123</f>
        <v>4.035065805358372E-3</v>
      </c>
      <c r="O92" s="1147">
        <v>2.0000000000000002E-5</v>
      </c>
      <c r="P92" s="962"/>
      <c r="Q92" s="962"/>
    </row>
    <row r="93" spans="1:17" s="204" customFormat="1" ht="12.75" customHeight="1">
      <c r="A93" s="959"/>
      <c r="B93" s="1133" t="s">
        <v>687</v>
      </c>
      <c r="C93" s="973"/>
      <c r="D93" s="203"/>
      <c r="E93" s="864">
        <v>32500</v>
      </c>
      <c r="F93" s="864">
        <v>3000</v>
      </c>
      <c r="G93" s="864">
        <v>0</v>
      </c>
      <c r="H93" s="864">
        <v>0</v>
      </c>
      <c r="I93" s="978">
        <f>E93+F93+G93-H93</f>
        <v>35500</v>
      </c>
      <c r="J93" s="864">
        <v>19293.97</v>
      </c>
      <c r="K93" s="864">
        <v>16662.28</v>
      </c>
      <c r="L93" s="978">
        <f>K93-J93</f>
        <v>-2631.6900000000023</v>
      </c>
      <c r="M93" s="1117">
        <f>K93/BS!$G$30</f>
        <v>3.7803936594831361E-2</v>
      </c>
      <c r="N93" s="1117">
        <f>K93/'Note 1-5'!$G$123</f>
        <v>5.5997964641613378E-2</v>
      </c>
      <c r="O93" s="1147">
        <v>0</v>
      </c>
      <c r="P93" s="962"/>
      <c r="Q93" s="962"/>
    </row>
    <row r="94" spans="1:17" s="204" customFormat="1" ht="12.75" customHeight="1" thickBot="1">
      <c r="A94" s="959"/>
      <c r="B94" s="975"/>
      <c r="C94" s="973"/>
      <c r="D94" s="203"/>
      <c r="E94" s="974"/>
      <c r="F94" s="974"/>
      <c r="G94" s="974"/>
      <c r="H94" s="978"/>
      <c r="I94" s="978"/>
      <c r="J94" s="1062">
        <f t="shared" ref="J94:O94" si="17">SUM(J90:J93)</f>
        <v>20533.597000000002</v>
      </c>
      <c r="K94" s="1062">
        <f t="shared" si="17"/>
        <v>17862.919999999998</v>
      </c>
      <c r="L94" s="1062">
        <f t="shared" si="17"/>
        <v>-2670.6770000000024</v>
      </c>
      <c r="M94" s="1118">
        <f t="shared" si="17"/>
        <v>4.0527988671330999E-2</v>
      </c>
      <c r="N94" s="1118">
        <f t="shared" si="17"/>
        <v>6.0033030446971752E-2</v>
      </c>
      <c r="O94" s="1118">
        <f t="shared" si="17"/>
        <v>2.0000000000000002E-5</v>
      </c>
      <c r="P94" s="962"/>
      <c r="Q94" s="962"/>
    </row>
    <row r="95" spans="1:17" s="204" customFormat="1" ht="12.75" customHeight="1" thickTop="1">
      <c r="A95" s="959"/>
      <c r="B95" s="975"/>
      <c r="C95" s="973"/>
      <c r="D95" s="203"/>
      <c r="E95" s="974"/>
      <c r="F95" s="974"/>
      <c r="G95" s="974"/>
      <c r="H95" s="978"/>
      <c r="I95" s="978"/>
      <c r="J95" s="977"/>
      <c r="K95" s="977"/>
      <c r="L95" s="978"/>
      <c r="M95" s="1117"/>
      <c r="N95" s="1117"/>
      <c r="O95" s="1147"/>
      <c r="P95" s="962"/>
      <c r="Q95" s="962"/>
    </row>
    <row r="96" spans="1:17" s="204" customFormat="1" ht="12.75" customHeight="1">
      <c r="A96" s="959"/>
      <c r="B96" s="975"/>
      <c r="C96" s="973"/>
      <c r="D96" s="203"/>
      <c r="E96" s="974"/>
      <c r="F96" s="974"/>
      <c r="G96" s="974"/>
      <c r="H96" s="978"/>
      <c r="I96" s="978"/>
      <c r="J96" s="977"/>
      <c r="K96" s="977"/>
      <c r="L96" s="978"/>
      <c r="M96" s="1117"/>
      <c r="N96" s="1117"/>
      <c r="O96" s="1147"/>
      <c r="P96" s="962"/>
      <c r="Q96" s="962"/>
    </row>
    <row r="97" spans="1:18" s="204" customFormat="1" ht="12.75" customHeight="1">
      <c r="A97" s="959"/>
      <c r="B97" s="1060" t="s">
        <v>533</v>
      </c>
      <c r="C97" s="973"/>
      <c r="D97" s="203"/>
      <c r="E97" s="974"/>
      <c r="F97" s="974"/>
      <c r="G97" s="974"/>
      <c r="H97" s="974"/>
      <c r="I97" s="978"/>
      <c r="J97" s="977"/>
      <c r="K97" s="977"/>
      <c r="L97" s="978"/>
      <c r="M97" s="1117"/>
      <c r="N97" s="1117"/>
      <c r="O97" s="1147"/>
      <c r="P97" s="962"/>
      <c r="Q97" s="962"/>
    </row>
    <row r="98" spans="1:18" s="204" customFormat="1" ht="12.75" customHeight="1">
      <c r="A98" s="959"/>
      <c r="B98" s="1133" t="s">
        <v>686</v>
      </c>
      <c r="C98" s="973"/>
      <c r="D98" s="203"/>
      <c r="E98" s="864">
        <v>11750</v>
      </c>
      <c r="F98" s="864">
        <v>0</v>
      </c>
      <c r="G98" s="864">
        <v>0</v>
      </c>
      <c r="H98" s="864">
        <v>2500</v>
      </c>
      <c r="I98" s="978">
        <f>E98+F98+G98-H98</f>
        <v>9250</v>
      </c>
      <c r="J98" s="864">
        <v>7329.33</v>
      </c>
      <c r="K98" s="864">
        <v>7148.9549999999999</v>
      </c>
      <c r="L98" s="978">
        <f>K98-J98</f>
        <v>-180.375</v>
      </c>
      <c r="M98" s="1117">
        <f>K98/BS!$G$30</f>
        <v>1.6219787540438804E-2</v>
      </c>
      <c r="N98" s="1117">
        <f>K98/'Note 1-5'!$G$123</f>
        <v>2.4025939386115535E-2</v>
      </c>
      <c r="O98" s="1147">
        <v>2.0000000000000002E-5</v>
      </c>
      <c r="P98" s="962"/>
      <c r="Q98" s="962"/>
    </row>
    <row r="99" spans="1:18" s="204" customFormat="1" ht="12.75" customHeight="1">
      <c r="A99" s="959"/>
      <c r="B99" s="1133" t="s">
        <v>638</v>
      </c>
      <c r="C99" s="973"/>
      <c r="D99" s="203"/>
      <c r="E99" s="864">
        <v>1600</v>
      </c>
      <c r="F99" s="864">
        <v>10800</v>
      </c>
      <c r="G99" s="864">
        <v>0</v>
      </c>
      <c r="H99" s="864">
        <v>0</v>
      </c>
      <c r="I99" s="978">
        <f>E99+F99+G99-H99</f>
        <v>12400</v>
      </c>
      <c r="J99" s="864">
        <v>7332</v>
      </c>
      <c r="K99" s="864">
        <v>7683.9080000000004</v>
      </c>
      <c r="L99" s="978">
        <f>K99-J99</f>
        <v>351.90800000000036</v>
      </c>
      <c r="M99" s="1117">
        <f>K99/BS!$G$30</f>
        <v>1.7433506748927366E-2</v>
      </c>
      <c r="N99" s="1117">
        <f>K99/'Note 1-5'!$G$123</f>
        <v>2.5823789330956519E-2</v>
      </c>
      <c r="O99" s="1147">
        <v>1.0000000000000001E-5</v>
      </c>
      <c r="P99" s="962"/>
      <c r="Q99" s="962"/>
    </row>
    <row r="100" spans="1:18" s="204" customFormat="1" ht="12.75" customHeight="1">
      <c r="A100" s="959"/>
      <c r="B100" s="1133" t="s">
        <v>534</v>
      </c>
      <c r="C100" s="973"/>
      <c r="D100" s="203"/>
      <c r="E100" s="864">
        <v>17682</v>
      </c>
      <c r="F100" s="864">
        <v>0</v>
      </c>
      <c r="G100" s="864">
        <v>0</v>
      </c>
      <c r="H100" s="864">
        <v>0</v>
      </c>
      <c r="I100" s="978">
        <f>E100+F100+G100-H100</f>
        <v>17682</v>
      </c>
      <c r="J100" s="864">
        <v>4290.0069999999996</v>
      </c>
      <c r="K100" s="864">
        <v>3563.1</v>
      </c>
      <c r="L100" s="978">
        <f>K100-J100</f>
        <v>-726.9069999999997</v>
      </c>
      <c r="M100" s="1117">
        <f>K100/BS!$G$30</f>
        <v>8.0840801187498732E-3</v>
      </c>
      <c r="N100" s="1117">
        <f>K100/'Note 1-5'!$G$123</f>
        <v>1.1974732618497146E-2</v>
      </c>
      <c r="O100" s="1147">
        <v>0</v>
      </c>
      <c r="P100" s="962"/>
      <c r="Q100" s="962"/>
    </row>
    <row r="101" spans="1:18" s="204" customFormat="1" ht="12.75" customHeight="1" thickBot="1">
      <c r="A101" s="959"/>
      <c r="B101" s="975"/>
      <c r="C101" s="973"/>
      <c r="D101" s="203"/>
      <c r="E101" s="974"/>
      <c r="F101" s="974"/>
      <c r="G101" s="974"/>
      <c r="H101" s="974"/>
      <c r="I101" s="978"/>
      <c r="J101" s="1062">
        <f t="shared" ref="J101:O101" si="18">SUM(J98:J100)</f>
        <v>18951.337</v>
      </c>
      <c r="K101" s="1062">
        <f t="shared" si="18"/>
        <v>18395.963</v>
      </c>
      <c r="L101" s="1063">
        <f t="shared" si="18"/>
        <v>-555.37399999999934</v>
      </c>
      <c r="M101" s="1118">
        <f t="shared" si="18"/>
        <v>4.1737374408116042E-2</v>
      </c>
      <c r="N101" s="1118">
        <f t="shared" si="18"/>
        <v>6.1824461335569195E-2</v>
      </c>
      <c r="O101" s="1148">
        <f t="shared" si="18"/>
        <v>3.0000000000000004E-5</v>
      </c>
      <c r="P101" s="962"/>
      <c r="Q101" s="962"/>
    </row>
    <row r="102" spans="1:18" s="204" customFormat="1" ht="12.75" customHeight="1" thickTop="1">
      <c r="A102" s="959"/>
      <c r="B102" s="975"/>
      <c r="C102" s="973"/>
      <c r="D102" s="203"/>
      <c r="E102" s="974"/>
      <c r="F102" s="974"/>
      <c r="G102" s="974"/>
      <c r="H102" s="974"/>
      <c r="I102" s="978"/>
      <c r="J102" s="977"/>
      <c r="K102" s="977"/>
      <c r="L102" s="978"/>
      <c r="M102" s="1117"/>
      <c r="N102" s="1117"/>
      <c r="O102" s="1147"/>
      <c r="P102" s="962"/>
      <c r="Q102" s="962"/>
    </row>
    <row r="103" spans="1:18" s="204" customFormat="1" ht="12.75" customHeight="1">
      <c r="A103" s="959"/>
      <c r="B103" s="975"/>
      <c r="C103" s="973"/>
      <c r="D103" s="203"/>
      <c r="E103" s="974"/>
      <c r="F103" s="974"/>
      <c r="G103" s="974"/>
      <c r="H103" s="974"/>
      <c r="I103" s="978"/>
      <c r="J103" s="977"/>
      <c r="K103" s="977"/>
      <c r="L103" s="978"/>
      <c r="M103" s="1117"/>
      <c r="N103" s="1117"/>
      <c r="O103" s="1147"/>
      <c r="P103" s="962"/>
      <c r="Q103" s="962"/>
    </row>
    <row r="104" spans="1:18" s="204" customFormat="1" ht="12.75" customHeight="1">
      <c r="A104" s="959"/>
      <c r="B104" s="1061" t="s">
        <v>464</v>
      </c>
      <c r="C104" s="973"/>
      <c r="D104" s="203"/>
      <c r="E104" s="974"/>
      <c r="F104" s="974"/>
      <c r="G104" s="974"/>
      <c r="H104" s="974"/>
      <c r="I104" s="978"/>
      <c r="J104" s="977"/>
      <c r="K104" s="977"/>
      <c r="L104" s="978"/>
      <c r="M104" s="1117"/>
      <c r="N104" s="1117"/>
      <c r="O104" s="1147"/>
      <c r="P104" s="962">
        <f>J104/1000</f>
        <v>0</v>
      </c>
      <c r="Q104" s="962">
        <f>K104/1000</f>
        <v>0</v>
      </c>
      <c r="R104" s="204">
        <v>38030207</v>
      </c>
    </row>
    <row r="105" spans="1:18" s="204" customFormat="1" ht="12.75" customHeight="1">
      <c r="A105" s="959"/>
      <c r="B105" s="1133" t="s">
        <v>685</v>
      </c>
      <c r="C105" s="973"/>
      <c r="D105" s="203"/>
      <c r="E105" s="864">
        <v>35000</v>
      </c>
      <c r="F105" s="864">
        <v>0</v>
      </c>
      <c r="G105" s="864">
        <v>0</v>
      </c>
      <c r="H105" s="864">
        <v>35000</v>
      </c>
      <c r="I105" s="978">
        <f>E105+F105+G105-H105</f>
        <v>0</v>
      </c>
      <c r="J105" s="864">
        <v>0</v>
      </c>
      <c r="K105" s="864">
        <v>0</v>
      </c>
      <c r="L105" s="978">
        <f>K105-J105</f>
        <v>0</v>
      </c>
      <c r="M105" s="1117">
        <f>K105/BS!$G$30</f>
        <v>0</v>
      </c>
      <c r="N105" s="1117">
        <f>K105/'Note 1-5'!$G$123</f>
        <v>0</v>
      </c>
      <c r="O105" s="1147">
        <v>2.0000000000000002E-5</v>
      </c>
      <c r="P105" s="962">
        <f>J105/1000</f>
        <v>0</v>
      </c>
      <c r="Q105" s="962">
        <f>K105/1000</f>
        <v>0</v>
      </c>
      <c r="R105" s="204">
        <v>5782050</v>
      </c>
    </row>
    <row r="106" spans="1:18" s="204" customFormat="1" ht="12.75" customHeight="1" thickBot="1">
      <c r="A106" s="959"/>
      <c r="B106" s="975"/>
      <c r="C106" s="973"/>
      <c r="D106" s="203"/>
      <c r="E106" s="974"/>
      <c r="F106" s="974"/>
      <c r="G106" s="974"/>
      <c r="H106" s="974"/>
      <c r="I106" s="978"/>
      <c r="J106" s="1062">
        <f t="shared" ref="J106:O106" si="19">SUM(J104:J105)</f>
        <v>0</v>
      </c>
      <c r="K106" s="1062">
        <f t="shared" si="19"/>
        <v>0</v>
      </c>
      <c r="L106" s="1063">
        <f t="shared" si="19"/>
        <v>0</v>
      </c>
      <c r="M106" s="1118">
        <f t="shared" si="19"/>
        <v>0</v>
      </c>
      <c r="N106" s="1118">
        <f t="shared" si="19"/>
        <v>0</v>
      </c>
      <c r="O106" s="1148">
        <f t="shared" si="19"/>
        <v>2.0000000000000002E-5</v>
      </c>
      <c r="P106" s="962"/>
      <c r="Q106" s="962"/>
    </row>
    <row r="107" spans="1:18" s="204" customFormat="1" ht="12.75" customHeight="1" thickTop="1">
      <c r="A107" s="959"/>
      <c r="B107" s="975"/>
      <c r="C107" s="973"/>
      <c r="D107" s="203"/>
      <c r="E107" s="974"/>
      <c r="F107" s="974"/>
      <c r="G107" s="974"/>
      <c r="H107" s="974"/>
      <c r="I107" s="978"/>
      <c r="J107" s="977"/>
      <c r="K107" s="977"/>
      <c r="L107" s="978"/>
      <c r="M107" s="1117"/>
      <c r="N107" s="1117"/>
      <c r="O107" s="1147"/>
      <c r="P107" s="962"/>
      <c r="Q107" s="962"/>
    </row>
    <row r="108" spans="1:18" s="204" customFormat="1" ht="12.75" customHeight="1">
      <c r="A108" s="959"/>
      <c r="B108" s="975"/>
      <c r="C108" s="973"/>
      <c r="D108" s="203"/>
      <c r="E108" s="974"/>
      <c r="F108" s="974"/>
      <c r="G108" s="974"/>
      <c r="H108" s="974"/>
      <c r="I108" s="978"/>
      <c r="J108" s="977"/>
      <c r="K108" s="977"/>
      <c r="L108" s="978"/>
      <c r="M108" s="1117"/>
      <c r="N108" s="1117"/>
      <c r="O108" s="1147"/>
      <c r="P108" s="962"/>
      <c r="Q108" s="962"/>
    </row>
    <row r="109" spans="1:18" s="204" customFormat="1" ht="12.75" customHeight="1">
      <c r="A109" s="959"/>
      <c r="B109" s="1060" t="s">
        <v>634</v>
      </c>
      <c r="C109" s="973"/>
      <c r="D109" s="203"/>
      <c r="E109" s="974"/>
      <c r="F109" s="974"/>
      <c r="G109" s="974"/>
      <c r="H109" s="974"/>
      <c r="I109" s="978"/>
      <c r="J109" s="977"/>
      <c r="K109" s="977"/>
      <c r="L109" s="978"/>
      <c r="M109" s="1117"/>
      <c r="N109" s="1117"/>
      <c r="O109" s="1117"/>
      <c r="P109" s="962"/>
      <c r="Q109" s="962"/>
    </row>
    <row r="110" spans="1:18" s="204" customFormat="1" ht="12.75" customHeight="1">
      <c r="A110" s="959"/>
      <c r="B110" s="1133" t="s">
        <v>499</v>
      </c>
      <c r="C110" s="973"/>
      <c r="D110" s="203"/>
      <c r="E110" s="864">
        <v>423500</v>
      </c>
      <c r="F110" s="864">
        <v>0</v>
      </c>
      <c r="G110" s="864">
        <v>0</v>
      </c>
      <c r="H110" s="864">
        <v>0</v>
      </c>
      <c r="I110" s="978">
        <f>E110+F110+G110-H110</f>
        <v>423500</v>
      </c>
      <c r="J110" s="864">
        <v>4666.97</v>
      </c>
      <c r="K110" s="864">
        <v>4963.42</v>
      </c>
      <c r="L110" s="978">
        <f>K110-J110</f>
        <v>296.44999999999982</v>
      </c>
      <c r="M110" s="1117">
        <f>K110/BS!$G$30</f>
        <v>1.1261172839102326E-2</v>
      </c>
      <c r="N110" s="1117">
        <f>K110/'Note 1-5'!$G$123</f>
        <v>1.6680875466111283E-2</v>
      </c>
      <c r="O110" s="1147">
        <v>2.0000000000000002E-5</v>
      </c>
      <c r="P110" s="962"/>
      <c r="Q110" s="962"/>
    </row>
    <row r="111" spans="1:18" s="204" customFormat="1" ht="12.75" customHeight="1" thickBot="1">
      <c r="A111" s="959"/>
      <c r="B111" s="975"/>
      <c r="C111" s="973"/>
      <c r="D111" s="203"/>
      <c r="E111" s="974"/>
      <c r="F111" s="974"/>
      <c r="G111" s="974"/>
      <c r="H111" s="974"/>
      <c r="I111" s="978"/>
      <c r="J111" s="1062">
        <f t="shared" ref="J111:O111" si="20">SUM(J108:J110)</f>
        <v>4666.97</v>
      </c>
      <c r="K111" s="1062">
        <f t="shared" si="20"/>
        <v>4963.42</v>
      </c>
      <c r="L111" s="1063">
        <f t="shared" si="20"/>
        <v>296.44999999999982</v>
      </c>
      <c r="M111" s="1118">
        <f t="shared" si="20"/>
        <v>1.1261172839102326E-2</v>
      </c>
      <c r="N111" s="1118">
        <f t="shared" si="20"/>
        <v>1.6680875466111283E-2</v>
      </c>
      <c r="O111" s="1148">
        <f t="shared" si="20"/>
        <v>2.0000000000000002E-5</v>
      </c>
      <c r="P111" s="962"/>
      <c r="Q111" s="962"/>
    </row>
    <row r="112" spans="1:18" s="204" customFormat="1" ht="12.75" customHeight="1" thickTop="1">
      <c r="A112" s="959"/>
      <c r="B112" s="975"/>
      <c r="C112" s="973"/>
      <c r="D112" s="203"/>
      <c r="E112" s="974"/>
      <c r="F112" s="974"/>
      <c r="G112" s="974"/>
      <c r="H112" s="974"/>
      <c r="I112" s="978"/>
      <c r="J112" s="977"/>
      <c r="K112" s="977"/>
      <c r="L112" s="978"/>
      <c r="M112" s="1117"/>
      <c r="N112" s="1117"/>
      <c r="O112" s="1147"/>
      <c r="P112" s="962"/>
      <c r="Q112" s="962"/>
    </row>
    <row r="113" spans="1:17" s="204" customFormat="1" ht="12.75" customHeight="1">
      <c r="A113" s="959"/>
      <c r="B113" s="975"/>
      <c r="C113" s="973"/>
      <c r="D113" s="203"/>
      <c r="E113" s="974"/>
      <c r="F113" s="974"/>
      <c r="G113" s="974"/>
      <c r="H113" s="974"/>
      <c r="I113" s="978"/>
      <c r="J113" s="977"/>
      <c r="K113" s="977"/>
      <c r="L113" s="978"/>
      <c r="M113" s="1117"/>
      <c r="N113" s="1117"/>
      <c r="O113" s="1147"/>
      <c r="P113" s="962"/>
      <c r="Q113" s="962"/>
    </row>
    <row r="114" spans="1:17" s="204" customFormat="1" ht="12.75" customHeight="1">
      <c r="A114" s="959"/>
      <c r="B114" s="1060" t="s">
        <v>465</v>
      </c>
      <c r="C114" s="973"/>
      <c r="D114" s="203"/>
      <c r="E114" s="974"/>
      <c r="F114" s="974"/>
      <c r="G114" s="974"/>
      <c r="H114" s="974"/>
      <c r="I114" s="978"/>
      <c r="J114" s="977"/>
      <c r="K114" s="977"/>
      <c r="L114" s="978"/>
      <c r="M114" s="1117"/>
      <c r="N114" s="1117"/>
      <c r="O114" s="1147"/>
      <c r="P114" s="962"/>
      <c r="Q114" s="962"/>
    </row>
    <row r="115" spans="1:17" s="204" customFormat="1" ht="12.75" customHeight="1">
      <c r="A115" s="959"/>
      <c r="B115" s="1133" t="s">
        <v>535</v>
      </c>
      <c r="C115" s="973"/>
      <c r="D115" s="203"/>
      <c r="E115" s="864">
        <v>41</v>
      </c>
      <c r="F115" s="864">
        <v>0</v>
      </c>
      <c r="G115" s="864">
        <v>0</v>
      </c>
      <c r="H115" s="864">
        <v>0</v>
      </c>
      <c r="I115" s="978">
        <f>E115+F115+G115-H115</f>
        <v>41</v>
      </c>
      <c r="J115" s="864">
        <v>3.0830000000000002</v>
      </c>
      <c r="K115" s="864">
        <v>2.847</v>
      </c>
      <c r="L115" s="978">
        <f>K115-J115</f>
        <v>-0.23600000000000021</v>
      </c>
      <c r="M115" s="1117">
        <f>K115/BS!$G$30</f>
        <v>6.4593685549327514E-6</v>
      </c>
      <c r="N115" s="1117">
        <f>K115/'Note 1-5'!$G$123</f>
        <v>9.5680906415372503E-6</v>
      </c>
      <c r="O115" s="1147">
        <v>2.0000000000000002E-5</v>
      </c>
      <c r="P115" s="962"/>
      <c r="Q115" s="962"/>
    </row>
    <row r="116" spans="1:17" s="204" customFormat="1" ht="12.75" customHeight="1" thickBot="1">
      <c r="A116" s="959"/>
      <c r="B116" s="1061"/>
      <c r="C116" s="973"/>
      <c r="D116" s="203"/>
      <c r="E116" s="974"/>
      <c r="F116" s="974"/>
      <c r="G116" s="974"/>
      <c r="H116" s="974"/>
      <c r="I116" s="978"/>
      <c r="J116" s="1062">
        <f t="shared" ref="J116:O116" si="21">SUM(J114:J115)</f>
        <v>3.0830000000000002</v>
      </c>
      <c r="K116" s="1062">
        <f t="shared" si="21"/>
        <v>2.847</v>
      </c>
      <c r="L116" s="1063">
        <f t="shared" si="21"/>
        <v>-0.23600000000000021</v>
      </c>
      <c r="M116" s="1118">
        <f t="shared" si="21"/>
        <v>6.4593685549327514E-6</v>
      </c>
      <c r="N116" s="1118">
        <f t="shared" si="21"/>
        <v>9.5680906415372503E-6</v>
      </c>
      <c r="O116" s="1148">
        <f t="shared" si="21"/>
        <v>2.0000000000000002E-5</v>
      </c>
      <c r="P116" s="962"/>
      <c r="Q116" s="962"/>
    </row>
    <row r="117" spans="1:17" s="204" customFormat="1" ht="12.75" customHeight="1" thickTop="1">
      <c r="A117" s="959"/>
      <c r="B117" s="1061"/>
      <c r="C117" s="973"/>
      <c r="D117" s="203"/>
      <c r="E117" s="974"/>
      <c r="F117" s="974"/>
      <c r="G117" s="974"/>
      <c r="H117" s="974"/>
      <c r="I117" s="978"/>
      <c r="J117" s="977"/>
      <c r="K117" s="977"/>
      <c r="L117" s="978"/>
      <c r="M117" s="980"/>
      <c r="N117" s="1117"/>
      <c r="O117" s="1120"/>
      <c r="P117" s="962"/>
      <c r="Q117" s="962"/>
    </row>
    <row r="118" spans="1:17" s="204" customFormat="1" ht="12.75" customHeight="1">
      <c r="A118" s="959"/>
      <c r="B118" s="960"/>
      <c r="C118" s="960"/>
      <c r="D118" s="992"/>
      <c r="E118" s="961"/>
      <c r="F118" s="961"/>
      <c r="G118" s="961"/>
      <c r="H118" s="961"/>
      <c r="I118" s="961"/>
      <c r="J118" s="976"/>
      <c r="K118" s="976"/>
      <c r="L118" s="976"/>
      <c r="M118" s="976"/>
      <c r="N118" s="976"/>
      <c r="O118" s="976"/>
    </row>
    <row r="119" spans="1:17" s="204" customFormat="1" ht="12.75" customHeight="1" thickBot="1">
      <c r="A119" s="959"/>
      <c r="B119" s="985" t="s">
        <v>676</v>
      </c>
      <c r="C119" s="960"/>
      <c r="D119" s="992"/>
      <c r="E119" s="961"/>
      <c r="F119" s="961"/>
      <c r="G119" s="961"/>
      <c r="H119" s="961"/>
      <c r="I119" s="961"/>
      <c r="J119" s="984">
        <f>+J116+J111+J101+J94+J89+J82+J76+J72+J67+J60+J56+J51+J40+J35+J23+J16</f>
        <v>312213.15099999995</v>
      </c>
      <c r="K119" s="984">
        <f>+K116+K111+K101+K94+K89+K82+K76+K72+K67+K60+K56+K51+K40+K35+K23+K16</f>
        <v>297050.77400000003</v>
      </c>
      <c r="L119" s="984">
        <f>+L116+L111+L101+L94+L89+L82+L76+L72+L67+L60+L56+L51+L40+L35+L23+L16</f>
        <v>-15162.377000000006</v>
      </c>
      <c r="M119" s="976"/>
      <c r="N119" s="976"/>
      <c r="O119" s="976"/>
    </row>
    <row r="120" spans="1:17" s="204" customFormat="1" ht="15" thickTop="1">
      <c r="B120" s="101"/>
      <c r="C120" s="867"/>
      <c r="D120" s="867"/>
      <c r="E120" s="864"/>
      <c r="F120" s="864"/>
      <c r="G120" s="864"/>
      <c r="H120" s="864"/>
      <c r="I120" s="864"/>
      <c r="J120" s="864"/>
      <c r="K120" s="864"/>
      <c r="L120" s="864"/>
      <c r="M120" s="963"/>
      <c r="N120" s="963"/>
      <c r="O120" s="885"/>
    </row>
    <row r="121" spans="1:17" s="204" customFormat="1" ht="13.8" thickBot="1">
      <c r="B121" s="886" t="s">
        <v>677</v>
      </c>
      <c r="C121" s="201"/>
      <c r="D121" s="889"/>
      <c r="E121" s="201"/>
      <c r="F121" s="201"/>
      <c r="G121" s="201"/>
      <c r="H121" s="201"/>
      <c r="I121" s="201"/>
      <c r="J121" s="732">
        <v>255585</v>
      </c>
      <c r="K121" s="732">
        <v>272708</v>
      </c>
      <c r="L121" s="732">
        <v>17123</v>
      </c>
      <c r="M121" s="965"/>
      <c r="N121" s="1126"/>
      <c r="O121" s="626"/>
    </row>
    <row r="122" spans="1:17" ht="13.8" thickTop="1">
      <c r="M122" s="966"/>
      <c r="N122" s="966"/>
      <c r="O122" s="698"/>
    </row>
    <row r="123" spans="1:17" s="204" customFormat="1" ht="12.75" customHeight="1">
      <c r="A123" s="431"/>
      <c r="B123" s="433" t="s">
        <v>640</v>
      </c>
      <c r="C123" s="201"/>
      <c r="D123" s="889"/>
      <c r="E123" s="201"/>
      <c r="F123" s="201"/>
      <c r="G123" s="201"/>
      <c r="H123" s="201"/>
      <c r="I123" s="201"/>
      <c r="L123" s="210"/>
      <c r="M123" s="967"/>
      <c r="N123" s="967"/>
      <c r="O123" s="627"/>
    </row>
    <row r="124" spans="1:17" s="204" customFormat="1" ht="6" customHeight="1">
      <c r="A124" s="431"/>
      <c r="B124" s="433"/>
      <c r="C124" s="201"/>
      <c r="D124" s="889"/>
      <c r="E124" s="201"/>
      <c r="F124" s="201"/>
      <c r="G124" s="201"/>
      <c r="H124" s="201"/>
      <c r="I124" s="201"/>
      <c r="L124" s="210"/>
      <c r="M124" s="967"/>
      <c r="N124" s="967"/>
      <c r="O124" s="627"/>
    </row>
    <row r="125" spans="1:17" ht="12.75" customHeight="1">
      <c r="A125" s="631"/>
      <c r="B125" s="1343" t="s">
        <v>736</v>
      </c>
      <c r="C125" s="1343"/>
      <c r="D125" s="1343"/>
      <c r="E125" s="1343"/>
      <c r="F125" s="1343"/>
      <c r="G125" s="1343"/>
      <c r="H125" s="1343"/>
      <c r="I125" s="1343"/>
      <c r="J125" s="1343"/>
      <c r="K125" s="1343"/>
      <c r="L125" s="1343"/>
      <c r="M125" s="1343"/>
      <c r="N125" s="1343"/>
      <c r="O125" s="1343"/>
    </row>
    <row r="126" spans="1:17" ht="12.75" customHeight="1">
      <c r="B126" s="1343"/>
      <c r="C126" s="1343"/>
      <c r="D126" s="1343"/>
      <c r="E126" s="1343"/>
      <c r="F126" s="1343"/>
      <c r="G126" s="1343"/>
      <c r="H126" s="1343"/>
      <c r="I126" s="1343"/>
      <c r="J126" s="1343"/>
      <c r="K126" s="1343"/>
      <c r="L126" s="1343"/>
      <c r="M126" s="1343"/>
      <c r="N126" s="1343"/>
      <c r="O126" s="1343"/>
    </row>
    <row r="127" spans="1:17" ht="12.75" customHeight="1">
      <c r="B127" s="1146"/>
      <c r="C127" s="1146"/>
      <c r="D127" s="1146"/>
      <c r="E127" s="1146"/>
      <c r="F127" s="1146"/>
      <c r="G127" s="1146"/>
      <c r="H127" s="1146"/>
      <c r="I127" s="1146"/>
      <c r="J127" s="1146"/>
      <c r="K127" s="1146"/>
      <c r="L127" s="1146"/>
      <c r="M127" s="1146"/>
      <c r="N127" s="1146"/>
      <c r="O127" s="1146"/>
    </row>
    <row r="128" spans="1:17" ht="12.75" customHeight="1">
      <c r="B128" s="1342" t="s">
        <v>737</v>
      </c>
      <c r="C128" s="1342"/>
      <c r="D128" s="1342"/>
      <c r="E128" s="1342"/>
      <c r="F128" s="1342"/>
      <c r="G128" s="1342"/>
      <c r="H128" s="1342"/>
      <c r="I128" s="1342"/>
      <c r="J128" s="1342"/>
      <c r="K128" s="1342"/>
      <c r="L128" s="1342"/>
      <c r="M128" s="1342"/>
      <c r="N128" s="1342"/>
      <c r="O128" s="1342"/>
    </row>
    <row r="129" spans="2:15" ht="12.75" customHeight="1">
      <c r="B129" s="1146"/>
      <c r="C129" s="1146"/>
      <c r="D129" s="1146"/>
      <c r="E129" s="1146"/>
      <c r="F129" s="1146"/>
      <c r="G129" s="1146"/>
      <c r="H129" s="1146"/>
      <c r="I129" s="1146"/>
      <c r="J129" s="1146"/>
      <c r="K129" s="1146"/>
      <c r="L129" s="1146"/>
      <c r="M129" s="1146"/>
      <c r="N129" s="1146"/>
      <c r="O129" s="1146"/>
    </row>
    <row r="130" spans="2:15" ht="12.75" customHeight="1">
      <c r="B130" s="321"/>
    </row>
    <row r="131" spans="2:15" ht="12.75" customHeight="1">
      <c r="B131" s="321"/>
      <c r="J131" s="1065" t="e">
        <f>#REF!/1000</f>
        <v>#REF!</v>
      </c>
      <c r="K131" s="1065" t="e">
        <f>#REF!/1000</f>
        <v>#REF!</v>
      </c>
      <c r="L131" s="320"/>
    </row>
    <row r="132" spans="2:15" ht="12.75" customHeight="1">
      <c r="B132" s="321"/>
    </row>
    <row r="133" spans="2:15" ht="12.75" customHeight="1">
      <c r="B133" s="321"/>
      <c r="J133" s="634" t="s">
        <v>383</v>
      </c>
      <c r="K133" s="634"/>
      <c r="L133" s="635" t="s">
        <v>382</v>
      </c>
      <c r="M133" s="969"/>
      <c r="N133" s="969"/>
      <c r="O133" s="634"/>
    </row>
    <row r="134" spans="2:15" ht="12.75" customHeight="1">
      <c r="B134" s="321"/>
      <c r="J134" s="634">
        <v>100000</v>
      </c>
      <c r="K134" s="634"/>
      <c r="L134" s="635">
        <v>35000</v>
      </c>
      <c r="M134" s="969"/>
      <c r="N134" s="969"/>
      <c r="O134" s="634"/>
    </row>
    <row r="135" spans="2:15" ht="12.75" customHeight="1">
      <c r="B135" s="321"/>
      <c r="J135" s="632">
        <v>42.5</v>
      </c>
      <c r="K135" s="636">
        <f>J135*J134</f>
        <v>4250000</v>
      </c>
      <c r="L135" s="633">
        <v>162.79</v>
      </c>
      <c r="M135" s="970"/>
      <c r="N135" s="970">
        <f>L135*L134</f>
        <v>5697650</v>
      </c>
      <c r="O135" s="632">
        <f>N135+K135</f>
        <v>9947650</v>
      </c>
    </row>
    <row r="136" spans="2:15" ht="12.75" customHeight="1">
      <c r="B136" s="321"/>
      <c r="I136" s="386"/>
      <c r="J136" s="386"/>
      <c r="K136" s="386"/>
      <c r="L136" s="386"/>
    </row>
    <row r="137" spans="2:15" ht="12.75" customHeight="1">
      <c r="B137" s="321"/>
      <c r="I137" s="386"/>
      <c r="J137" s="386"/>
      <c r="K137" s="386"/>
      <c r="L137" s="386"/>
    </row>
    <row r="138" spans="2:15" ht="12.75" customHeight="1">
      <c r="B138" s="321"/>
    </row>
  </sheetData>
  <mergeCells count="19">
    <mergeCell ref="E9:I9"/>
    <mergeCell ref="I3:I8"/>
    <mergeCell ref="B3:C8"/>
    <mergeCell ref="E3:E8"/>
    <mergeCell ref="D3:D8"/>
    <mergeCell ref="F3:F8"/>
    <mergeCell ref="B128:O128"/>
    <mergeCell ref="B125:O126"/>
    <mergeCell ref="J4:J8"/>
    <mergeCell ref="K4:K8"/>
    <mergeCell ref="L4:L8"/>
    <mergeCell ref="M9:O9"/>
    <mergeCell ref="M3:M8"/>
    <mergeCell ref="N3:N8"/>
    <mergeCell ref="O3:O8"/>
    <mergeCell ref="J9:L9"/>
    <mergeCell ref="G3:G8"/>
    <mergeCell ref="H3:H8"/>
    <mergeCell ref="J3:L3"/>
  </mergeCells>
  <pageMargins left="0.4" right="0.21" top="0.56000000000000005" bottom="0.31" header="0" footer="0.24"/>
  <pageSetup scale="58" fitToHeight="2" orientation="landscape" r:id="rId1"/>
  <headerFooter alignWithMargins="0"/>
  <rowBreaks count="1" manualBreakCount="1">
    <brk id="114"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S101"/>
  <sheetViews>
    <sheetView showGridLines="0" view="pageBreakPreview" zoomScale="90" zoomScaleNormal="80" zoomScaleSheetLayoutView="90" workbookViewId="0">
      <selection activeCell="K64" sqref="K64"/>
    </sheetView>
  </sheetViews>
  <sheetFormatPr defaultColWidth="8.109375" defaultRowHeight="13.2"/>
  <cols>
    <col min="1" max="1" width="5.88671875" style="299" customWidth="1"/>
    <col min="2" max="2" width="26.44140625" style="299" customWidth="1"/>
    <col min="3" max="3" width="11.109375" style="300" customWidth="1"/>
    <col min="4" max="4" width="12.6640625" style="299" customWidth="1"/>
    <col min="5" max="5" width="14" style="299" customWidth="1"/>
    <col min="6" max="6" width="13.109375" style="299" customWidth="1"/>
    <col min="7" max="7" width="12.5546875" style="299" customWidth="1"/>
    <col min="8" max="8" width="13" style="299" customWidth="1"/>
    <col min="9" max="9" width="9.44140625" style="299" customWidth="1"/>
    <col min="10" max="10" width="9.88671875" style="299" customWidth="1"/>
    <col min="11" max="11" width="14.5546875" style="299" customWidth="1"/>
    <col min="12" max="12" width="11.88671875" style="299" customWidth="1"/>
    <col min="13" max="13" width="4.109375" style="299" customWidth="1"/>
    <col min="14" max="14" width="11.33203125" style="299" customWidth="1"/>
    <col min="15" max="15" width="16.33203125" style="299" customWidth="1"/>
    <col min="16" max="16" width="16.88671875" style="299" customWidth="1"/>
    <col min="17" max="17" width="14.44140625" style="299" customWidth="1"/>
    <col min="18" max="16384" width="8.109375" style="299"/>
  </cols>
  <sheetData>
    <row r="1" spans="1:227" s="204" customFormat="1" ht="15" customHeight="1">
      <c r="B1" s="201"/>
      <c r="C1" s="201"/>
      <c r="D1" s="201"/>
      <c r="E1" s="201"/>
      <c r="F1" s="201"/>
      <c r="G1" s="201"/>
      <c r="H1" s="201"/>
      <c r="L1" s="98"/>
      <c r="M1" s="98"/>
      <c r="N1" s="291"/>
      <c r="O1" s="292"/>
      <c r="P1" s="292"/>
      <c r="Q1" s="292"/>
    </row>
    <row r="2" spans="1:227" s="294" customFormat="1">
      <c r="A2" s="102">
        <f>+'Note 5.1'!A1+0.1</f>
        <v>7.1999999999999993</v>
      </c>
      <c r="B2" s="103" t="s">
        <v>210</v>
      </c>
      <c r="C2" s="293"/>
      <c r="O2" s="295"/>
      <c r="P2" s="295"/>
      <c r="Q2" s="295"/>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c r="CM2" s="296"/>
      <c r="CN2" s="296"/>
      <c r="CO2" s="296"/>
      <c r="CP2" s="296"/>
      <c r="CQ2" s="296"/>
      <c r="CR2" s="296"/>
      <c r="CS2" s="296"/>
      <c r="CT2" s="296"/>
      <c r="CU2" s="296"/>
      <c r="CV2" s="296"/>
      <c r="CW2" s="296"/>
      <c r="CX2" s="296"/>
      <c r="CY2" s="296"/>
      <c r="CZ2" s="296"/>
      <c r="DA2" s="296"/>
      <c r="DB2" s="296"/>
      <c r="DC2" s="296"/>
      <c r="DD2" s="296"/>
      <c r="DE2" s="296"/>
      <c r="DF2" s="296"/>
      <c r="DG2" s="296"/>
      <c r="DH2" s="296"/>
      <c r="DI2" s="296"/>
      <c r="DJ2" s="296"/>
      <c r="DK2" s="296"/>
      <c r="DL2" s="296"/>
      <c r="DM2" s="296"/>
      <c r="DN2" s="296"/>
      <c r="DO2" s="296"/>
      <c r="DP2" s="296"/>
      <c r="DQ2" s="296"/>
      <c r="DR2" s="296"/>
      <c r="DS2" s="296"/>
      <c r="DT2" s="296"/>
      <c r="DU2" s="296"/>
      <c r="DV2" s="296"/>
      <c r="DW2" s="296"/>
      <c r="DX2" s="296"/>
      <c r="DY2" s="296"/>
      <c r="DZ2" s="296"/>
      <c r="EA2" s="296"/>
      <c r="EB2" s="296"/>
      <c r="EC2" s="296"/>
      <c r="ED2" s="296"/>
      <c r="EE2" s="296"/>
      <c r="EF2" s="296"/>
      <c r="EG2" s="296"/>
      <c r="EH2" s="296"/>
      <c r="EI2" s="296"/>
      <c r="EJ2" s="296"/>
      <c r="EK2" s="296"/>
      <c r="EL2" s="296"/>
      <c r="EM2" s="296"/>
      <c r="EN2" s="296"/>
      <c r="EO2" s="296"/>
      <c r="EP2" s="296"/>
      <c r="EQ2" s="296"/>
      <c r="ER2" s="296"/>
      <c r="ES2" s="296"/>
      <c r="ET2" s="296"/>
      <c r="EU2" s="296"/>
      <c r="EV2" s="296"/>
      <c r="EW2" s="296"/>
      <c r="EX2" s="296"/>
      <c r="EY2" s="296"/>
      <c r="EZ2" s="296"/>
      <c r="FA2" s="296"/>
      <c r="FB2" s="296"/>
      <c r="FC2" s="296"/>
      <c r="FD2" s="296"/>
      <c r="FE2" s="296"/>
      <c r="FF2" s="296"/>
      <c r="FG2" s="296"/>
      <c r="FH2" s="296"/>
      <c r="FI2" s="296"/>
      <c r="FJ2" s="296"/>
      <c r="FK2" s="296"/>
      <c r="FL2" s="296"/>
      <c r="FM2" s="296"/>
      <c r="FN2" s="296"/>
      <c r="FO2" s="296"/>
      <c r="FP2" s="296"/>
      <c r="FQ2" s="296"/>
      <c r="FR2" s="296"/>
      <c r="FS2" s="296"/>
      <c r="FT2" s="296"/>
      <c r="FU2" s="296"/>
      <c r="FV2" s="296"/>
      <c r="FW2" s="296"/>
      <c r="FX2" s="296"/>
      <c r="FY2" s="296"/>
      <c r="FZ2" s="296"/>
      <c r="GA2" s="296"/>
      <c r="GB2" s="296"/>
      <c r="GC2" s="296"/>
      <c r="GD2" s="296"/>
      <c r="GE2" s="296"/>
      <c r="GF2" s="296"/>
      <c r="GG2" s="296"/>
      <c r="GH2" s="296"/>
      <c r="GI2" s="296"/>
      <c r="GJ2" s="296"/>
      <c r="GK2" s="296"/>
      <c r="GL2" s="296"/>
      <c r="GM2" s="296"/>
      <c r="GN2" s="296"/>
      <c r="GO2" s="296"/>
      <c r="GP2" s="296"/>
      <c r="GQ2" s="296"/>
      <c r="GR2" s="296"/>
      <c r="GS2" s="296"/>
      <c r="GT2" s="296"/>
      <c r="GU2" s="296"/>
      <c r="GV2" s="296"/>
      <c r="GW2" s="296"/>
      <c r="GX2" s="296"/>
      <c r="GY2" s="296"/>
      <c r="GZ2" s="296"/>
      <c r="HA2" s="296"/>
      <c r="HB2" s="296"/>
      <c r="HC2" s="296"/>
      <c r="HD2" s="296"/>
      <c r="HE2" s="296"/>
      <c r="HF2" s="296"/>
      <c r="HG2" s="296"/>
      <c r="HH2" s="296"/>
      <c r="HI2" s="296"/>
      <c r="HJ2" s="296"/>
      <c r="HK2" s="296"/>
      <c r="HL2" s="296"/>
      <c r="HM2" s="296"/>
      <c r="HN2" s="296"/>
      <c r="HO2" s="296"/>
      <c r="HP2" s="296"/>
      <c r="HQ2" s="296"/>
      <c r="HR2" s="296"/>
      <c r="HS2" s="296"/>
    </row>
    <row r="3" spans="1:227" s="294" customFormat="1" ht="17.25" customHeight="1">
      <c r="C3" s="293"/>
      <c r="O3" s="295"/>
      <c r="P3" s="295"/>
      <c r="Q3" s="295"/>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296"/>
      <c r="CO3" s="296"/>
      <c r="CP3" s="296"/>
      <c r="CQ3" s="296"/>
      <c r="CR3" s="296"/>
      <c r="CS3" s="296"/>
      <c r="CT3" s="296"/>
      <c r="CU3" s="296"/>
      <c r="CV3" s="296"/>
      <c r="CW3" s="296"/>
      <c r="CX3" s="296"/>
      <c r="CY3" s="296"/>
      <c r="CZ3" s="296"/>
      <c r="DA3" s="296"/>
      <c r="DB3" s="296"/>
      <c r="DC3" s="296"/>
      <c r="DD3" s="296"/>
      <c r="DE3" s="296"/>
      <c r="DF3" s="296"/>
      <c r="DG3" s="296"/>
      <c r="DH3" s="296"/>
      <c r="DI3" s="296"/>
      <c r="DJ3" s="296"/>
      <c r="DK3" s="296"/>
      <c r="DL3" s="296"/>
      <c r="DM3" s="296"/>
      <c r="DN3" s="296"/>
      <c r="DO3" s="296"/>
      <c r="DP3" s="296"/>
      <c r="DQ3" s="296"/>
      <c r="DR3" s="296"/>
      <c r="DS3" s="296"/>
      <c r="DT3" s="296"/>
      <c r="DU3" s="296"/>
      <c r="DV3" s="296"/>
      <c r="DW3" s="296"/>
      <c r="DX3" s="296"/>
      <c r="DY3" s="296"/>
      <c r="DZ3" s="296"/>
      <c r="EA3" s="296"/>
      <c r="EB3" s="296"/>
      <c r="EC3" s="296"/>
      <c r="ED3" s="296"/>
      <c r="EE3" s="296"/>
      <c r="EF3" s="296"/>
      <c r="EG3" s="296"/>
      <c r="EH3" s="296"/>
      <c r="EI3" s="296"/>
      <c r="EJ3" s="296"/>
      <c r="EK3" s="296"/>
      <c r="EL3" s="296"/>
      <c r="EM3" s="296"/>
      <c r="EN3" s="296"/>
      <c r="EO3" s="296"/>
      <c r="EP3" s="296"/>
      <c r="EQ3" s="296"/>
      <c r="ER3" s="296"/>
      <c r="ES3" s="296"/>
      <c r="ET3" s="296"/>
      <c r="EU3" s="296"/>
      <c r="EV3" s="296"/>
      <c r="EW3" s="296"/>
      <c r="EX3" s="296"/>
      <c r="EY3" s="296"/>
      <c r="EZ3" s="296"/>
      <c r="FA3" s="296"/>
      <c r="FB3" s="296"/>
      <c r="FC3" s="296"/>
      <c r="FD3" s="296"/>
      <c r="FE3" s="296"/>
      <c r="FF3" s="296"/>
      <c r="FG3" s="296"/>
      <c r="FH3" s="296"/>
      <c r="FI3" s="296"/>
      <c r="FJ3" s="296"/>
      <c r="FK3" s="296"/>
      <c r="FL3" s="296"/>
      <c r="FM3" s="296"/>
      <c r="FN3" s="296"/>
      <c r="FO3" s="296"/>
      <c r="FP3" s="296"/>
      <c r="FQ3" s="296"/>
      <c r="FR3" s="296"/>
      <c r="FS3" s="296"/>
      <c r="FT3" s="296"/>
      <c r="FU3" s="296"/>
      <c r="FV3" s="296"/>
      <c r="FW3" s="296"/>
      <c r="FX3" s="296"/>
      <c r="FY3" s="296"/>
      <c r="FZ3" s="296"/>
      <c r="GA3" s="296"/>
      <c r="GB3" s="296"/>
      <c r="GC3" s="296"/>
      <c r="GD3" s="296"/>
      <c r="GE3" s="296"/>
      <c r="GF3" s="296"/>
      <c r="GG3" s="296"/>
      <c r="GH3" s="296"/>
      <c r="GI3" s="296"/>
      <c r="GJ3" s="296"/>
      <c r="GK3" s="296"/>
      <c r="GL3" s="296"/>
      <c r="GM3" s="296"/>
      <c r="GN3" s="296"/>
      <c r="GO3" s="296"/>
      <c r="GP3" s="296"/>
      <c r="GQ3" s="296"/>
      <c r="GR3" s="296"/>
      <c r="GS3" s="296"/>
      <c r="GT3" s="296"/>
      <c r="GU3" s="296"/>
      <c r="GV3" s="296"/>
      <c r="GW3" s="296"/>
      <c r="GX3" s="296"/>
      <c r="GY3" s="296"/>
      <c r="GZ3" s="296"/>
      <c r="HA3" s="296"/>
      <c r="HB3" s="296"/>
      <c r="HC3" s="296"/>
      <c r="HD3" s="296"/>
      <c r="HE3" s="296"/>
      <c r="HF3" s="296"/>
      <c r="HG3" s="296"/>
      <c r="HH3" s="296"/>
      <c r="HI3" s="296"/>
      <c r="HJ3" s="296"/>
      <c r="HK3" s="296"/>
      <c r="HL3" s="296"/>
      <c r="HM3" s="296"/>
      <c r="HN3" s="296"/>
      <c r="HO3" s="296"/>
      <c r="HP3" s="296"/>
      <c r="HQ3" s="296"/>
      <c r="HR3" s="296"/>
      <c r="HS3" s="296"/>
    </row>
    <row r="4" spans="1:227" s="297" customFormat="1" ht="15.75" customHeight="1">
      <c r="B4" s="1367" t="s">
        <v>537</v>
      </c>
      <c r="C4" s="1369" t="s">
        <v>538</v>
      </c>
      <c r="D4" s="1371" t="s">
        <v>325</v>
      </c>
      <c r="E4" s="1372"/>
      <c r="F4" s="1372"/>
      <c r="G4" s="1372"/>
      <c r="H4" s="1373"/>
      <c r="I4" s="1371" t="s">
        <v>675</v>
      </c>
      <c r="J4" s="1372"/>
      <c r="K4" s="1373"/>
      <c r="L4" s="1374" t="s">
        <v>212</v>
      </c>
      <c r="M4" s="1376" t="s">
        <v>213</v>
      </c>
      <c r="N4" s="1377"/>
      <c r="O4" s="298"/>
    </row>
    <row r="5" spans="1:227" s="297" customFormat="1" ht="58.5" customHeight="1">
      <c r="B5" s="1368"/>
      <c r="C5" s="1370"/>
      <c r="D5" s="104" t="s">
        <v>674</v>
      </c>
      <c r="E5" s="104" t="s">
        <v>214</v>
      </c>
      <c r="F5" s="104" t="s">
        <v>215</v>
      </c>
      <c r="G5" s="104" t="s">
        <v>216</v>
      </c>
      <c r="H5" s="104" t="s">
        <v>675</v>
      </c>
      <c r="I5" s="104" t="s">
        <v>217</v>
      </c>
      <c r="J5" s="104" t="s">
        <v>218</v>
      </c>
      <c r="K5" s="104" t="s">
        <v>219</v>
      </c>
      <c r="L5" s="1375"/>
      <c r="M5" s="1378"/>
      <c r="N5" s="1379"/>
      <c r="O5" s="298"/>
      <c r="Q5" s="880"/>
    </row>
    <row r="6" spans="1:227" ht="17.25" customHeight="1">
      <c r="D6" s="1398" t="s">
        <v>477</v>
      </c>
      <c r="E6" s="1398"/>
      <c r="F6" s="1398"/>
      <c r="G6" s="1398"/>
      <c r="H6" s="1398"/>
      <c r="I6" s="1380" t="s">
        <v>220</v>
      </c>
      <c r="J6" s="1381"/>
      <c r="K6" s="1381"/>
      <c r="L6" s="1382" t="s">
        <v>221</v>
      </c>
      <c r="M6" s="1382"/>
      <c r="N6" s="1382"/>
      <c r="O6" s="301"/>
      <c r="P6" s="99" t="s">
        <v>206</v>
      </c>
      <c r="Q6" s="302">
        <f>+BS!G30</f>
        <v>440755.15676000004</v>
      </c>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294"/>
      <c r="HL6" s="294"/>
      <c r="HM6" s="294"/>
      <c r="HN6" s="294"/>
      <c r="HO6" s="294"/>
      <c r="HP6" s="294"/>
      <c r="HQ6" s="294"/>
      <c r="HR6" s="294"/>
      <c r="HS6" s="294"/>
    </row>
    <row r="7" spans="1:227" ht="17.25" customHeight="1">
      <c r="B7" s="1107" t="s">
        <v>564</v>
      </c>
      <c r="D7" s="207"/>
      <c r="E7" s="207"/>
      <c r="F7" s="207"/>
      <c r="H7" s="207"/>
      <c r="I7" s="105"/>
      <c r="J7" s="303"/>
      <c r="K7" s="303"/>
      <c r="L7" s="106"/>
      <c r="M7" s="106"/>
      <c r="N7" s="106"/>
      <c r="O7" s="301"/>
      <c r="P7" s="100" t="s">
        <v>207</v>
      </c>
      <c r="Q7" s="304" t="e">
        <f>+'Note 1-5'!#REF!</f>
        <v>#REF!</v>
      </c>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c r="GK7" s="294"/>
      <c r="GL7" s="294"/>
      <c r="GM7" s="294"/>
      <c r="GN7" s="294"/>
      <c r="GO7" s="294"/>
      <c r="GP7" s="294"/>
      <c r="GQ7" s="294"/>
      <c r="GR7" s="294"/>
      <c r="GS7" s="294"/>
      <c r="GT7" s="294"/>
      <c r="GU7" s="294"/>
      <c r="GV7" s="294"/>
      <c r="GW7" s="294"/>
      <c r="GX7" s="294"/>
      <c r="GY7" s="294"/>
      <c r="GZ7" s="294"/>
      <c r="HA7" s="294"/>
      <c r="HB7" s="294"/>
      <c r="HC7" s="294"/>
      <c r="HD7" s="294"/>
      <c r="HE7" s="294"/>
      <c r="HF7" s="294"/>
      <c r="HG7" s="294"/>
      <c r="HH7" s="294"/>
      <c r="HI7" s="294"/>
      <c r="HJ7" s="294"/>
      <c r="HK7" s="294"/>
      <c r="HL7" s="294"/>
      <c r="HM7" s="294"/>
      <c r="HN7" s="294"/>
      <c r="HO7" s="294"/>
      <c r="HP7" s="294"/>
      <c r="HQ7" s="294"/>
      <c r="HR7" s="294"/>
      <c r="HS7" s="294"/>
    </row>
    <row r="8" spans="1:227" ht="17.25" customHeight="1">
      <c r="B8" s="1107" t="s">
        <v>536</v>
      </c>
      <c r="D8" s="207"/>
      <c r="E8" s="207"/>
      <c r="F8" s="207"/>
      <c r="H8" s="207"/>
      <c r="I8" s="105"/>
      <c r="J8" s="303"/>
      <c r="K8" s="303"/>
      <c r="L8" s="106"/>
      <c r="M8" s="106"/>
      <c r="N8" s="106"/>
      <c r="O8" s="301"/>
      <c r="P8" s="1017"/>
      <c r="Q8" s="288"/>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c r="CN8" s="294"/>
      <c r="CO8" s="294"/>
      <c r="CP8" s="294"/>
      <c r="CQ8" s="294"/>
      <c r="CR8" s="294"/>
      <c r="CS8" s="294"/>
      <c r="CT8" s="294"/>
      <c r="CU8" s="294"/>
      <c r="CV8" s="294"/>
      <c r="CW8" s="294"/>
      <c r="CX8" s="294"/>
      <c r="CY8" s="294"/>
      <c r="CZ8" s="294"/>
      <c r="DA8" s="294"/>
      <c r="DB8" s="294"/>
      <c r="DC8" s="294"/>
      <c r="DD8" s="294"/>
      <c r="DE8" s="294"/>
      <c r="DF8" s="294"/>
      <c r="DG8" s="294"/>
      <c r="DH8" s="294"/>
      <c r="DI8" s="294"/>
      <c r="DJ8" s="294"/>
      <c r="DK8" s="294"/>
      <c r="DL8" s="294"/>
      <c r="DM8" s="294"/>
      <c r="DN8" s="294"/>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294"/>
      <c r="EN8" s="294"/>
      <c r="EO8" s="294"/>
      <c r="EP8" s="294"/>
      <c r="EQ8" s="294"/>
      <c r="ER8" s="294"/>
      <c r="ES8" s="294"/>
      <c r="ET8" s="294"/>
      <c r="EU8" s="294"/>
      <c r="EV8" s="294"/>
      <c r="EW8" s="294"/>
      <c r="EX8" s="294"/>
      <c r="EY8" s="294"/>
      <c r="EZ8" s="294"/>
      <c r="FA8" s="294"/>
      <c r="FB8" s="294"/>
      <c r="FC8" s="294"/>
      <c r="FD8" s="294"/>
      <c r="FE8" s="294"/>
      <c r="FF8" s="294"/>
      <c r="FG8" s="294"/>
      <c r="FH8" s="294"/>
      <c r="FI8" s="294"/>
      <c r="FJ8" s="294"/>
      <c r="FK8" s="294"/>
      <c r="FL8" s="294"/>
      <c r="FM8" s="294"/>
      <c r="FN8" s="294"/>
      <c r="FO8" s="294"/>
      <c r="FP8" s="294"/>
      <c r="FQ8" s="294"/>
      <c r="FR8" s="294"/>
      <c r="FS8" s="294"/>
      <c r="FT8" s="294"/>
      <c r="FU8" s="294"/>
      <c r="FV8" s="294"/>
      <c r="FW8" s="294"/>
      <c r="FX8" s="294"/>
      <c r="FY8" s="294"/>
      <c r="FZ8" s="294"/>
      <c r="GA8" s="294"/>
      <c r="GB8" s="294"/>
      <c r="GC8" s="294"/>
      <c r="GD8" s="294"/>
      <c r="GE8" s="294"/>
      <c r="GF8" s="294"/>
      <c r="GG8" s="294"/>
      <c r="GH8" s="294"/>
      <c r="GI8" s="294"/>
      <c r="GJ8" s="294"/>
      <c r="GK8" s="294"/>
      <c r="GL8" s="294"/>
      <c r="GM8" s="294"/>
      <c r="GN8" s="294"/>
      <c r="GO8" s="294"/>
      <c r="GP8" s="294"/>
      <c r="GQ8" s="294"/>
      <c r="GR8" s="294"/>
      <c r="GS8" s="294"/>
      <c r="GT8" s="294"/>
      <c r="GU8" s="294"/>
      <c r="GV8" s="294"/>
      <c r="GW8" s="294"/>
      <c r="GX8" s="294"/>
      <c r="GY8" s="294"/>
      <c r="GZ8" s="294"/>
      <c r="HA8" s="294"/>
      <c r="HB8" s="294"/>
      <c r="HC8" s="294"/>
      <c r="HD8" s="294"/>
      <c r="HE8" s="294"/>
      <c r="HF8" s="294"/>
      <c r="HG8" s="294"/>
      <c r="HH8" s="294"/>
      <c r="HI8" s="294"/>
      <c r="HJ8" s="294"/>
      <c r="HK8" s="294"/>
      <c r="HL8" s="294"/>
      <c r="HM8" s="294"/>
      <c r="HN8" s="294"/>
      <c r="HO8" s="294"/>
      <c r="HP8" s="294"/>
      <c r="HQ8" s="294"/>
      <c r="HR8" s="294"/>
      <c r="HS8" s="294"/>
    </row>
    <row r="9" spans="1:227" ht="17.25" customHeight="1">
      <c r="B9" s="1107"/>
      <c r="D9" s="207"/>
      <c r="E9" s="207"/>
      <c r="F9" s="207"/>
      <c r="H9" s="207"/>
      <c r="I9" s="105"/>
      <c r="J9" s="303"/>
      <c r="K9" s="303"/>
      <c r="L9" s="106"/>
      <c r="M9" s="106"/>
      <c r="N9" s="106"/>
      <c r="O9" s="301"/>
      <c r="P9" s="1017"/>
      <c r="Q9" s="288"/>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94"/>
      <c r="GG9" s="294"/>
      <c r="GH9" s="294"/>
      <c r="GI9" s="294"/>
      <c r="GJ9" s="294"/>
      <c r="GK9" s="294"/>
      <c r="GL9" s="294"/>
      <c r="GM9" s="294"/>
      <c r="GN9" s="294"/>
      <c r="GO9" s="294"/>
      <c r="GP9" s="294"/>
      <c r="GQ9" s="294"/>
      <c r="GR9" s="294"/>
      <c r="GS9" s="294"/>
      <c r="GT9" s="294"/>
      <c r="GU9" s="294"/>
      <c r="GV9" s="294"/>
      <c r="GW9" s="294"/>
      <c r="GX9" s="294"/>
      <c r="GY9" s="294"/>
      <c r="GZ9" s="294"/>
      <c r="HA9" s="294"/>
      <c r="HB9" s="294"/>
      <c r="HC9" s="294"/>
      <c r="HD9" s="294"/>
      <c r="HE9" s="294"/>
      <c r="HF9" s="294"/>
      <c r="HG9" s="294"/>
      <c r="HH9" s="294"/>
      <c r="HI9" s="294"/>
      <c r="HJ9" s="294"/>
      <c r="HK9" s="294"/>
      <c r="HL9" s="294"/>
      <c r="HM9" s="294"/>
      <c r="HN9" s="294"/>
      <c r="HO9" s="294"/>
      <c r="HP9" s="294"/>
      <c r="HQ9" s="294"/>
      <c r="HR9" s="294"/>
      <c r="HS9" s="294"/>
    </row>
    <row r="10" spans="1:227" ht="17.25" customHeight="1">
      <c r="B10" s="1122">
        <v>44350</v>
      </c>
      <c r="C10" s="294" t="s">
        <v>536</v>
      </c>
      <c r="D10" s="1135">
        <v>0</v>
      </c>
      <c r="E10" s="995">
        <v>140000</v>
      </c>
      <c r="F10" s="995">
        <v>0</v>
      </c>
      <c r="G10" s="995">
        <v>140000</v>
      </c>
      <c r="H10" s="223">
        <f>+D10+E10-F10-G10</f>
        <v>0</v>
      </c>
      <c r="I10" s="995">
        <v>0</v>
      </c>
      <c r="J10" s="995">
        <v>0</v>
      </c>
      <c r="K10" s="995">
        <v>0</v>
      </c>
      <c r="L10" s="1136">
        <v>0</v>
      </c>
      <c r="M10" s="1366">
        <v>0</v>
      </c>
      <c r="N10" s="1366"/>
      <c r="O10" s="301"/>
      <c r="P10" s="1017"/>
      <c r="Q10" s="288"/>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294"/>
      <c r="CJ10" s="294"/>
      <c r="CK10" s="294"/>
      <c r="CL10" s="294"/>
      <c r="CM10" s="294"/>
      <c r="CN10" s="294"/>
      <c r="CO10" s="294"/>
      <c r="CP10" s="294"/>
      <c r="CQ10" s="294"/>
      <c r="CR10" s="294"/>
      <c r="CS10" s="294"/>
      <c r="CT10" s="294"/>
      <c r="CU10" s="294"/>
      <c r="CV10" s="294"/>
      <c r="CW10" s="294"/>
      <c r="CX10" s="294"/>
      <c r="CY10" s="294"/>
      <c r="CZ10" s="294"/>
      <c r="DA10" s="294"/>
      <c r="DB10" s="294"/>
      <c r="DC10" s="294"/>
      <c r="DD10" s="294"/>
      <c r="DE10" s="294"/>
      <c r="DF10" s="294"/>
      <c r="DG10" s="294"/>
      <c r="DH10" s="294"/>
      <c r="DI10" s="294"/>
      <c r="DJ10" s="294"/>
      <c r="DK10" s="294"/>
      <c r="DL10" s="294"/>
      <c r="DM10" s="294"/>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4"/>
      <c r="FH10" s="294"/>
      <c r="FI10" s="294"/>
      <c r="FJ10" s="294"/>
      <c r="FK10" s="294"/>
      <c r="FL10" s="294"/>
      <c r="FM10" s="294"/>
      <c r="FN10" s="294"/>
      <c r="FO10" s="294"/>
      <c r="FP10" s="294"/>
      <c r="FQ10" s="294"/>
      <c r="FR10" s="294"/>
      <c r="FS10" s="294"/>
      <c r="FT10" s="294"/>
      <c r="FU10" s="294"/>
      <c r="FV10" s="294"/>
      <c r="FW10" s="294"/>
      <c r="FX10" s="294"/>
      <c r="FY10" s="294"/>
      <c r="FZ10" s="294"/>
      <c r="GA10" s="294"/>
      <c r="GB10" s="294"/>
      <c r="GC10" s="294"/>
      <c r="GD10" s="294"/>
      <c r="GE10" s="294"/>
      <c r="GF10" s="294"/>
      <c r="GG10" s="294"/>
      <c r="GH10" s="294"/>
      <c r="GI10" s="294"/>
      <c r="GJ10" s="294"/>
      <c r="GK10" s="294"/>
      <c r="GL10" s="294"/>
      <c r="GM10" s="294"/>
      <c r="GN10" s="294"/>
      <c r="GO10" s="294"/>
      <c r="GP10" s="294"/>
      <c r="GQ10" s="294"/>
      <c r="GR10" s="294"/>
      <c r="GS10" s="294"/>
      <c r="GT10" s="294"/>
      <c r="GU10" s="294"/>
      <c r="GV10" s="294"/>
      <c r="GW10" s="294"/>
      <c r="GX10" s="294"/>
      <c r="GY10" s="294"/>
      <c r="GZ10" s="294"/>
      <c r="HA10" s="294"/>
      <c r="HB10" s="294"/>
      <c r="HC10" s="294"/>
      <c r="HD10" s="294"/>
      <c r="HE10" s="294"/>
      <c r="HF10" s="294"/>
      <c r="HG10" s="294"/>
      <c r="HH10" s="294"/>
      <c r="HI10" s="294"/>
      <c r="HJ10" s="294"/>
      <c r="HK10" s="294"/>
      <c r="HL10" s="294"/>
      <c r="HM10" s="294"/>
      <c r="HN10" s="294"/>
      <c r="HO10" s="294"/>
      <c r="HP10" s="294"/>
      <c r="HQ10" s="294"/>
      <c r="HR10" s="294"/>
      <c r="HS10" s="294"/>
    </row>
    <row r="11" spans="1:227" ht="17.25" customHeight="1">
      <c r="B11" s="1122">
        <v>44336</v>
      </c>
      <c r="C11" s="294" t="s">
        <v>536</v>
      </c>
      <c r="D11" s="1135">
        <v>0</v>
      </c>
      <c r="E11" s="995">
        <v>150000</v>
      </c>
      <c r="F11" s="995">
        <v>150000</v>
      </c>
      <c r="G11" s="995">
        <v>0</v>
      </c>
      <c r="H11" s="223">
        <f>+D11+E11-F11-G11</f>
        <v>0</v>
      </c>
      <c r="I11" s="995">
        <v>0</v>
      </c>
      <c r="J11" s="995">
        <v>0</v>
      </c>
      <c r="K11" s="995">
        <v>0</v>
      </c>
      <c r="L11" s="1136">
        <v>0</v>
      </c>
      <c r="M11" s="1366">
        <v>0</v>
      </c>
      <c r="N11" s="1366"/>
      <c r="O11" s="301"/>
      <c r="P11" s="1017"/>
      <c r="Q11" s="288"/>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4"/>
      <c r="CI11" s="294"/>
      <c r="CJ11" s="294"/>
      <c r="CK11" s="294"/>
      <c r="CL11" s="294"/>
      <c r="CM11" s="294"/>
      <c r="CN11" s="294"/>
      <c r="CO11" s="294"/>
      <c r="CP11" s="294"/>
      <c r="CQ11" s="294"/>
      <c r="CR11" s="294"/>
      <c r="CS11" s="294"/>
      <c r="CT11" s="294"/>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4"/>
      <c r="FH11" s="294"/>
      <c r="FI11" s="294"/>
      <c r="FJ11" s="294"/>
      <c r="FK11" s="294"/>
      <c r="FL11" s="294"/>
      <c r="FM11" s="294"/>
      <c r="FN11" s="294"/>
      <c r="FO11" s="294"/>
      <c r="FP11" s="294"/>
      <c r="FQ11" s="294"/>
      <c r="FR11" s="294"/>
      <c r="FS11" s="294"/>
      <c r="FT11" s="294"/>
      <c r="FU11" s="294"/>
      <c r="FV11" s="294"/>
      <c r="FW11" s="294"/>
      <c r="FX11" s="294"/>
      <c r="FY11" s="294"/>
      <c r="FZ11" s="294"/>
      <c r="GA11" s="294"/>
      <c r="GB11" s="294"/>
      <c r="GC11" s="294"/>
      <c r="GD11" s="294"/>
      <c r="GE11" s="294"/>
      <c r="GF11" s="294"/>
      <c r="GG11" s="294"/>
      <c r="GH11" s="294"/>
      <c r="GI11" s="294"/>
      <c r="GJ11" s="294"/>
      <c r="GK11" s="294"/>
      <c r="GL11" s="294"/>
      <c r="GM11" s="294"/>
      <c r="GN11" s="294"/>
      <c r="GO11" s="294"/>
      <c r="GP11" s="294"/>
      <c r="GQ11" s="294"/>
      <c r="GR11" s="294"/>
      <c r="GS11" s="294"/>
      <c r="GT11" s="294"/>
      <c r="GU11" s="294"/>
      <c r="GV11" s="294"/>
      <c r="GW11" s="294"/>
      <c r="GX11" s="294"/>
      <c r="GY11" s="294"/>
      <c r="GZ11" s="294"/>
      <c r="HA11" s="294"/>
      <c r="HB11" s="294"/>
      <c r="HC11" s="294"/>
      <c r="HD11" s="294"/>
      <c r="HE11" s="294"/>
      <c r="HF11" s="294"/>
      <c r="HG11" s="294"/>
      <c r="HH11" s="294"/>
      <c r="HI11" s="294"/>
      <c r="HJ11" s="294"/>
      <c r="HK11" s="294"/>
      <c r="HL11" s="294"/>
      <c r="HM11" s="294"/>
      <c r="HN11" s="294"/>
      <c r="HO11" s="294"/>
      <c r="HP11" s="294"/>
      <c r="HQ11" s="294"/>
      <c r="HR11" s="294"/>
      <c r="HS11" s="294"/>
    </row>
    <row r="12" spans="1:227" ht="17.25" customHeight="1">
      <c r="B12" s="1122">
        <v>44379</v>
      </c>
      <c r="C12" s="294" t="s">
        <v>536</v>
      </c>
      <c r="D12" s="1135">
        <v>0</v>
      </c>
      <c r="E12" s="995">
        <v>500000</v>
      </c>
      <c r="F12" s="995">
        <v>500000</v>
      </c>
      <c r="G12" s="995">
        <v>0</v>
      </c>
      <c r="H12" s="223">
        <f t="shared" ref="H12" si="0">+D12+E12-F12-G12</f>
        <v>0</v>
      </c>
      <c r="I12" s="995">
        <v>0</v>
      </c>
      <c r="J12" s="995">
        <v>0</v>
      </c>
      <c r="K12" s="995">
        <v>0</v>
      </c>
      <c r="L12" s="1136">
        <v>0</v>
      </c>
      <c r="M12" s="1366">
        <v>0</v>
      </c>
      <c r="N12" s="1366"/>
      <c r="O12" s="301"/>
      <c r="P12" s="1017"/>
      <c r="Q12" s="288"/>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4"/>
      <c r="FH12" s="294"/>
      <c r="FI12" s="294"/>
      <c r="FJ12" s="294"/>
      <c r="FK12" s="294"/>
      <c r="FL12" s="294"/>
      <c r="FM12" s="294"/>
      <c r="FN12" s="294"/>
      <c r="FO12" s="294"/>
      <c r="FP12" s="294"/>
      <c r="FQ12" s="294"/>
      <c r="FR12" s="294"/>
      <c r="FS12" s="294"/>
      <c r="FT12" s="294"/>
      <c r="FU12" s="294"/>
      <c r="FV12" s="294"/>
      <c r="FW12" s="294"/>
      <c r="FX12" s="294"/>
      <c r="FY12" s="294"/>
      <c r="FZ12" s="294"/>
      <c r="GA12" s="294"/>
      <c r="GB12" s="294"/>
      <c r="GC12" s="294"/>
      <c r="GD12" s="294"/>
      <c r="GE12" s="294"/>
      <c r="GF12" s="294"/>
      <c r="GG12" s="294"/>
      <c r="GH12" s="294"/>
      <c r="GI12" s="294"/>
      <c r="GJ12" s="294"/>
      <c r="GK12" s="294"/>
      <c r="GL12" s="294"/>
      <c r="GM12" s="294"/>
      <c r="GN12" s="294"/>
      <c r="GO12" s="294"/>
      <c r="GP12" s="294"/>
      <c r="GQ12" s="294"/>
      <c r="GR12" s="294"/>
      <c r="GS12" s="294"/>
      <c r="GT12" s="294"/>
      <c r="GU12" s="294"/>
      <c r="GV12" s="294"/>
      <c r="GW12" s="294"/>
      <c r="GX12" s="294"/>
      <c r="GY12" s="294"/>
      <c r="GZ12" s="294"/>
      <c r="HA12" s="294"/>
      <c r="HB12" s="294"/>
      <c r="HC12" s="294"/>
      <c r="HD12" s="294"/>
      <c r="HE12" s="294"/>
      <c r="HF12" s="294"/>
      <c r="HG12" s="294"/>
      <c r="HH12" s="294"/>
      <c r="HI12" s="294"/>
      <c r="HJ12" s="294"/>
      <c r="HK12" s="294"/>
      <c r="HL12" s="294"/>
      <c r="HM12" s="294"/>
      <c r="HN12" s="294"/>
      <c r="HO12" s="294"/>
      <c r="HP12" s="294"/>
      <c r="HQ12" s="294"/>
      <c r="HR12" s="294"/>
      <c r="HS12" s="294"/>
    </row>
    <row r="13" spans="1:227" ht="17.25" customHeight="1">
      <c r="B13" s="1122">
        <v>44392</v>
      </c>
      <c r="C13" s="294" t="s">
        <v>536</v>
      </c>
      <c r="D13" s="1135">
        <v>0</v>
      </c>
      <c r="E13" s="995">
        <v>500000</v>
      </c>
      <c r="F13" s="995">
        <v>500000</v>
      </c>
      <c r="G13" s="995">
        <v>0</v>
      </c>
      <c r="H13" s="223">
        <f>+D13+E13-F13-G13</f>
        <v>0</v>
      </c>
      <c r="I13" s="995">
        <v>0</v>
      </c>
      <c r="J13" s="995">
        <v>0</v>
      </c>
      <c r="K13" s="995">
        <v>0</v>
      </c>
      <c r="L13" s="1136">
        <v>0</v>
      </c>
      <c r="M13" s="1366">
        <v>0</v>
      </c>
      <c r="N13" s="1366"/>
      <c r="O13" s="301"/>
      <c r="P13" s="1017"/>
      <c r="Q13" s="288"/>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row>
    <row r="14" spans="1:227" ht="17.25" customHeight="1">
      <c r="B14" s="1122">
        <v>44406</v>
      </c>
      <c r="C14" s="294" t="s">
        <v>536</v>
      </c>
      <c r="D14" s="1135">
        <v>0</v>
      </c>
      <c r="E14" s="995">
        <v>500000</v>
      </c>
      <c r="F14" s="995">
        <v>500000</v>
      </c>
      <c r="G14" s="995">
        <v>0</v>
      </c>
      <c r="H14" s="223">
        <f t="shared" ref="H14" si="1">+D14+E14-F14-G14</f>
        <v>0</v>
      </c>
      <c r="I14" s="995">
        <v>0</v>
      </c>
      <c r="J14" s="995">
        <v>0</v>
      </c>
      <c r="K14" s="995">
        <v>0</v>
      </c>
      <c r="L14" s="1136">
        <v>0</v>
      </c>
      <c r="M14" s="1366">
        <v>0</v>
      </c>
      <c r="N14" s="1366"/>
      <c r="O14" s="301"/>
      <c r="P14" s="1017"/>
      <c r="Q14" s="288"/>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4"/>
      <c r="FH14" s="294"/>
      <c r="FI14" s="294"/>
      <c r="FJ14" s="294"/>
      <c r="FK14" s="294"/>
      <c r="FL14" s="294"/>
      <c r="FM14" s="294"/>
      <c r="FN14" s="294"/>
      <c r="FO14" s="294"/>
      <c r="FP14" s="294"/>
      <c r="FQ14" s="294"/>
      <c r="FR14" s="294"/>
      <c r="FS14" s="294"/>
      <c r="FT14" s="294"/>
      <c r="FU14" s="294"/>
      <c r="FV14" s="294"/>
      <c r="FW14" s="294"/>
      <c r="FX14" s="294"/>
      <c r="FY14" s="294"/>
      <c r="FZ14" s="294"/>
      <c r="GA14" s="294"/>
      <c r="GB14" s="294"/>
      <c r="GC14" s="294"/>
      <c r="GD14" s="294"/>
      <c r="GE14" s="294"/>
      <c r="GF14" s="294"/>
      <c r="GG14" s="294"/>
      <c r="GH14" s="294"/>
      <c r="GI14" s="294"/>
      <c r="GJ14" s="294"/>
      <c r="GK14" s="294"/>
      <c r="GL14" s="294"/>
      <c r="GM14" s="294"/>
      <c r="GN14" s="294"/>
      <c r="GO14" s="294"/>
      <c r="GP14" s="294"/>
      <c r="GQ14" s="294"/>
      <c r="GR14" s="294"/>
      <c r="GS14" s="294"/>
      <c r="GT14" s="294"/>
      <c r="GU14" s="294"/>
      <c r="GV14" s="294"/>
      <c r="GW14" s="294"/>
      <c r="GX14" s="294"/>
      <c r="GY14" s="294"/>
      <c r="GZ14" s="294"/>
      <c r="HA14" s="294"/>
      <c r="HB14" s="294"/>
      <c r="HC14" s="294"/>
      <c r="HD14" s="294"/>
      <c r="HE14" s="294"/>
      <c r="HF14" s="294"/>
      <c r="HG14" s="294"/>
      <c r="HH14" s="294"/>
      <c r="HI14" s="294"/>
      <c r="HJ14" s="294"/>
      <c r="HK14" s="294"/>
      <c r="HL14" s="294"/>
      <c r="HM14" s="294"/>
      <c r="HN14" s="294"/>
      <c r="HO14" s="294"/>
      <c r="HP14" s="294"/>
      <c r="HQ14" s="294"/>
      <c r="HR14" s="294"/>
      <c r="HS14" s="294"/>
    </row>
    <row r="15" spans="1:227" ht="17.25" customHeight="1">
      <c r="B15" s="1122">
        <v>44420</v>
      </c>
      <c r="C15" s="294" t="s">
        <v>536</v>
      </c>
      <c r="D15" s="1135">
        <v>0</v>
      </c>
      <c r="E15" s="995">
        <v>500000</v>
      </c>
      <c r="F15" s="995">
        <v>500000</v>
      </c>
      <c r="G15" s="995">
        <v>0</v>
      </c>
      <c r="H15" s="223">
        <f>+D15+E15-F15-G15</f>
        <v>0</v>
      </c>
      <c r="I15" s="995">
        <v>0</v>
      </c>
      <c r="J15" s="995">
        <v>0</v>
      </c>
      <c r="K15" s="995">
        <v>0</v>
      </c>
      <c r="L15" s="1136">
        <v>0</v>
      </c>
      <c r="M15" s="1366">
        <v>0</v>
      </c>
      <c r="N15" s="1366"/>
      <c r="O15" s="301"/>
      <c r="P15" s="1017"/>
      <c r="Q15" s="288"/>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294"/>
      <c r="FM15" s="294"/>
      <c r="FN15" s="294"/>
      <c r="FO15" s="294"/>
      <c r="FP15" s="294"/>
      <c r="FQ15" s="294"/>
      <c r="FR15" s="294"/>
      <c r="FS15" s="294"/>
      <c r="FT15" s="294"/>
      <c r="FU15" s="294"/>
      <c r="FV15" s="294"/>
      <c r="FW15" s="294"/>
      <c r="FX15" s="294"/>
      <c r="FY15" s="294"/>
      <c r="FZ15" s="294"/>
      <c r="GA15" s="294"/>
      <c r="GB15" s="294"/>
      <c r="GC15" s="294"/>
      <c r="GD15" s="294"/>
      <c r="GE15" s="294"/>
      <c r="GF15" s="294"/>
      <c r="GG15" s="294"/>
      <c r="GH15" s="294"/>
      <c r="GI15" s="294"/>
      <c r="GJ15" s="294"/>
      <c r="GK15" s="294"/>
      <c r="GL15" s="294"/>
      <c r="GM15" s="294"/>
      <c r="GN15" s="294"/>
      <c r="GO15" s="294"/>
      <c r="GP15" s="294"/>
      <c r="GQ15" s="294"/>
      <c r="GR15" s="294"/>
      <c r="GS15" s="294"/>
      <c r="GT15" s="294"/>
      <c r="GU15" s="294"/>
      <c r="GV15" s="294"/>
      <c r="GW15" s="294"/>
      <c r="GX15" s="294"/>
      <c r="GY15" s="294"/>
      <c r="GZ15" s="294"/>
      <c r="HA15" s="294"/>
      <c r="HB15" s="294"/>
      <c r="HC15" s="294"/>
      <c r="HD15" s="294"/>
      <c r="HE15" s="294"/>
      <c r="HF15" s="294"/>
      <c r="HG15" s="294"/>
      <c r="HH15" s="294"/>
      <c r="HI15" s="294"/>
      <c r="HJ15" s="294"/>
      <c r="HK15" s="294"/>
      <c r="HL15" s="294"/>
      <c r="HM15" s="294"/>
      <c r="HN15" s="294"/>
      <c r="HO15" s="294"/>
      <c r="HP15" s="294"/>
      <c r="HQ15" s="294"/>
      <c r="HR15" s="294"/>
      <c r="HS15" s="294"/>
    </row>
    <row r="16" spans="1:227" ht="17.25" customHeight="1">
      <c r="B16" s="1122">
        <v>44434</v>
      </c>
      <c r="C16" s="294" t="s">
        <v>536</v>
      </c>
      <c r="D16" s="1135">
        <v>0</v>
      </c>
      <c r="E16" s="995">
        <v>500000</v>
      </c>
      <c r="F16" s="995">
        <v>500000</v>
      </c>
      <c r="G16" s="995">
        <v>0</v>
      </c>
      <c r="H16" s="223">
        <f t="shared" ref="H16" si="2">+D16+E16-F16-G16</f>
        <v>0</v>
      </c>
      <c r="I16" s="995">
        <v>0</v>
      </c>
      <c r="J16" s="995">
        <v>0</v>
      </c>
      <c r="K16" s="995">
        <v>0</v>
      </c>
      <c r="L16" s="1136">
        <v>0</v>
      </c>
      <c r="M16" s="1366">
        <v>0</v>
      </c>
      <c r="N16" s="1366"/>
      <c r="O16" s="301"/>
      <c r="P16" s="1017"/>
      <c r="Q16" s="288"/>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4"/>
      <c r="FH16" s="294"/>
      <c r="FI16" s="294"/>
      <c r="FJ16" s="294"/>
      <c r="FK16" s="294"/>
      <c r="FL16" s="294"/>
      <c r="FM16" s="294"/>
      <c r="FN16" s="294"/>
      <c r="FO16" s="294"/>
      <c r="FP16" s="294"/>
      <c r="FQ16" s="294"/>
      <c r="FR16" s="294"/>
      <c r="FS16" s="294"/>
      <c r="FT16" s="294"/>
      <c r="FU16" s="294"/>
      <c r="FV16" s="294"/>
      <c r="FW16" s="294"/>
      <c r="FX16" s="294"/>
      <c r="FY16" s="294"/>
      <c r="FZ16" s="294"/>
      <c r="GA16" s="294"/>
      <c r="GB16" s="294"/>
      <c r="GC16" s="294"/>
      <c r="GD16" s="294"/>
      <c r="GE16" s="294"/>
      <c r="GF16" s="294"/>
      <c r="GG16" s="294"/>
      <c r="GH16" s="294"/>
      <c r="GI16" s="294"/>
      <c r="GJ16" s="294"/>
      <c r="GK16" s="294"/>
      <c r="GL16" s="294"/>
      <c r="GM16" s="294"/>
      <c r="GN16" s="294"/>
      <c r="GO16" s="294"/>
      <c r="GP16" s="294"/>
      <c r="GQ16" s="294"/>
      <c r="GR16" s="294"/>
      <c r="GS16" s="294"/>
      <c r="GT16" s="294"/>
      <c r="GU16" s="294"/>
      <c r="GV16" s="294"/>
      <c r="GW16" s="294"/>
      <c r="GX16" s="294"/>
      <c r="GY16" s="294"/>
      <c r="GZ16" s="294"/>
      <c r="HA16" s="294"/>
      <c r="HB16" s="294"/>
      <c r="HC16" s="294"/>
      <c r="HD16" s="294"/>
      <c r="HE16" s="294"/>
      <c r="HF16" s="294"/>
      <c r="HG16" s="294"/>
      <c r="HH16" s="294"/>
      <c r="HI16" s="294"/>
      <c r="HJ16" s="294"/>
      <c r="HK16" s="294"/>
      <c r="HL16" s="294"/>
      <c r="HM16" s="294"/>
      <c r="HN16" s="294"/>
      <c r="HO16" s="294"/>
      <c r="HP16" s="294"/>
      <c r="HQ16" s="294"/>
      <c r="HR16" s="294"/>
      <c r="HS16" s="294"/>
    </row>
    <row r="17" spans="2:227" ht="17.25" customHeight="1">
      <c r="B17" s="1122">
        <v>44448</v>
      </c>
      <c r="C17" s="294" t="s">
        <v>536</v>
      </c>
      <c r="D17" s="1135">
        <v>0</v>
      </c>
      <c r="E17" s="995">
        <v>500000</v>
      </c>
      <c r="F17" s="995">
        <v>500000</v>
      </c>
      <c r="G17" s="995">
        <v>0</v>
      </c>
      <c r="H17" s="223">
        <f>+D17+E17-F17-G17</f>
        <v>0</v>
      </c>
      <c r="I17" s="995">
        <v>0</v>
      </c>
      <c r="J17" s="995">
        <v>0</v>
      </c>
      <c r="K17" s="995">
        <v>0</v>
      </c>
      <c r="L17" s="1136">
        <v>0</v>
      </c>
      <c r="M17" s="1366">
        <v>0</v>
      </c>
      <c r="N17" s="1366"/>
      <c r="O17" s="301"/>
      <c r="P17" s="1017"/>
      <c r="Q17" s="288"/>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294"/>
      <c r="EN17" s="294"/>
      <c r="EO17" s="294"/>
      <c r="EP17" s="294"/>
      <c r="EQ17" s="294"/>
      <c r="ER17" s="294"/>
      <c r="ES17" s="294"/>
      <c r="ET17" s="294"/>
      <c r="EU17" s="294"/>
      <c r="EV17" s="294"/>
      <c r="EW17" s="294"/>
      <c r="EX17" s="294"/>
      <c r="EY17" s="294"/>
      <c r="EZ17" s="294"/>
      <c r="FA17" s="294"/>
      <c r="FB17" s="294"/>
      <c r="FC17" s="294"/>
      <c r="FD17" s="294"/>
      <c r="FE17" s="294"/>
      <c r="FF17" s="294"/>
      <c r="FG17" s="294"/>
      <c r="FH17" s="294"/>
      <c r="FI17" s="294"/>
      <c r="FJ17" s="294"/>
      <c r="FK17" s="294"/>
      <c r="FL17" s="294"/>
      <c r="FM17" s="294"/>
      <c r="FN17" s="294"/>
      <c r="FO17" s="294"/>
      <c r="FP17" s="294"/>
      <c r="FQ17" s="294"/>
      <c r="FR17" s="294"/>
      <c r="FS17" s="294"/>
      <c r="FT17" s="294"/>
      <c r="FU17" s="294"/>
      <c r="FV17" s="294"/>
      <c r="FW17" s="294"/>
      <c r="FX17" s="294"/>
      <c r="FY17" s="294"/>
      <c r="FZ17" s="294"/>
      <c r="GA17" s="294"/>
      <c r="GB17" s="294"/>
      <c r="GC17" s="294"/>
      <c r="GD17" s="294"/>
      <c r="GE17" s="294"/>
      <c r="GF17" s="294"/>
      <c r="GG17" s="294"/>
      <c r="GH17" s="294"/>
      <c r="GI17" s="294"/>
      <c r="GJ17" s="294"/>
      <c r="GK17" s="294"/>
      <c r="GL17" s="294"/>
      <c r="GM17" s="294"/>
      <c r="GN17" s="294"/>
      <c r="GO17" s="294"/>
      <c r="GP17" s="294"/>
      <c r="GQ17" s="294"/>
      <c r="GR17" s="294"/>
      <c r="GS17" s="294"/>
      <c r="GT17" s="294"/>
      <c r="GU17" s="294"/>
      <c r="GV17" s="294"/>
      <c r="GW17" s="294"/>
      <c r="GX17" s="294"/>
      <c r="GY17" s="294"/>
      <c r="GZ17" s="294"/>
      <c r="HA17" s="294"/>
      <c r="HB17" s="294"/>
      <c r="HC17" s="294"/>
      <c r="HD17" s="294"/>
      <c r="HE17" s="294"/>
      <c r="HF17" s="294"/>
      <c r="HG17" s="294"/>
      <c r="HH17" s="294"/>
      <c r="HI17" s="294"/>
      <c r="HJ17" s="294"/>
      <c r="HK17" s="294"/>
      <c r="HL17" s="294"/>
      <c r="HM17" s="294"/>
      <c r="HN17" s="294"/>
      <c r="HO17" s="294"/>
      <c r="HP17" s="294"/>
      <c r="HQ17" s="294"/>
      <c r="HR17" s="294"/>
      <c r="HS17" s="294"/>
    </row>
    <row r="18" spans="2:227" ht="17.25" customHeight="1">
      <c r="C18" s="294"/>
      <c r="D18" s="995"/>
      <c r="E18" s="995"/>
      <c r="F18" s="995"/>
      <c r="G18" s="995"/>
      <c r="H18" s="305"/>
      <c r="I18" s="307"/>
      <c r="J18" s="307"/>
      <c r="K18" s="307"/>
      <c r="L18" s="307"/>
      <c r="M18" s="307"/>
      <c r="N18" s="307"/>
      <c r="O18" s="301"/>
      <c r="P18" s="1017"/>
      <c r="Q18" s="288"/>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c r="DJ18" s="294"/>
      <c r="DK18" s="294"/>
      <c r="DL18" s="294"/>
      <c r="DM18" s="294"/>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294"/>
      <c r="EN18" s="294"/>
      <c r="EO18" s="294"/>
      <c r="EP18" s="294"/>
      <c r="EQ18" s="294"/>
      <c r="ER18" s="294"/>
      <c r="ES18" s="294"/>
      <c r="ET18" s="294"/>
      <c r="EU18" s="294"/>
      <c r="EV18" s="294"/>
      <c r="EW18" s="294"/>
      <c r="EX18" s="294"/>
      <c r="EY18" s="294"/>
      <c r="EZ18" s="294"/>
      <c r="FA18" s="294"/>
      <c r="FB18" s="294"/>
      <c r="FC18" s="294"/>
      <c r="FD18" s="294"/>
      <c r="FE18" s="294"/>
      <c r="FF18" s="294"/>
      <c r="FG18" s="294"/>
      <c r="FH18" s="294"/>
      <c r="FI18" s="294"/>
      <c r="FJ18" s="294"/>
      <c r="FK18" s="294"/>
      <c r="FL18" s="294"/>
      <c r="FM18" s="294"/>
      <c r="FN18" s="294"/>
      <c r="FO18" s="294"/>
      <c r="FP18" s="294"/>
      <c r="FQ18" s="294"/>
      <c r="FR18" s="294"/>
      <c r="FS18" s="294"/>
      <c r="FT18" s="294"/>
      <c r="FU18" s="294"/>
      <c r="FV18" s="294"/>
      <c r="FW18" s="294"/>
      <c r="FX18" s="294"/>
      <c r="FY18" s="294"/>
      <c r="FZ18" s="294"/>
      <c r="GA18" s="294"/>
      <c r="GB18" s="294"/>
      <c r="GC18" s="294"/>
      <c r="GD18" s="294"/>
      <c r="GE18" s="294"/>
      <c r="GF18" s="294"/>
      <c r="GG18" s="294"/>
      <c r="GH18" s="294"/>
      <c r="GI18" s="294"/>
      <c r="GJ18" s="294"/>
      <c r="GK18" s="294"/>
      <c r="GL18" s="294"/>
      <c r="GM18" s="294"/>
      <c r="GN18" s="294"/>
      <c r="GO18" s="294"/>
      <c r="GP18" s="294"/>
      <c r="GQ18" s="294"/>
      <c r="GR18" s="294"/>
      <c r="GS18" s="294"/>
      <c r="GT18" s="294"/>
      <c r="GU18" s="294"/>
      <c r="GV18" s="294"/>
      <c r="GW18" s="294"/>
      <c r="GX18" s="294"/>
      <c r="GY18" s="294"/>
      <c r="GZ18" s="294"/>
      <c r="HA18" s="294"/>
      <c r="HB18" s="294"/>
      <c r="HC18" s="294"/>
      <c r="HD18" s="294"/>
      <c r="HE18" s="294"/>
      <c r="HF18" s="294"/>
      <c r="HG18" s="294"/>
      <c r="HH18" s="294"/>
      <c r="HI18" s="294"/>
      <c r="HJ18" s="294"/>
      <c r="HK18" s="294"/>
      <c r="HL18" s="294"/>
      <c r="HM18" s="294"/>
      <c r="HN18" s="294"/>
      <c r="HO18" s="294"/>
      <c r="HP18" s="294"/>
      <c r="HQ18" s="294"/>
      <c r="HR18" s="294"/>
      <c r="HS18" s="294"/>
    </row>
    <row r="19" spans="2:227" ht="17.25" customHeight="1">
      <c r="B19" s="1107" t="s">
        <v>564</v>
      </c>
      <c r="C19" s="294"/>
      <c r="D19" s="995"/>
      <c r="E19" s="995"/>
      <c r="F19" s="995"/>
      <c r="G19" s="995"/>
      <c r="H19" s="305"/>
      <c r="I19" s="307"/>
      <c r="J19" s="307"/>
      <c r="K19" s="307"/>
      <c r="L19" s="307"/>
      <c r="M19" s="307"/>
      <c r="N19" s="307"/>
      <c r="O19" s="301"/>
      <c r="P19" s="1017"/>
      <c r="Q19" s="288"/>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c r="DJ19" s="294"/>
      <c r="DK19" s="294"/>
      <c r="DL19" s="294"/>
      <c r="DM19" s="294"/>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294"/>
      <c r="EN19" s="294"/>
      <c r="EO19" s="294"/>
      <c r="EP19" s="294"/>
      <c r="EQ19" s="294"/>
      <c r="ER19" s="294"/>
      <c r="ES19" s="294"/>
      <c r="ET19" s="294"/>
      <c r="EU19" s="294"/>
      <c r="EV19" s="294"/>
      <c r="EW19" s="294"/>
      <c r="EX19" s="294"/>
      <c r="EY19" s="294"/>
      <c r="EZ19" s="294"/>
      <c r="FA19" s="294"/>
      <c r="FB19" s="294"/>
      <c r="FC19" s="294"/>
      <c r="FD19" s="294"/>
      <c r="FE19" s="294"/>
      <c r="FF19" s="294"/>
      <c r="FG19" s="294"/>
      <c r="FH19" s="294"/>
      <c r="FI19" s="294"/>
      <c r="FJ19" s="294"/>
      <c r="FK19" s="294"/>
      <c r="FL19" s="294"/>
      <c r="FM19" s="294"/>
      <c r="FN19" s="294"/>
      <c r="FO19" s="294"/>
      <c r="FP19" s="294"/>
      <c r="FQ19" s="294"/>
      <c r="FR19" s="294"/>
      <c r="FS19" s="294"/>
      <c r="FT19" s="294"/>
      <c r="FU19" s="294"/>
      <c r="FV19" s="294"/>
      <c r="FW19" s="294"/>
      <c r="FX19" s="294"/>
      <c r="FY19" s="294"/>
      <c r="FZ19" s="294"/>
      <c r="GA19" s="294"/>
      <c r="GB19" s="294"/>
      <c r="GC19" s="294"/>
      <c r="GD19" s="294"/>
      <c r="GE19" s="294"/>
      <c r="GF19" s="294"/>
      <c r="GG19" s="294"/>
      <c r="GH19" s="294"/>
      <c r="GI19" s="294"/>
      <c r="GJ19" s="294"/>
      <c r="GK19" s="294"/>
      <c r="GL19" s="294"/>
      <c r="GM19" s="294"/>
      <c r="GN19" s="294"/>
      <c r="GO19" s="294"/>
      <c r="GP19" s="294"/>
      <c r="GQ19" s="294"/>
      <c r="GR19" s="294"/>
      <c r="GS19" s="294"/>
      <c r="GT19" s="294"/>
      <c r="GU19" s="294"/>
      <c r="GV19" s="294"/>
      <c r="GW19" s="294"/>
      <c r="GX19" s="294"/>
      <c r="GY19" s="294"/>
      <c r="GZ19" s="294"/>
      <c r="HA19" s="294"/>
      <c r="HB19" s="294"/>
      <c r="HC19" s="294"/>
      <c r="HD19" s="294"/>
      <c r="HE19" s="294"/>
      <c r="HF19" s="294"/>
      <c r="HG19" s="294"/>
      <c r="HH19" s="294"/>
      <c r="HI19" s="294"/>
      <c r="HJ19" s="294"/>
      <c r="HK19" s="294"/>
      <c r="HL19" s="294"/>
      <c r="HM19" s="294"/>
      <c r="HN19" s="294"/>
      <c r="HO19" s="294"/>
      <c r="HP19" s="294"/>
      <c r="HQ19" s="294"/>
      <c r="HR19" s="294"/>
      <c r="HS19" s="294"/>
    </row>
    <row r="20" spans="2:227" ht="17.25" customHeight="1">
      <c r="B20" s="1107" t="s">
        <v>635</v>
      </c>
      <c r="C20" s="294"/>
      <c r="D20" s="995"/>
      <c r="E20" s="995"/>
      <c r="F20" s="995"/>
      <c r="G20" s="995"/>
      <c r="H20" s="305"/>
      <c r="I20" s="307"/>
      <c r="J20" s="307"/>
      <c r="K20" s="307"/>
      <c r="L20" s="307"/>
      <c r="M20" s="307"/>
      <c r="N20" s="307"/>
      <c r="O20" s="301"/>
      <c r="P20" s="1017"/>
      <c r="Q20" s="288"/>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4"/>
      <c r="GE20" s="294"/>
      <c r="GF20" s="294"/>
      <c r="GG20" s="294"/>
      <c r="GH20" s="294"/>
      <c r="GI20" s="294"/>
      <c r="GJ20" s="294"/>
      <c r="GK20" s="294"/>
      <c r="GL20" s="294"/>
      <c r="GM20" s="294"/>
      <c r="GN20" s="294"/>
      <c r="GO20" s="294"/>
      <c r="GP20" s="294"/>
      <c r="GQ20" s="294"/>
      <c r="GR20" s="294"/>
      <c r="GS20" s="294"/>
      <c r="GT20" s="294"/>
      <c r="GU20" s="294"/>
      <c r="GV20" s="294"/>
      <c r="GW20" s="294"/>
      <c r="GX20" s="294"/>
      <c r="GY20" s="294"/>
      <c r="GZ20" s="294"/>
      <c r="HA20" s="294"/>
      <c r="HB20" s="294"/>
      <c r="HC20" s="294"/>
      <c r="HD20" s="294"/>
      <c r="HE20" s="294"/>
      <c r="HF20" s="294"/>
      <c r="HG20" s="294"/>
      <c r="HH20" s="294"/>
      <c r="HI20" s="294"/>
      <c r="HJ20" s="294"/>
      <c r="HK20" s="294"/>
      <c r="HL20" s="294"/>
      <c r="HM20" s="294"/>
      <c r="HN20" s="294"/>
      <c r="HO20" s="294"/>
      <c r="HP20" s="294"/>
      <c r="HQ20" s="294"/>
      <c r="HR20" s="294"/>
      <c r="HS20" s="294"/>
    </row>
    <row r="21" spans="2:227" ht="17.25" customHeight="1">
      <c r="C21" s="294"/>
      <c r="D21" s="995"/>
      <c r="E21" s="995"/>
      <c r="F21" s="995"/>
      <c r="G21" s="995"/>
      <c r="H21" s="305"/>
      <c r="I21" s="307"/>
      <c r="J21" s="307"/>
      <c r="K21" s="307"/>
      <c r="L21" s="307"/>
      <c r="M21" s="307"/>
      <c r="N21" s="307"/>
      <c r="O21" s="301"/>
      <c r="P21" s="1017"/>
      <c r="Q21" s="288"/>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c r="DJ21" s="294"/>
      <c r="DK21" s="294"/>
      <c r="DL21" s="294"/>
      <c r="DM21" s="294"/>
      <c r="DN21" s="294"/>
      <c r="DO21" s="294"/>
      <c r="DP21" s="294"/>
      <c r="DQ21" s="294"/>
      <c r="DR21" s="294"/>
      <c r="DS21" s="294"/>
      <c r="DT21" s="294"/>
      <c r="DU21" s="294"/>
      <c r="DV21" s="294"/>
      <c r="DW21" s="294"/>
      <c r="DX21" s="294"/>
      <c r="DY21" s="294"/>
      <c r="DZ21" s="294"/>
      <c r="EA21" s="294"/>
      <c r="EB21" s="294"/>
      <c r="EC21" s="294"/>
      <c r="ED21" s="294"/>
      <c r="EE21" s="294"/>
      <c r="EF21" s="294"/>
      <c r="EG21" s="294"/>
      <c r="EH21" s="294"/>
      <c r="EI21" s="294"/>
      <c r="EJ21" s="294"/>
      <c r="EK21" s="294"/>
      <c r="EL21" s="294"/>
      <c r="EM21" s="294"/>
      <c r="EN21" s="294"/>
      <c r="EO21" s="294"/>
      <c r="EP21" s="294"/>
      <c r="EQ21" s="294"/>
      <c r="ER21" s="294"/>
      <c r="ES21" s="294"/>
      <c r="ET21" s="294"/>
      <c r="EU21" s="294"/>
      <c r="EV21" s="294"/>
      <c r="EW21" s="294"/>
      <c r="EX21" s="294"/>
      <c r="EY21" s="294"/>
      <c r="EZ21" s="294"/>
      <c r="FA21" s="294"/>
      <c r="FB21" s="294"/>
      <c r="FC21" s="294"/>
      <c r="FD21" s="294"/>
      <c r="FE21" s="294"/>
      <c r="FF21" s="294"/>
      <c r="FG21" s="294"/>
      <c r="FH21" s="294"/>
      <c r="FI21" s="294"/>
      <c r="FJ21" s="294"/>
      <c r="FK21" s="294"/>
      <c r="FL21" s="294"/>
      <c r="FM21" s="294"/>
      <c r="FN21" s="294"/>
      <c r="FO21" s="294"/>
      <c r="FP21" s="294"/>
      <c r="FQ21" s="294"/>
      <c r="FR21" s="294"/>
      <c r="FS21" s="294"/>
      <c r="FT21" s="294"/>
      <c r="FU21" s="294"/>
      <c r="FV21" s="294"/>
      <c r="FW21" s="294"/>
      <c r="FX21" s="294"/>
      <c r="FY21" s="294"/>
      <c r="FZ21" s="294"/>
      <c r="GA21" s="294"/>
      <c r="GB21" s="294"/>
      <c r="GC21" s="294"/>
      <c r="GD21" s="294"/>
      <c r="GE21" s="294"/>
      <c r="GF21" s="294"/>
      <c r="GG21" s="294"/>
      <c r="GH21" s="294"/>
      <c r="GI21" s="294"/>
      <c r="GJ21" s="294"/>
      <c r="GK21" s="294"/>
      <c r="GL21" s="294"/>
      <c r="GM21" s="294"/>
      <c r="GN21" s="294"/>
      <c r="GO21" s="294"/>
      <c r="GP21" s="294"/>
      <c r="GQ21" s="294"/>
      <c r="GR21" s="294"/>
      <c r="GS21" s="294"/>
      <c r="GT21" s="294"/>
      <c r="GU21" s="294"/>
      <c r="GV21" s="294"/>
      <c r="GW21" s="294"/>
      <c r="GX21" s="294"/>
      <c r="GY21" s="294"/>
      <c r="GZ21" s="294"/>
      <c r="HA21" s="294"/>
      <c r="HB21" s="294"/>
      <c r="HC21" s="294"/>
      <c r="HD21" s="294"/>
      <c r="HE21" s="294"/>
      <c r="HF21" s="294"/>
      <c r="HG21" s="294"/>
      <c r="HH21" s="294"/>
      <c r="HI21" s="294"/>
      <c r="HJ21" s="294"/>
      <c r="HK21" s="294"/>
      <c r="HL21" s="294"/>
      <c r="HM21" s="294"/>
      <c r="HN21" s="294"/>
      <c r="HO21" s="294"/>
      <c r="HP21" s="294"/>
      <c r="HQ21" s="294"/>
      <c r="HR21" s="294"/>
      <c r="HS21" s="294"/>
    </row>
    <row r="22" spans="2:227" ht="17.25" customHeight="1">
      <c r="B22" s="1122">
        <v>44280</v>
      </c>
      <c r="C22" s="294" t="s">
        <v>635</v>
      </c>
      <c r="D22" s="995"/>
      <c r="E22" s="995">
        <v>100000</v>
      </c>
      <c r="F22" s="995"/>
      <c r="G22" s="995">
        <v>100000</v>
      </c>
      <c r="H22" s="223">
        <f>+D22+E22-F22-G22</f>
        <v>0</v>
      </c>
      <c r="I22" s="995">
        <v>0</v>
      </c>
      <c r="J22" s="995">
        <v>0</v>
      </c>
      <c r="K22" s="995">
        <v>0</v>
      </c>
      <c r="L22" s="1136">
        <v>0</v>
      </c>
      <c r="M22" s="1366">
        <v>0</v>
      </c>
      <c r="N22" s="1366"/>
      <c r="O22" s="301"/>
      <c r="P22" s="1017"/>
      <c r="Q22" s="288"/>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row>
    <row r="23" spans="2:227" ht="17.25" customHeight="1">
      <c r="B23" s="1122">
        <v>44379</v>
      </c>
      <c r="C23" s="294" t="s">
        <v>635</v>
      </c>
      <c r="D23" s="995"/>
      <c r="E23" s="995">
        <v>500000</v>
      </c>
      <c r="F23" s="995">
        <v>500000</v>
      </c>
      <c r="G23" s="995">
        <v>0</v>
      </c>
      <c r="H23" s="223">
        <f t="shared" ref="H23:H28" si="3">+D23+E23-F23-G23</f>
        <v>0</v>
      </c>
      <c r="I23" s="995">
        <v>0</v>
      </c>
      <c r="J23" s="995">
        <v>0</v>
      </c>
      <c r="K23" s="995">
        <v>0</v>
      </c>
      <c r="L23" s="1136">
        <v>0</v>
      </c>
      <c r="M23" s="1366">
        <v>0</v>
      </c>
      <c r="N23" s="1366"/>
      <c r="O23" s="301"/>
      <c r="P23" s="1017"/>
      <c r="Q23" s="288"/>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c r="DJ23" s="294"/>
      <c r="DK23" s="294"/>
      <c r="DL23" s="294"/>
      <c r="DM23" s="294"/>
      <c r="DN23" s="294"/>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4"/>
      <c r="EN23" s="294"/>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4"/>
      <c r="HF23" s="294"/>
      <c r="HG23" s="294"/>
      <c r="HH23" s="294"/>
      <c r="HI23" s="294"/>
      <c r="HJ23" s="294"/>
      <c r="HK23" s="294"/>
      <c r="HL23" s="294"/>
      <c r="HM23" s="294"/>
      <c r="HN23" s="294"/>
      <c r="HO23" s="294"/>
      <c r="HP23" s="294"/>
      <c r="HQ23" s="294"/>
      <c r="HR23" s="294"/>
      <c r="HS23" s="294"/>
    </row>
    <row r="24" spans="2:227" ht="17.25" customHeight="1">
      <c r="B24" s="1122">
        <v>44392</v>
      </c>
      <c r="C24" s="294" t="s">
        <v>635</v>
      </c>
      <c r="D24" s="995"/>
      <c r="E24" s="995">
        <v>500000</v>
      </c>
      <c r="F24" s="995">
        <v>500000</v>
      </c>
      <c r="G24" s="995">
        <v>0</v>
      </c>
      <c r="H24" s="223">
        <f t="shared" si="3"/>
        <v>0</v>
      </c>
      <c r="I24" s="995">
        <v>0</v>
      </c>
      <c r="J24" s="995">
        <v>0</v>
      </c>
      <c r="K24" s="995">
        <v>0</v>
      </c>
      <c r="L24" s="1136">
        <v>0</v>
      </c>
      <c r="M24" s="1366">
        <v>0</v>
      </c>
      <c r="N24" s="1366"/>
      <c r="O24" s="301"/>
      <c r="P24" s="1017"/>
      <c r="Q24" s="288"/>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c r="DJ24" s="294"/>
      <c r="DK24" s="294"/>
      <c r="DL24" s="294"/>
      <c r="DM24" s="294"/>
      <c r="DN24" s="294"/>
      <c r="DO24" s="294"/>
      <c r="DP24" s="294"/>
      <c r="DQ24" s="294"/>
      <c r="DR24" s="294"/>
      <c r="DS24" s="294"/>
      <c r="DT24" s="294"/>
      <c r="DU24" s="294"/>
      <c r="DV24" s="294"/>
      <c r="DW24" s="294"/>
      <c r="DX24" s="294"/>
      <c r="DY24" s="294"/>
      <c r="DZ24" s="294"/>
      <c r="EA24" s="294"/>
      <c r="EB24" s="294"/>
      <c r="EC24" s="294"/>
      <c r="ED24" s="294"/>
      <c r="EE24" s="294"/>
      <c r="EF24" s="294"/>
      <c r="EG24" s="294"/>
      <c r="EH24" s="294"/>
      <c r="EI24" s="294"/>
      <c r="EJ24" s="294"/>
      <c r="EK24" s="294"/>
      <c r="EL24" s="294"/>
      <c r="EM24" s="294"/>
      <c r="EN24" s="294"/>
      <c r="EO24" s="294"/>
      <c r="EP24" s="294"/>
      <c r="EQ24" s="294"/>
      <c r="ER24" s="294"/>
      <c r="ES24" s="294"/>
      <c r="ET24" s="294"/>
      <c r="EU24" s="294"/>
      <c r="EV24" s="294"/>
      <c r="EW24" s="294"/>
      <c r="EX24" s="294"/>
      <c r="EY24" s="294"/>
      <c r="EZ24" s="294"/>
      <c r="FA24" s="294"/>
      <c r="FB24" s="294"/>
      <c r="FC24" s="294"/>
      <c r="FD24" s="294"/>
      <c r="FE24" s="294"/>
      <c r="FF24" s="294"/>
      <c r="FG24" s="294"/>
      <c r="FH24" s="294"/>
      <c r="FI24" s="294"/>
      <c r="FJ24" s="294"/>
      <c r="FK24" s="294"/>
      <c r="FL24" s="294"/>
      <c r="FM24" s="294"/>
      <c r="FN24" s="294"/>
      <c r="FO24" s="294"/>
      <c r="FP24" s="294"/>
      <c r="FQ24" s="294"/>
      <c r="FR24" s="294"/>
      <c r="FS24" s="294"/>
      <c r="FT24" s="294"/>
      <c r="FU24" s="294"/>
      <c r="FV24" s="294"/>
      <c r="FW24" s="294"/>
      <c r="FX24" s="294"/>
      <c r="FY24" s="294"/>
      <c r="FZ24" s="294"/>
      <c r="GA24" s="294"/>
      <c r="GB24" s="294"/>
      <c r="GC24" s="294"/>
      <c r="GD24" s="294"/>
      <c r="GE24" s="294"/>
      <c r="GF24" s="294"/>
      <c r="GG24" s="294"/>
      <c r="GH24" s="294"/>
      <c r="GI24" s="294"/>
      <c r="GJ24" s="294"/>
      <c r="GK24" s="294"/>
      <c r="GL24" s="294"/>
      <c r="GM24" s="294"/>
      <c r="GN24" s="294"/>
      <c r="GO24" s="294"/>
      <c r="GP24" s="294"/>
      <c r="GQ24" s="294"/>
      <c r="GR24" s="294"/>
      <c r="GS24" s="294"/>
      <c r="GT24" s="294"/>
      <c r="GU24" s="294"/>
      <c r="GV24" s="294"/>
      <c r="GW24" s="294"/>
      <c r="GX24" s="294"/>
      <c r="GY24" s="294"/>
      <c r="GZ24" s="294"/>
      <c r="HA24" s="294"/>
      <c r="HB24" s="294"/>
      <c r="HC24" s="294"/>
      <c r="HD24" s="294"/>
      <c r="HE24" s="294"/>
      <c r="HF24" s="294"/>
      <c r="HG24" s="294"/>
      <c r="HH24" s="294"/>
      <c r="HI24" s="294"/>
      <c r="HJ24" s="294"/>
      <c r="HK24" s="294"/>
      <c r="HL24" s="294"/>
      <c r="HM24" s="294"/>
      <c r="HN24" s="294"/>
      <c r="HO24" s="294"/>
      <c r="HP24" s="294"/>
      <c r="HQ24" s="294"/>
      <c r="HR24" s="294"/>
      <c r="HS24" s="294"/>
    </row>
    <row r="25" spans="2:227" ht="17.25" customHeight="1">
      <c r="B25" s="1122">
        <v>44406</v>
      </c>
      <c r="C25" s="294" t="s">
        <v>635</v>
      </c>
      <c r="D25" s="995"/>
      <c r="E25" s="995">
        <v>1500000</v>
      </c>
      <c r="F25" s="995">
        <v>1500000</v>
      </c>
      <c r="G25" s="995">
        <v>0</v>
      </c>
      <c r="H25" s="223">
        <f t="shared" si="3"/>
        <v>0</v>
      </c>
      <c r="I25" s="995">
        <v>0</v>
      </c>
      <c r="J25" s="995">
        <v>0</v>
      </c>
      <c r="K25" s="995">
        <v>0</v>
      </c>
      <c r="L25" s="1136">
        <v>0</v>
      </c>
      <c r="M25" s="1366">
        <v>0</v>
      </c>
      <c r="N25" s="1366"/>
      <c r="O25" s="301"/>
      <c r="P25" s="1017"/>
      <c r="Q25" s="288"/>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4"/>
      <c r="DM25" s="294"/>
      <c r="DN25" s="294"/>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294"/>
      <c r="EN25" s="294"/>
      <c r="EO25" s="294"/>
      <c r="EP25" s="294"/>
      <c r="EQ25" s="294"/>
      <c r="ER25" s="294"/>
      <c r="ES25" s="294"/>
      <c r="ET25" s="294"/>
      <c r="EU25" s="294"/>
      <c r="EV25" s="294"/>
      <c r="EW25" s="294"/>
      <c r="EX25" s="294"/>
      <c r="EY25" s="294"/>
      <c r="EZ25" s="294"/>
      <c r="FA25" s="294"/>
      <c r="FB25" s="294"/>
      <c r="FC25" s="294"/>
      <c r="FD25" s="294"/>
      <c r="FE25" s="294"/>
      <c r="FF25" s="294"/>
      <c r="FG25" s="294"/>
      <c r="FH25" s="294"/>
      <c r="FI25" s="294"/>
      <c r="FJ25" s="294"/>
      <c r="FK25" s="294"/>
      <c r="FL25" s="294"/>
      <c r="FM25" s="294"/>
      <c r="FN25" s="294"/>
      <c r="FO25" s="294"/>
      <c r="FP25" s="294"/>
      <c r="FQ25" s="294"/>
      <c r="FR25" s="294"/>
      <c r="FS25" s="294"/>
      <c r="FT25" s="294"/>
      <c r="FU25" s="294"/>
      <c r="FV25" s="294"/>
      <c r="FW25" s="294"/>
      <c r="FX25" s="294"/>
      <c r="FY25" s="294"/>
      <c r="FZ25" s="294"/>
      <c r="GA25" s="294"/>
      <c r="GB25" s="294"/>
      <c r="GC25" s="294"/>
      <c r="GD25" s="294"/>
      <c r="GE25" s="294"/>
      <c r="GF25" s="294"/>
      <c r="GG25" s="294"/>
      <c r="GH25" s="294"/>
      <c r="GI25" s="294"/>
      <c r="GJ25" s="294"/>
      <c r="GK25" s="294"/>
      <c r="GL25" s="294"/>
      <c r="GM25" s="294"/>
      <c r="GN25" s="294"/>
      <c r="GO25" s="294"/>
      <c r="GP25" s="294"/>
      <c r="GQ25" s="294"/>
      <c r="GR25" s="294"/>
      <c r="GS25" s="294"/>
      <c r="GT25" s="294"/>
      <c r="GU25" s="294"/>
      <c r="GV25" s="294"/>
      <c r="GW25" s="294"/>
      <c r="GX25" s="294"/>
      <c r="GY25" s="294"/>
      <c r="GZ25" s="294"/>
      <c r="HA25" s="294"/>
      <c r="HB25" s="294"/>
      <c r="HC25" s="294"/>
      <c r="HD25" s="294"/>
      <c r="HE25" s="294"/>
      <c r="HF25" s="294"/>
      <c r="HG25" s="294"/>
      <c r="HH25" s="294"/>
      <c r="HI25" s="294"/>
      <c r="HJ25" s="294"/>
      <c r="HK25" s="294"/>
      <c r="HL25" s="294"/>
      <c r="HM25" s="294"/>
      <c r="HN25" s="294"/>
      <c r="HO25" s="294"/>
      <c r="HP25" s="294"/>
      <c r="HQ25" s="294"/>
      <c r="HR25" s="294"/>
      <c r="HS25" s="294"/>
    </row>
    <row r="26" spans="2:227" ht="17.25" customHeight="1">
      <c r="B26" s="1122">
        <v>44420</v>
      </c>
      <c r="C26" s="294" t="s">
        <v>635</v>
      </c>
      <c r="D26" s="995"/>
      <c r="E26" s="995">
        <v>500000</v>
      </c>
      <c r="F26" s="995">
        <v>500000</v>
      </c>
      <c r="G26" s="995">
        <v>0</v>
      </c>
      <c r="H26" s="223">
        <f t="shared" si="3"/>
        <v>0</v>
      </c>
      <c r="I26" s="995">
        <v>0</v>
      </c>
      <c r="J26" s="995">
        <v>0</v>
      </c>
      <c r="K26" s="995">
        <v>0</v>
      </c>
      <c r="L26" s="1136">
        <v>0</v>
      </c>
      <c r="M26" s="1366">
        <v>0</v>
      </c>
      <c r="N26" s="1366"/>
      <c r="O26" s="301"/>
      <c r="P26" s="1017"/>
      <c r="Q26" s="288"/>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294"/>
      <c r="EN26" s="294"/>
      <c r="EO26" s="294"/>
      <c r="EP26" s="294"/>
      <c r="EQ26" s="294"/>
      <c r="ER26" s="294"/>
      <c r="ES26" s="294"/>
      <c r="ET26" s="294"/>
      <c r="EU26" s="294"/>
      <c r="EV26" s="294"/>
      <c r="EW26" s="294"/>
      <c r="EX26" s="294"/>
      <c r="EY26" s="294"/>
      <c r="EZ26" s="294"/>
      <c r="FA26" s="294"/>
      <c r="FB26" s="294"/>
      <c r="FC26" s="294"/>
      <c r="FD26" s="294"/>
      <c r="FE26" s="294"/>
      <c r="FF26" s="294"/>
      <c r="FG26" s="294"/>
      <c r="FH26" s="294"/>
      <c r="FI26" s="294"/>
      <c r="FJ26" s="294"/>
      <c r="FK26" s="294"/>
      <c r="FL26" s="294"/>
      <c r="FM26" s="294"/>
      <c r="FN26" s="294"/>
      <c r="FO26" s="294"/>
      <c r="FP26" s="294"/>
      <c r="FQ26" s="294"/>
      <c r="FR26" s="294"/>
      <c r="FS26" s="294"/>
      <c r="FT26" s="294"/>
      <c r="FU26" s="294"/>
      <c r="FV26" s="294"/>
      <c r="FW26" s="294"/>
      <c r="FX26" s="294"/>
      <c r="FY26" s="294"/>
      <c r="FZ26" s="294"/>
      <c r="GA26" s="294"/>
      <c r="GB26" s="294"/>
      <c r="GC26" s="294"/>
      <c r="GD26" s="294"/>
      <c r="GE26" s="294"/>
      <c r="GF26" s="294"/>
      <c r="GG26" s="294"/>
      <c r="GH26" s="294"/>
      <c r="GI26" s="294"/>
      <c r="GJ26" s="294"/>
      <c r="GK26" s="294"/>
      <c r="GL26" s="294"/>
      <c r="GM26" s="294"/>
      <c r="GN26" s="294"/>
      <c r="GO26" s="294"/>
      <c r="GP26" s="294"/>
      <c r="GQ26" s="294"/>
      <c r="GR26" s="294"/>
      <c r="GS26" s="294"/>
      <c r="GT26" s="294"/>
      <c r="GU26" s="294"/>
      <c r="GV26" s="294"/>
      <c r="GW26" s="294"/>
      <c r="GX26" s="294"/>
      <c r="GY26" s="294"/>
      <c r="GZ26" s="294"/>
      <c r="HA26" s="294"/>
      <c r="HB26" s="294"/>
      <c r="HC26" s="294"/>
      <c r="HD26" s="294"/>
      <c r="HE26" s="294"/>
      <c r="HF26" s="294"/>
      <c r="HG26" s="294"/>
      <c r="HH26" s="294"/>
      <c r="HI26" s="294"/>
      <c r="HJ26" s="294"/>
      <c r="HK26" s="294"/>
      <c r="HL26" s="294"/>
      <c r="HM26" s="294"/>
      <c r="HN26" s="294"/>
      <c r="HO26" s="294"/>
      <c r="HP26" s="294"/>
      <c r="HQ26" s="294"/>
      <c r="HR26" s="294"/>
      <c r="HS26" s="294"/>
    </row>
    <row r="27" spans="2:227" ht="17.25" customHeight="1">
      <c r="B27" s="1122">
        <v>44434</v>
      </c>
      <c r="C27" s="294" t="s">
        <v>635</v>
      </c>
      <c r="D27" s="995"/>
      <c r="E27" s="995">
        <v>1051500</v>
      </c>
      <c r="F27" s="995">
        <v>1051500</v>
      </c>
      <c r="G27" s="995">
        <v>0</v>
      </c>
      <c r="H27" s="223">
        <f t="shared" si="3"/>
        <v>0</v>
      </c>
      <c r="I27" s="995">
        <v>0</v>
      </c>
      <c r="J27" s="995">
        <v>0</v>
      </c>
      <c r="K27" s="995">
        <v>0</v>
      </c>
      <c r="L27" s="1136">
        <v>0</v>
      </c>
      <c r="M27" s="1366">
        <v>0</v>
      </c>
      <c r="N27" s="1366"/>
      <c r="O27" s="301"/>
      <c r="P27" s="1017"/>
      <c r="Q27" s="288"/>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4"/>
      <c r="GM27" s="294"/>
      <c r="GN27" s="294"/>
      <c r="GO27" s="294"/>
      <c r="GP27" s="294"/>
      <c r="GQ27" s="294"/>
      <c r="GR27" s="294"/>
      <c r="GS27" s="294"/>
      <c r="GT27" s="294"/>
      <c r="GU27" s="294"/>
      <c r="GV27" s="294"/>
      <c r="GW27" s="294"/>
      <c r="GX27" s="294"/>
      <c r="GY27" s="294"/>
      <c r="GZ27" s="294"/>
      <c r="HA27" s="294"/>
      <c r="HB27" s="294"/>
      <c r="HC27" s="294"/>
      <c r="HD27" s="294"/>
      <c r="HE27" s="294"/>
      <c r="HF27" s="294"/>
      <c r="HG27" s="294"/>
      <c r="HH27" s="294"/>
      <c r="HI27" s="294"/>
      <c r="HJ27" s="294"/>
      <c r="HK27" s="294"/>
      <c r="HL27" s="294"/>
      <c r="HM27" s="294"/>
      <c r="HN27" s="294"/>
      <c r="HO27" s="294"/>
      <c r="HP27" s="294"/>
      <c r="HQ27" s="294"/>
      <c r="HR27" s="294"/>
      <c r="HS27" s="294"/>
    </row>
    <row r="28" spans="2:227" ht="17.25" customHeight="1">
      <c r="B28" s="1122">
        <v>44448</v>
      </c>
      <c r="C28" s="294" t="s">
        <v>635</v>
      </c>
      <c r="D28" s="995"/>
      <c r="E28" s="995">
        <v>3200000</v>
      </c>
      <c r="F28" s="995">
        <v>3200000</v>
      </c>
      <c r="G28" s="995">
        <v>0</v>
      </c>
      <c r="H28" s="223">
        <f t="shared" si="3"/>
        <v>0</v>
      </c>
      <c r="I28" s="995">
        <v>0</v>
      </c>
      <c r="J28" s="995">
        <v>0</v>
      </c>
      <c r="K28" s="995">
        <v>0</v>
      </c>
      <c r="L28" s="1136">
        <v>0</v>
      </c>
      <c r="M28" s="1366">
        <v>0</v>
      </c>
      <c r="N28" s="1366"/>
      <c r="O28" s="301"/>
      <c r="P28" s="1017"/>
      <c r="Q28" s="288"/>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c r="DJ28" s="294"/>
      <c r="DK28" s="294"/>
      <c r="DL28" s="294"/>
      <c r="DM28" s="294"/>
      <c r="DN28" s="294"/>
      <c r="DO28" s="294"/>
      <c r="DP28" s="294"/>
      <c r="DQ28" s="294"/>
      <c r="DR28" s="294"/>
      <c r="DS28" s="294"/>
      <c r="DT28" s="294"/>
      <c r="DU28" s="294"/>
      <c r="DV28" s="294"/>
      <c r="DW28" s="294"/>
      <c r="DX28" s="294"/>
      <c r="DY28" s="294"/>
      <c r="DZ28" s="294"/>
      <c r="EA28" s="294"/>
      <c r="EB28" s="294"/>
      <c r="EC28" s="294"/>
      <c r="ED28" s="294"/>
      <c r="EE28" s="294"/>
      <c r="EF28" s="294"/>
      <c r="EG28" s="294"/>
      <c r="EH28" s="294"/>
      <c r="EI28" s="294"/>
      <c r="EJ28" s="294"/>
      <c r="EK28" s="294"/>
      <c r="EL28" s="294"/>
      <c r="EM28" s="294"/>
      <c r="EN28" s="294"/>
      <c r="EO28" s="294"/>
      <c r="EP28" s="294"/>
      <c r="EQ28" s="294"/>
      <c r="ER28" s="294"/>
      <c r="ES28" s="294"/>
      <c r="ET28" s="294"/>
      <c r="EU28" s="294"/>
      <c r="EV28" s="294"/>
      <c r="EW28" s="294"/>
      <c r="EX28" s="294"/>
      <c r="EY28" s="294"/>
      <c r="EZ28" s="294"/>
      <c r="FA28" s="294"/>
      <c r="FB28" s="294"/>
      <c r="FC28" s="294"/>
      <c r="FD28" s="294"/>
      <c r="FE28" s="294"/>
      <c r="FF28" s="294"/>
      <c r="FG28" s="294"/>
      <c r="FH28" s="294"/>
      <c r="FI28" s="294"/>
      <c r="FJ28" s="294"/>
      <c r="FK28" s="294"/>
      <c r="FL28" s="294"/>
      <c r="FM28" s="294"/>
      <c r="FN28" s="294"/>
      <c r="FO28" s="294"/>
      <c r="FP28" s="294"/>
      <c r="FQ28" s="294"/>
      <c r="FR28" s="294"/>
      <c r="FS28" s="294"/>
      <c r="FT28" s="294"/>
      <c r="FU28" s="294"/>
      <c r="FV28" s="294"/>
      <c r="FW28" s="294"/>
      <c r="FX28" s="294"/>
      <c r="FY28" s="294"/>
      <c r="FZ28" s="294"/>
      <c r="GA28" s="294"/>
      <c r="GB28" s="294"/>
      <c r="GC28" s="294"/>
      <c r="GD28" s="294"/>
      <c r="GE28" s="294"/>
      <c r="GF28" s="294"/>
      <c r="GG28" s="294"/>
      <c r="GH28" s="294"/>
      <c r="GI28" s="294"/>
      <c r="GJ28" s="294"/>
      <c r="GK28" s="294"/>
      <c r="GL28" s="294"/>
      <c r="GM28" s="294"/>
      <c r="GN28" s="294"/>
      <c r="GO28" s="294"/>
      <c r="GP28" s="294"/>
      <c r="GQ28" s="294"/>
      <c r="GR28" s="294"/>
      <c r="GS28" s="294"/>
      <c r="GT28" s="294"/>
      <c r="GU28" s="294"/>
      <c r="GV28" s="294"/>
      <c r="GW28" s="294"/>
      <c r="GX28" s="294"/>
      <c r="GY28" s="294"/>
      <c r="GZ28" s="294"/>
      <c r="HA28" s="294"/>
      <c r="HB28" s="294"/>
      <c r="HC28" s="294"/>
      <c r="HD28" s="294"/>
      <c r="HE28" s="294"/>
      <c r="HF28" s="294"/>
      <c r="HG28" s="294"/>
      <c r="HH28" s="294"/>
      <c r="HI28" s="294"/>
      <c r="HJ28" s="294"/>
      <c r="HK28" s="294"/>
      <c r="HL28" s="294"/>
      <c r="HM28" s="294"/>
      <c r="HN28" s="294"/>
      <c r="HO28" s="294"/>
      <c r="HP28" s="294"/>
      <c r="HQ28" s="294"/>
      <c r="HR28" s="294"/>
      <c r="HS28" s="294"/>
    </row>
    <row r="29" spans="2:227" ht="17.25" customHeight="1">
      <c r="B29" s="1122"/>
      <c r="C29" s="294"/>
      <c r="D29" s="995"/>
      <c r="E29" s="995"/>
      <c r="F29" s="995"/>
      <c r="G29" s="995"/>
      <c r="H29" s="223"/>
      <c r="I29" s="995"/>
      <c r="J29" s="995"/>
      <c r="K29" s="995"/>
      <c r="L29" s="1136"/>
      <c r="M29" s="1137"/>
      <c r="N29" s="1137"/>
      <c r="O29" s="301"/>
      <c r="P29" s="1017"/>
      <c r="Q29" s="288"/>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c r="DJ29" s="294"/>
      <c r="DK29" s="294"/>
      <c r="DL29" s="294"/>
      <c r="DM29" s="294"/>
      <c r="DN29" s="294"/>
      <c r="DO29" s="294"/>
      <c r="DP29" s="294"/>
      <c r="DQ29" s="294"/>
      <c r="DR29" s="294"/>
      <c r="DS29" s="294"/>
      <c r="DT29" s="294"/>
      <c r="DU29" s="294"/>
      <c r="DV29" s="294"/>
      <c r="DW29" s="294"/>
      <c r="DX29" s="294"/>
      <c r="DY29" s="294"/>
      <c r="DZ29" s="294"/>
      <c r="EA29" s="294"/>
      <c r="EB29" s="294"/>
      <c r="EC29" s="294"/>
      <c r="ED29" s="294"/>
      <c r="EE29" s="294"/>
      <c r="EF29" s="294"/>
      <c r="EG29" s="294"/>
      <c r="EH29" s="294"/>
      <c r="EI29" s="294"/>
      <c r="EJ29" s="294"/>
      <c r="EK29" s="294"/>
      <c r="EL29" s="294"/>
      <c r="EM29" s="294"/>
      <c r="EN29" s="294"/>
      <c r="EO29" s="294"/>
      <c r="EP29" s="294"/>
      <c r="EQ29" s="294"/>
      <c r="ER29" s="294"/>
      <c r="ES29" s="294"/>
      <c r="ET29" s="294"/>
      <c r="EU29" s="294"/>
      <c r="EV29" s="294"/>
      <c r="EW29" s="294"/>
      <c r="EX29" s="294"/>
      <c r="EY29" s="294"/>
      <c r="EZ29" s="294"/>
      <c r="FA29" s="294"/>
      <c r="FB29" s="294"/>
      <c r="FC29" s="294"/>
      <c r="FD29" s="294"/>
      <c r="FE29" s="294"/>
      <c r="FF29" s="294"/>
      <c r="FG29" s="294"/>
      <c r="FH29" s="294"/>
      <c r="FI29" s="294"/>
      <c r="FJ29" s="294"/>
      <c r="FK29" s="294"/>
      <c r="FL29" s="294"/>
      <c r="FM29" s="294"/>
      <c r="FN29" s="294"/>
      <c r="FO29" s="294"/>
      <c r="FP29" s="294"/>
      <c r="FQ29" s="294"/>
      <c r="FR29" s="294"/>
      <c r="FS29" s="294"/>
      <c r="FT29" s="294"/>
      <c r="FU29" s="294"/>
      <c r="FV29" s="294"/>
      <c r="FW29" s="294"/>
      <c r="FX29" s="294"/>
      <c r="FY29" s="294"/>
      <c r="FZ29" s="294"/>
      <c r="GA29" s="294"/>
      <c r="GB29" s="294"/>
      <c r="GC29" s="294"/>
      <c r="GD29" s="294"/>
      <c r="GE29" s="294"/>
      <c r="GF29" s="294"/>
      <c r="GG29" s="294"/>
      <c r="GH29" s="294"/>
      <c r="GI29" s="294"/>
      <c r="GJ29" s="294"/>
      <c r="GK29" s="294"/>
      <c r="GL29" s="294"/>
      <c r="GM29" s="294"/>
      <c r="GN29" s="294"/>
      <c r="GO29" s="294"/>
      <c r="GP29" s="294"/>
      <c r="GQ29" s="294"/>
      <c r="GR29" s="294"/>
      <c r="GS29" s="294"/>
      <c r="GT29" s="294"/>
      <c r="GU29" s="294"/>
      <c r="GV29" s="294"/>
      <c r="GW29" s="294"/>
      <c r="GX29" s="294"/>
      <c r="GY29" s="294"/>
      <c r="GZ29" s="294"/>
      <c r="HA29" s="294"/>
      <c r="HB29" s="294"/>
      <c r="HC29" s="294"/>
      <c r="HD29" s="294"/>
      <c r="HE29" s="294"/>
      <c r="HF29" s="294"/>
      <c r="HG29" s="294"/>
      <c r="HH29" s="294"/>
      <c r="HI29" s="294"/>
      <c r="HJ29" s="294"/>
      <c r="HK29" s="294"/>
      <c r="HL29" s="294"/>
      <c r="HM29" s="294"/>
      <c r="HN29" s="294"/>
      <c r="HO29" s="294"/>
      <c r="HP29" s="294"/>
      <c r="HQ29" s="294"/>
      <c r="HR29" s="294"/>
      <c r="HS29" s="294"/>
    </row>
    <row r="30" spans="2:227" ht="9.9" customHeight="1">
      <c r="B30" s="107"/>
      <c r="E30" s="310"/>
      <c r="F30" s="310"/>
      <c r="G30" s="310"/>
      <c r="H30" s="310"/>
      <c r="I30" s="108"/>
      <c r="J30" s="108"/>
      <c r="K30" s="108"/>
      <c r="L30" s="311"/>
      <c r="M30" s="311"/>
      <c r="N30" s="311"/>
      <c r="O30" s="306"/>
      <c r="P30" s="306"/>
      <c r="Q30" s="306"/>
    </row>
    <row r="31" spans="2:227" s="312" customFormat="1" ht="21" customHeight="1" thickBot="1">
      <c r="B31" s="109" t="s">
        <v>678</v>
      </c>
      <c r="C31" s="313"/>
      <c r="E31" s="314"/>
      <c r="G31" s="314"/>
      <c r="H31" s="314"/>
      <c r="I31" s="110">
        <v>0</v>
      </c>
      <c r="J31" s="110">
        <v>0</v>
      </c>
      <c r="K31" s="110">
        <v>0</v>
      </c>
      <c r="L31" s="112"/>
      <c r="M31" s="887"/>
      <c r="N31" s="112"/>
      <c r="O31" s="315"/>
      <c r="P31" s="316"/>
      <c r="Q31" s="292"/>
    </row>
    <row r="32" spans="2:227" ht="6.75" customHeight="1" thickTop="1">
      <c r="B32" s="109"/>
      <c r="E32" s="310"/>
      <c r="G32" s="310"/>
      <c r="H32" s="310"/>
      <c r="I32" s="108"/>
      <c r="J32" s="108"/>
      <c r="K32" s="108"/>
      <c r="L32" s="888"/>
      <c r="M32" s="888"/>
      <c r="N32" s="888"/>
      <c r="O32" s="306"/>
      <c r="P32" s="306"/>
      <c r="Q32" s="306"/>
    </row>
    <row r="33" spans="2:17" s="312" customFormat="1" ht="21" customHeight="1" thickBot="1">
      <c r="B33" s="317" t="s">
        <v>679</v>
      </c>
      <c r="C33" s="313"/>
      <c r="E33" s="314"/>
      <c r="G33" s="314"/>
      <c r="H33" s="314"/>
      <c r="I33" s="318">
        <v>0</v>
      </c>
      <c r="J33" s="318">
        <v>0</v>
      </c>
      <c r="K33" s="318">
        <v>0</v>
      </c>
      <c r="L33" s="308"/>
      <c r="M33" s="308"/>
      <c r="N33" s="308"/>
      <c r="O33" s="292"/>
      <c r="P33" s="292"/>
      <c r="Q33" s="292"/>
    </row>
    <row r="34" spans="2:17" ht="13.8" thickTop="1">
      <c r="B34" s="107"/>
      <c r="E34" s="310"/>
      <c r="G34" s="310"/>
      <c r="H34" s="310"/>
      <c r="I34" s="108"/>
      <c r="J34" s="108"/>
      <c r="K34" s="108"/>
      <c r="O34" s="306"/>
      <c r="P34" s="306"/>
      <c r="Q34" s="306"/>
    </row>
    <row r="35" spans="2:17">
      <c r="B35" s="1108" t="s">
        <v>609</v>
      </c>
      <c r="O35" s="306"/>
      <c r="P35" s="306"/>
      <c r="Q35" s="306"/>
    </row>
    <row r="36" spans="2:17">
      <c r="O36" s="306"/>
      <c r="P36" s="306"/>
      <c r="Q36" s="306"/>
    </row>
    <row r="37" spans="2:17">
      <c r="B37" s="1367" t="s">
        <v>537</v>
      </c>
      <c r="C37" s="1369" t="s">
        <v>538</v>
      </c>
      <c r="D37" s="1371" t="s">
        <v>325</v>
      </c>
      <c r="E37" s="1372"/>
      <c r="F37" s="1372"/>
      <c r="G37" s="1372"/>
      <c r="H37" s="1373"/>
      <c r="I37" s="1371" t="s">
        <v>675</v>
      </c>
      <c r="J37" s="1372"/>
      <c r="K37" s="1373"/>
      <c r="L37" s="1374" t="s">
        <v>212</v>
      </c>
      <c r="M37" s="1376" t="s">
        <v>213</v>
      </c>
      <c r="N37" s="1377"/>
      <c r="O37" s="306"/>
      <c r="P37" s="306"/>
      <c r="Q37" s="306"/>
    </row>
    <row r="38" spans="2:17" ht="52.8">
      <c r="B38" s="1368"/>
      <c r="C38" s="1370"/>
      <c r="D38" s="104" t="s">
        <v>674</v>
      </c>
      <c r="E38" s="104" t="s">
        <v>214</v>
      </c>
      <c r="F38" s="104" t="s">
        <v>215</v>
      </c>
      <c r="G38" s="104" t="s">
        <v>216</v>
      </c>
      <c r="H38" s="104" t="s">
        <v>675</v>
      </c>
      <c r="I38" s="104" t="s">
        <v>217</v>
      </c>
      <c r="J38" s="104" t="s">
        <v>218</v>
      </c>
      <c r="K38" s="104" t="s">
        <v>219</v>
      </c>
      <c r="L38" s="1375"/>
      <c r="M38" s="1378"/>
      <c r="N38" s="1379"/>
      <c r="O38" s="306"/>
      <c r="P38" s="306"/>
      <c r="Q38" s="306"/>
    </row>
    <row r="39" spans="2:17">
      <c r="D39" s="1398" t="s">
        <v>477</v>
      </c>
      <c r="E39" s="1398"/>
      <c r="F39" s="1398"/>
      <c r="G39" s="1398"/>
      <c r="H39" s="1398"/>
      <c r="I39" s="1380" t="s">
        <v>220</v>
      </c>
      <c r="J39" s="1381"/>
      <c r="K39" s="1381"/>
      <c r="L39" s="1382" t="s">
        <v>221</v>
      </c>
      <c r="M39" s="1382"/>
      <c r="N39" s="1382"/>
      <c r="O39" s="306"/>
      <c r="P39" s="306"/>
      <c r="Q39" s="306"/>
    </row>
    <row r="40" spans="2:17">
      <c r="B40" s="1122">
        <v>44063</v>
      </c>
      <c r="C40" s="1114" t="s">
        <v>636</v>
      </c>
      <c r="D40" s="207"/>
      <c r="E40" s="995">
        <v>350000</v>
      </c>
      <c r="F40" s="995">
        <v>350000</v>
      </c>
      <c r="G40" s="995">
        <v>0</v>
      </c>
      <c r="H40" s="305">
        <f>+D40+E40-F40-G40</f>
        <v>0</v>
      </c>
      <c r="I40" s="307">
        <v>0</v>
      </c>
      <c r="J40" s="307">
        <v>0</v>
      </c>
      <c r="K40" s="307">
        <v>0</v>
      </c>
      <c r="L40" s="307">
        <v>0</v>
      </c>
      <c r="M40" s="307"/>
      <c r="N40" s="307">
        <v>0</v>
      </c>
      <c r="O40" s="306"/>
      <c r="P40" s="306"/>
      <c r="Q40" s="306"/>
    </row>
    <row r="41" spans="2:17">
      <c r="B41" s="1122">
        <v>43293</v>
      </c>
      <c r="C41" s="1114" t="s">
        <v>637</v>
      </c>
      <c r="D41" s="995">
        <v>0</v>
      </c>
      <c r="E41" s="995">
        <v>2000000</v>
      </c>
      <c r="F41" s="995">
        <v>2000000</v>
      </c>
      <c r="G41" s="995">
        <v>0</v>
      </c>
      <c r="H41" s="305">
        <f>+D41+E41-F41-G41</f>
        <v>0</v>
      </c>
      <c r="I41" s="307">
        <v>0</v>
      </c>
      <c r="J41" s="307">
        <v>0</v>
      </c>
      <c r="K41" s="307">
        <v>0</v>
      </c>
      <c r="L41" s="307">
        <v>0</v>
      </c>
      <c r="M41" s="307"/>
      <c r="N41" s="307">
        <v>0</v>
      </c>
      <c r="O41" s="306"/>
      <c r="P41" s="306"/>
      <c r="Q41" s="306"/>
    </row>
    <row r="42" spans="2:17">
      <c r="B42" s="1122">
        <v>44119</v>
      </c>
      <c r="C42" s="1114" t="s">
        <v>637</v>
      </c>
      <c r="D42" s="995">
        <v>0</v>
      </c>
      <c r="E42" s="995">
        <v>2000000</v>
      </c>
      <c r="F42" s="995">
        <v>2000000</v>
      </c>
      <c r="G42" s="995">
        <v>0</v>
      </c>
      <c r="H42" s="305">
        <f>+D42+E42-F42-G42</f>
        <v>0</v>
      </c>
      <c r="I42" s="307">
        <v>0</v>
      </c>
      <c r="J42" s="307">
        <v>0</v>
      </c>
      <c r="K42" s="307">
        <v>0</v>
      </c>
      <c r="L42" s="307">
        <v>0</v>
      </c>
      <c r="M42" s="307"/>
      <c r="N42" s="307">
        <v>0</v>
      </c>
      <c r="O42" s="306"/>
      <c r="P42" s="306"/>
      <c r="Q42" s="306"/>
    </row>
    <row r="43" spans="2:17">
      <c r="O43" s="306"/>
      <c r="P43" s="306"/>
      <c r="Q43" s="306"/>
    </row>
    <row r="44" spans="2:17">
      <c r="O44" s="306"/>
      <c r="P44" s="306"/>
      <c r="Q44" s="306"/>
    </row>
    <row r="45" spans="2:17">
      <c r="O45" s="306"/>
      <c r="P45" s="306"/>
      <c r="Q45" s="306"/>
    </row>
    <row r="46" spans="2:17" ht="13.8" thickBot="1">
      <c r="B46" s="109" t="s">
        <v>678</v>
      </c>
      <c r="C46" s="313"/>
      <c r="D46" s="312"/>
      <c r="E46" s="314"/>
      <c r="F46" s="312"/>
      <c r="G46" s="314"/>
      <c r="H46" s="314"/>
      <c r="I46" s="110">
        <f>SUM(I43:I43)</f>
        <v>0</v>
      </c>
      <c r="J46" s="110">
        <f>SUM(J43:J43)</f>
        <v>0</v>
      </c>
      <c r="K46" s="110">
        <f>SUM(K43:K43)</f>
        <v>0</v>
      </c>
      <c r="O46" s="306"/>
      <c r="P46" s="306"/>
      <c r="Q46" s="306"/>
    </row>
    <row r="47" spans="2:17" ht="13.8" thickTop="1">
      <c r="B47" s="109"/>
      <c r="E47" s="310"/>
      <c r="G47" s="310"/>
      <c r="H47" s="310"/>
      <c r="I47" s="108"/>
      <c r="J47" s="108"/>
      <c r="K47" s="108"/>
      <c r="O47" s="306"/>
      <c r="P47" s="306"/>
      <c r="Q47" s="306"/>
    </row>
    <row r="48" spans="2:17" ht="13.8" thickBot="1">
      <c r="B48" s="317" t="s">
        <v>679</v>
      </c>
      <c r="C48" s="313"/>
      <c r="D48" s="312"/>
      <c r="E48" s="314"/>
      <c r="F48" s="312"/>
      <c r="G48" s="314"/>
      <c r="H48" s="314"/>
      <c r="I48" s="318">
        <v>35698</v>
      </c>
      <c r="J48" s="318">
        <v>35298</v>
      </c>
      <c r="K48" s="318">
        <v>-400</v>
      </c>
      <c r="O48" s="306"/>
      <c r="P48" s="306"/>
      <c r="Q48" s="306"/>
    </row>
    <row r="49" spans="1:17" ht="13.8" thickTop="1">
      <c r="B49" s="317"/>
      <c r="C49" s="313"/>
      <c r="D49" s="312"/>
      <c r="E49" s="314"/>
      <c r="F49" s="312"/>
      <c r="G49" s="314"/>
      <c r="H49" s="314"/>
      <c r="I49" s="1123"/>
      <c r="J49" s="1123"/>
      <c r="K49" s="1123"/>
      <c r="O49" s="306"/>
      <c r="P49" s="306"/>
      <c r="Q49" s="306"/>
    </row>
    <row r="50" spans="1:17">
      <c r="B50" s="317"/>
      <c r="C50" s="313"/>
      <c r="D50" s="312"/>
      <c r="E50" s="314"/>
      <c r="F50" s="312"/>
      <c r="G50" s="314"/>
      <c r="H50" s="314"/>
      <c r="I50" s="1123"/>
      <c r="J50" s="1123"/>
      <c r="K50" s="1123"/>
      <c r="O50" s="306"/>
      <c r="P50" s="306"/>
      <c r="Q50" s="306"/>
    </row>
    <row r="51" spans="1:17">
      <c r="B51" s="317"/>
      <c r="C51" s="313"/>
      <c r="D51" s="312"/>
      <c r="E51" s="314"/>
      <c r="F51" s="312"/>
      <c r="G51" s="314"/>
      <c r="H51" s="314"/>
      <c r="I51" s="1123"/>
      <c r="J51" s="1123"/>
      <c r="K51" s="1123"/>
      <c r="O51" s="306"/>
      <c r="P51" s="306"/>
      <c r="Q51" s="306"/>
    </row>
    <row r="52" spans="1:17">
      <c r="A52" s="1003">
        <f>A2+0.1</f>
        <v>7.2999999999999989</v>
      </c>
      <c r="B52" s="319" t="s">
        <v>334</v>
      </c>
      <c r="O52" s="306"/>
      <c r="P52" s="306"/>
      <c r="Q52" s="306"/>
    </row>
    <row r="53" spans="1:17">
      <c r="A53" s="319"/>
      <c r="B53" s="319"/>
      <c r="O53" s="306"/>
      <c r="P53" s="306"/>
      <c r="Q53" s="306"/>
    </row>
    <row r="54" spans="1:17">
      <c r="A54" s="319"/>
      <c r="B54" s="428" t="s">
        <v>565</v>
      </c>
      <c r="O54" s="306"/>
      <c r="P54" s="306"/>
      <c r="Q54" s="306"/>
    </row>
    <row r="55" spans="1:17">
      <c r="O55" s="306"/>
      <c r="P55" s="306"/>
      <c r="Q55" s="306"/>
    </row>
    <row r="56" spans="1:17" ht="12.75" customHeight="1">
      <c r="B56" s="1403" t="s">
        <v>324</v>
      </c>
      <c r="C56" s="1395" t="s">
        <v>325</v>
      </c>
      <c r="D56" s="1396"/>
      <c r="E56" s="1396"/>
      <c r="F56" s="1396"/>
      <c r="G56" s="1396"/>
      <c r="H56" s="1397"/>
      <c r="I56" s="1399" t="str">
        <f>I4</f>
        <v>As at September 30, 2021</v>
      </c>
      <c r="J56" s="1400"/>
      <c r="K56" s="1401"/>
      <c r="L56" s="1386" t="s">
        <v>332</v>
      </c>
      <c r="M56" s="1387"/>
      <c r="N56" s="1383" t="s">
        <v>333</v>
      </c>
      <c r="O56" s="306"/>
      <c r="P56" s="306"/>
      <c r="Q56" s="306"/>
    </row>
    <row r="57" spans="1:17" ht="12.75" customHeight="1">
      <c r="B57" s="1404"/>
      <c r="C57" s="1386" t="s">
        <v>674</v>
      </c>
      <c r="D57" s="1387"/>
      <c r="E57" s="1392" t="s">
        <v>326</v>
      </c>
      <c r="F57" s="1392" t="s">
        <v>327</v>
      </c>
      <c r="G57" s="1392" t="s">
        <v>215</v>
      </c>
      <c r="H57" s="1383" t="str">
        <f>H5</f>
        <v>As at September 30, 2021</v>
      </c>
      <c r="I57" s="1392" t="s">
        <v>379</v>
      </c>
      <c r="J57" s="1392" t="s">
        <v>313</v>
      </c>
      <c r="K57" s="1383" t="s">
        <v>328</v>
      </c>
      <c r="L57" s="1388"/>
      <c r="M57" s="1389"/>
      <c r="N57" s="1384"/>
      <c r="O57" s="306"/>
      <c r="P57" s="306"/>
      <c r="Q57" s="306"/>
    </row>
    <row r="58" spans="1:17">
      <c r="B58" s="1404"/>
      <c r="C58" s="1388"/>
      <c r="D58" s="1389"/>
      <c r="E58" s="1393"/>
      <c r="F58" s="1393"/>
      <c r="G58" s="1393"/>
      <c r="H58" s="1384"/>
      <c r="I58" s="1393"/>
      <c r="J58" s="1393"/>
      <c r="K58" s="1384"/>
      <c r="L58" s="1388"/>
      <c r="M58" s="1389"/>
      <c r="N58" s="1384"/>
      <c r="O58" s="306"/>
      <c r="P58" s="306"/>
      <c r="Q58" s="306"/>
    </row>
    <row r="59" spans="1:17">
      <c r="B59" s="1404"/>
      <c r="C59" s="1388"/>
      <c r="D59" s="1389"/>
      <c r="E59" s="1393"/>
      <c r="F59" s="1393"/>
      <c r="G59" s="1393"/>
      <c r="H59" s="1384"/>
      <c r="I59" s="1393"/>
      <c r="J59" s="1393"/>
      <c r="K59" s="1384"/>
      <c r="L59" s="1388"/>
      <c r="M59" s="1389"/>
      <c r="N59" s="1384"/>
      <c r="O59" s="306"/>
      <c r="P59" s="306"/>
      <c r="Q59" s="306"/>
    </row>
    <row r="60" spans="1:17">
      <c r="B60" s="1404"/>
      <c r="C60" s="1388"/>
      <c r="D60" s="1389"/>
      <c r="E60" s="1393"/>
      <c r="F60" s="1393"/>
      <c r="G60" s="1393"/>
      <c r="H60" s="1384"/>
      <c r="I60" s="1393"/>
      <c r="J60" s="1393"/>
      <c r="K60" s="1384"/>
      <c r="L60" s="1388"/>
      <c r="M60" s="1389"/>
      <c r="N60" s="1384"/>
      <c r="O60" s="306"/>
      <c r="P60" s="306"/>
      <c r="Q60" s="306"/>
    </row>
    <row r="61" spans="1:17">
      <c r="B61" s="1405"/>
      <c r="C61" s="1390"/>
      <c r="D61" s="1391"/>
      <c r="E61" s="1394"/>
      <c r="F61" s="1394"/>
      <c r="G61" s="1394"/>
      <c r="H61" s="1385"/>
      <c r="I61" s="1394"/>
      <c r="J61" s="1394"/>
      <c r="K61" s="1385"/>
      <c r="L61" s="1390"/>
      <c r="M61" s="1391"/>
      <c r="N61" s="1385"/>
      <c r="O61" s="306"/>
      <c r="P61" s="306"/>
      <c r="Q61" s="306"/>
    </row>
    <row r="62" spans="1:17">
      <c r="B62" s="417"/>
      <c r="C62" s="418"/>
      <c r="D62" s="419"/>
      <c r="E62" s="419"/>
      <c r="F62" s="419"/>
      <c r="G62" s="420"/>
      <c r="I62" s="1402" t="s">
        <v>347</v>
      </c>
      <c r="J62" s="1402"/>
      <c r="K62" s="1402"/>
      <c r="L62" s="1402" t="s">
        <v>329</v>
      </c>
      <c r="M62" s="1402"/>
      <c r="N62" s="1402"/>
      <c r="O62" s="306"/>
      <c r="P62" s="306"/>
      <c r="Q62" s="306"/>
    </row>
    <row r="63" spans="1:17">
      <c r="O63" s="306"/>
      <c r="P63" s="306"/>
      <c r="Q63" s="306"/>
    </row>
    <row r="64" spans="1:17">
      <c r="B64" s="417" t="s">
        <v>209</v>
      </c>
      <c r="C64" s="421"/>
      <c r="D64" s="419"/>
      <c r="E64" s="419"/>
      <c r="F64" s="419"/>
      <c r="G64" s="422"/>
      <c r="H64" s="422"/>
      <c r="I64" s="422"/>
      <c r="J64" s="423"/>
      <c r="K64" s="424"/>
      <c r="L64" s="424"/>
      <c r="M64" s="425"/>
      <c r="O64" s="306"/>
      <c r="P64" s="306"/>
      <c r="Q64" s="306"/>
    </row>
    <row r="65" spans="2:17">
      <c r="B65" s="426" t="s">
        <v>330</v>
      </c>
      <c r="C65" s="421"/>
      <c r="D65" s="419"/>
      <c r="E65" s="419"/>
      <c r="F65" s="419"/>
      <c r="G65" s="422"/>
      <c r="H65" s="422"/>
      <c r="I65" s="422"/>
      <c r="J65" s="423"/>
      <c r="K65" s="424"/>
      <c r="L65" s="424"/>
      <c r="M65" s="425"/>
      <c r="O65" s="306"/>
      <c r="P65" s="306"/>
      <c r="Q65" s="306"/>
    </row>
    <row r="66" spans="2:17">
      <c r="B66" s="426" t="s">
        <v>331</v>
      </c>
      <c r="D66" s="419">
        <v>10</v>
      </c>
      <c r="E66" s="419">
        <v>0</v>
      </c>
      <c r="F66" s="419">
        <v>0</v>
      </c>
      <c r="G66" s="419">
        <v>0</v>
      </c>
      <c r="H66" s="422">
        <v>10</v>
      </c>
      <c r="I66" s="427">
        <f>500229/1000</f>
        <v>500.22899999999998</v>
      </c>
      <c r="J66" s="427">
        <f>500755/1000</f>
        <v>500.755</v>
      </c>
      <c r="K66" s="1138">
        <f>J66-I66</f>
        <v>0.52600000000001046</v>
      </c>
      <c r="L66" s="308">
        <f>ROUND(J66/$Q$6*100,2)</f>
        <v>0.11</v>
      </c>
      <c r="M66" s="424"/>
      <c r="N66" s="309">
        <f>ROUND(J66/'Note 1-5'!G113*100,2)</f>
        <v>0.17</v>
      </c>
      <c r="O66" s="306"/>
      <c r="P66" s="306"/>
      <c r="Q66" s="306"/>
    </row>
    <row r="67" spans="2:17">
      <c r="O67" s="306"/>
      <c r="P67" s="306"/>
      <c r="Q67" s="306"/>
    </row>
    <row r="68" spans="2:17" ht="13.8" thickBot="1">
      <c r="B68" s="109" t="str">
        <f>B31</f>
        <v>Total as at September 30, 2021 (Un-audited)</v>
      </c>
      <c r="I68" s="429">
        <f>I66</f>
        <v>500.22899999999998</v>
      </c>
      <c r="J68" s="429">
        <f>J66</f>
        <v>500.755</v>
      </c>
      <c r="K68" s="1149">
        <f>J68-I68</f>
        <v>0.52600000000001046</v>
      </c>
      <c r="O68" s="306"/>
      <c r="P68" s="306"/>
      <c r="Q68" s="306"/>
    </row>
    <row r="69" spans="2:17" ht="6.75" customHeight="1" thickTop="1">
      <c r="B69" s="109"/>
      <c r="I69" s="111"/>
      <c r="J69" s="111"/>
      <c r="K69" s="1150"/>
      <c r="O69" s="306"/>
      <c r="P69" s="306"/>
      <c r="Q69" s="306"/>
    </row>
    <row r="70" spans="2:17" ht="13.8" thickBot="1">
      <c r="B70" s="317" t="str">
        <f>B33</f>
        <v>Total as at June 30, 2021 (Audited)</v>
      </c>
      <c r="I70" s="430">
        <v>577</v>
      </c>
      <c r="J70" s="430">
        <v>584</v>
      </c>
      <c r="K70" s="1151">
        <f>J70-I70</f>
        <v>7</v>
      </c>
      <c r="O70" s="306"/>
      <c r="P70" s="306"/>
      <c r="Q70" s="306"/>
    </row>
    <row r="71" spans="2:17" ht="13.8" thickTop="1">
      <c r="D71" s="111"/>
      <c r="E71" s="111"/>
      <c r="F71" s="111"/>
      <c r="G71" s="111"/>
      <c r="H71" s="111"/>
      <c r="I71" s="111"/>
      <c r="J71" s="111"/>
      <c r="K71" s="111"/>
      <c r="L71" s="112"/>
      <c r="M71" s="112"/>
      <c r="N71" s="112"/>
      <c r="O71" s="320"/>
    </row>
    <row r="72" spans="2:17">
      <c r="B72" s="321"/>
      <c r="L72" s="322"/>
      <c r="M72" s="320"/>
    </row>
    <row r="73" spans="2:17">
      <c r="B73" s="321"/>
      <c r="L73" s="322"/>
    </row>
    <row r="74" spans="2:17">
      <c r="B74" s="321"/>
      <c r="L74" s="322"/>
    </row>
    <row r="75" spans="2:17">
      <c r="B75" s="321"/>
      <c r="L75" s="322"/>
    </row>
    <row r="76" spans="2:17">
      <c r="B76" s="321"/>
      <c r="L76" s="322"/>
    </row>
    <row r="77" spans="2:17">
      <c r="B77" s="321"/>
      <c r="L77" s="322"/>
    </row>
    <row r="78" spans="2:17">
      <c r="B78" s="321"/>
      <c r="L78" s="322"/>
    </row>
    <row r="79" spans="2:17">
      <c r="B79" s="321"/>
      <c r="L79" s="322"/>
    </row>
    <row r="80" spans="2:17">
      <c r="B80" s="321"/>
      <c r="L80" s="322"/>
    </row>
    <row r="81" spans="2:12">
      <c r="B81" s="321"/>
      <c r="L81" s="322"/>
    </row>
    <row r="82" spans="2:12">
      <c r="B82" s="321"/>
      <c r="L82" s="322"/>
    </row>
    <row r="83" spans="2:12">
      <c r="B83" s="321"/>
      <c r="L83" s="322"/>
    </row>
    <row r="84" spans="2:12">
      <c r="B84" s="321"/>
      <c r="L84" s="322"/>
    </row>
    <row r="85" spans="2:12">
      <c r="B85" s="321"/>
      <c r="L85" s="322"/>
    </row>
    <row r="86" spans="2:12">
      <c r="B86" s="321"/>
      <c r="L86" s="322"/>
    </row>
    <row r="87" spans="2:12">
      <c r="B87" s="321"/>
      <c r="L87" s="322"/>
    </row>
    <row r="88" spans="2:12">
      <c r="B88" s="321"/>
      <c r="L88" s="322"/>
    </row>
    <row r="89" spans="2:12">
      <c r="B89" s="321"/>
      <c r="L89" s="322"/>
    </row>
    <row r="90" spans="2:12">
      <c r="B90" s="321"/>
      <c r="L90" s="322"/>
    </row>
    <row r="91" spans="2:12">
      <c r="B91" s="321"/>
      <c r="L91" s="322"/>
    </row>
    <row r="92" spans="2:12">
      <c r="B92" s="321"/>
      <c r="L92" s="322"/>
    </row>
    <row r="93" spans="2:12">
      <c r="B93" s="321"/>
      <c r="L93" s="322"/>
    </row>
    <row r="94" spans="2:12">
      <c r="B94" s="321"/>
      <c r="L94" s="322"/>
    </row>
    <row r="95" spans="2:12">
      <c r="B95" s="321"/>
      <c r="L95" s="322"/>
    </row>
    <row r="96" spans="2:12">
      <c r="B96" s="321"/>
      <c r="L96" s="322"/>
    </row>
    <row r="97" spans="2:12">
      <c r="B97" s="321"/>
      <c r="L97" s="322"/>
    </row>
    <row r="98" spans="2:12">
      <c r="B98" s="321"/>
      <c r="L98" s="322"/>
    </row>
    <row r="99" spans="2:12">
      <c r="B99" s="321"/>
      <c r="L99" s="322"/>
    </row>
    <row r="100" spans="2:12">
      <c r="B100" s="321"/>
      <c r="L100" s="322"/>
    </row>
    <row r="101" spans="2:12">
      <c r="B101" s="321"/>
      <c r="L101" s="322"/>
    </row>
  </sheetData>
  <mergeCells count="48">
    <mergeCell ref="I56:K56"/>
    <mergeCell ref="I39:K39"/>
    <mergeCell ref="L62:N62"/>
    <mergeCell ref="I62:K62"/>
    <mergeCell ref="B56:B61"/>
    <mergeCell ref="D39:H39"/>
    <mergeCell ref="I6:K6"/>
    <mergeCell ref="L6:N6"/>
    <mergeCell ref="N56:N61"/>
    <mergeCell ref="C57:D61"/>
    <mergeCell ref="E57:E61"/>
    <mergeCell ref="F57:F61"/>
    <mergeCell ref="G57:G61"/>
    <mergeCell ref="H57:H61"/>
    <mergeCell ref="I57:I61"/>
    <mergeCell ref="J57:J61"/>
    <mergeCell ref="K57:K61"/>
    <mergeCell ref="C56:H56"/>
    <mergeCell ref="L39:N39"/>
    <mergeCell ref="L56:M61"/>
    <mergeCell ref="D6:H6"/>
    <mergeCell ref="M37:N38"/>
    <mergeCell ref="M4:N5"/>
    <mergeCell ref="B4:B5"/>
    <mergeCell ref="C4:C5"/>
    <mergeCell ref="D4:H4"/>
    <mergeCell ref="I4:K4"/>
    <mergeCell ref="L4:L5"/>
    <mergeCell ref="B37:B38"/>
    <mergeCell ref="C37:C38"/>
    <mergeCell ref="D37:H37"/>
    <mergeCell ref="I37:K37"/>
    <mergeCell ref="L37:L38"/>
    <mergeCell ref="M10:N10"/>
    <mergeCell ref="M11:N11"/>
    <mergeCell ref="M12:N12"/>
    <mergeCell ref="M13:N13"/>
    <mergeCell ref="M14:N14"/>
    <mergeCell ref="M15:N15"/>
    <mergeCell ref="M16:N16"/>
    <mergeCell ref="M17:N17"/>
    <mergeCell ref="M22:N22"/>
    <mergeCell ref="M23:N23"/>
    <mergeCell ref="M24:N24"/>
    <mergeCell ref="M25:N25"/>
    <mergeCell ref="M26:N26"/>
    <mergeCell ref="M27:N27"/>
    <mergeCell ref="M28:N28"/>
  </mergeCells>
  <pageMargins left="0.38" right="0.21" top="0.73" bottom="0.31" header="0" footer="0.24"/>
  <pageSetup scale="72" fitToHeight="2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L e a d S h e e t D a t a S t o r a g e   x m l n s : x s d = " h t t p : / / w w w . w 3 . o r g / 2 0 0 1 / X M L S c h e m a "   x m l n s : x s i = " h t t p : / / w w w . w 3 . o r g / 2 0 0 1 / X M L S c h e m a - i n s t a n c e " >  
     < D A M a p p i n g L i s t / >  
     < A c c o u n t G r o u p s >  
         < A c c o u n t G r o u p I n f o >  
             < N a m e > B a n k   B a l a n c e s < / N a m e >  
             < T a r g e t A c c o u n t I D > 2 6 5 0 7 8 9 9 2 6 4 0 0 0 0 0 0 1 6 < / T a r g e t A c c o u n t I D >  
             < T a r g e t A c c o u n t N u m b e r > 5 1 1 0 . 1 < / T a r g e t A c c o u n t N u m b e r >  
         < / A c c o u n t G r o u p I n f o >  
         < A c c o u n t G r o u p I n f o >  
             < N a m e > I n v e s t m e n t   i n   E q u i t y   -   A F S < / N a m e >  
             < T a r g e t A c c o u n t I D > 2 6 5 0 7 8 9 9 2 6 4 0 0 0 0 0 0 1 9 < / T a r g e t A c c o u n t I D >  
             < T a r g e t A c c o u n t N u m b e r > 5 1 2 0 . 1 < / T a r g e t A c c o u n t N u m b e r >  
         < / A c c o u n t G r o u p I n f o >  
         < A c c o u n t G r o u p I n f o >  
             < N a m e > I n v e s t m e n t   i n   P a k i s t a n   I n v e s t m e n t   B o n d s   -   A F S < / N a m e >  
             < T a r g e t A c c o u n t I D > 2 6 5 0 7 8 9 9 2 6 4 0 0 0 0 0 0 2 6 < / T a r g e t A c c o u n t I D >  
             < T a r g e t A c c o u n t N u m b e r > 5 1 2 0 . 2 < / T a r g e t A c c o u n t N u m b e r >  
         < / A c c o u n t G r o u p I n f o >  
         < A c c o u n t G r o u p I n f o >  
             < N a m e > I n v e s t m e n t   i n   T F C s   -   H F T < / N a m e >  
             < T a r g e t A c c o u n t I D > 2 6 5 0 7 8 9 9 2 6 4 0 0 0 0 0 0 2 9 < / T a r g e t A c c o u n t I D >  
             < T a r g e t A c c o u n t N u m b e r > 5 1 2 0 . 3 < / T a r g e t A c c o u n t N u m b e r >  
         < / A c c o u n t G r o u p I n f o >  
         < A c c o u n t G r o u p I n f o >  
             < N a m e > I n v e s t m e n t   i n   E q u i t y   -   H F T < / N a m e >  
             < T a r g e t A c c o u n t I D > 2 6 5 0 7 8 9 9 2 6 4 0 0 0 0 0 0 3 3 < / T a r g e t A c c o u n t I D >  
             < T a r g e t A c c o u n t N u m b e r > 5 1 2 0 . 4 < / T a r g e t A c c o u n t N u m b e r >  
         < / A c c o u n t G r o u p I n f o >  
         < A c c o u n t G r o u p I n f o >  
             < N a m e > I n v e s t m e n t   i n   T - B i l l s   -   H F T < / N a m e >  
             < T a r g e t A c c o u n t I D > 2 6 5 0 7 8 9 9 2 6 4 0 0 0 0 0 0 3 4 < / T a r g e t A c c o u n t I D >  
             < T a r g e t A c c o u n t N u m b e r > 5 1 2 0 . 5 < / T a r g e t A c c o u n t N u m b e r >  
         < / A c c o u n t G r o u p I n f o >  
         < A c c o u n t G r o u p I n f o >  
             < N a m e > I n v e s t m e n t   i n   T D R s < / N a m e >  
             < T a r g e t A c c o u n t I D > 2 6 5 0 7 8 9 9 2 6 4 0 0 0 0 0 1 8 4 < / T a r g e t A c c o u n t I D >  
             < T a r g e t A c c o u n t N u m b e r > 5 1 2 0 . 6 < / T a r g e t A c c o u n t N u m b e r >  
         < / A c c o u n t G r o u p I n f o >  
         < A c c o u n t G r o u p I n f o >  
             < N a m e > R e c e i v a b l e   a g a i n s t   S a l e   o f   E q u i t y   S e c u r i t i e s < / N a m e >  
             < T a r g e t A c c o u n t I D > 2 6 5 0 7 8 9 9 2 6 4 0 0 0 0 0 0 3 9 < / T a r g e t A c c o u n t I D >  
             < T a r g e t A c c o u n t N u m b e r > 5 1 3 0 . 1 < / T a r g e t A c c o u n t N u m b e r >  
         < / A c c o u n t G r o u p I n f o >  
         < A c c o u n t G r o u p I n f o >  
             < N a m e > D i v i d e n d   R e c e i v a b l e < / N a m e >  
             < T a r g e t A c c o u n t I D > 2 6 5 0 7 8 9 9 2 6 4 0 0 0 0 0 0 4 0 < / T a r g e t A c c o u n t I D >  
             < T a r g e t A c c o u n t N u m b e r > 5 1 4 0 . 1 < / T a r g e t A c c o u n t N u m b e r >  
         < / A c c o u n t G r o u p I n f o >  
         < A c c o u n t G r o u p I n f o >  
             < N a m e > P r o f i t   o n   S a v i n g s   D e p o s i t s < / N a m e >  
             < T a r g e t A c c o u n t I D > 2 6 5 0 7 8 9 9 2 6 4 0 0 0 0 0 0 4 5 < / T a r g e t A c c o u n t I D >  
             < T a r g e t A c c o u n t N u m b e r > 5 1 4 0 . 2 < / T a r g e t A c c o u n t N u m b e r >  
         < / A c c o u n t G r o u p I n f o >  
         < A c c o u n t G r o u p I n f o >  
             < N a m e > A c c r u e d   p r o f i t   o n   P a k i s t a n   I n v e s t m e n t   B o n d s < / N a m e >  
             < T a r g e t A c c o u n t I D > 2 6 5 0 7 8 9 9 2 6 4 0 0 0 0 0 0 4 6 < / T a r g e t A c c o u n t I D >  
             < T a r g e t A c c o u n t N u m b e r > 5 1 4 0 . 3 < / T a r g e t A c c o u n t N u m b e r >  
         < / A c c o u n t G r o u p I n f o >  
         < A c c o u n t G r o u p I n f o >  
             < N a m e > A c c r u e d   P r o f i t   o n   T F C s < / N a m e >  
             < T a r g e t A c c o u n t I D > 2 6 5 0 7 8 9 9 2 6 4 0 0 0 0 0 0 4 9 < / T a r g e t A c c o u n t I D >  
             < T a r g e t A c c o u n t N u m b e r > 5 1 4 0 . 4 < / T a r g e t A c c o u n t N u m b e r >  
         < / A c c o u n t G r o u p I n f o >  
         < A c c o u n t G r o u p I n f o >  
             < N a m e > R e c e i v a b l e   f r o m   N a t i o n a l   C l e a r i n g   C o m p a n y   o f   P a k i s t a n   L i m i t e d < / N a m e >  
             < T a r g e t A c c o u n t I D > 2 6 5 0 7 8 9 9 2 6 4 0 0 0 0 0 0 5 3 < / T a r g e t A c c o u n t I D >  
             < T a r g e t A c c o u n t N u m b e r > 5 1 4 0 . 5 < / T a r g e t A c c o u n t N u m b e r >  
         < / A c c o u n t G r o u p I n f o >  
         < A c c o u n t G r o u p I n f o >  
             < N a m e > S e c u r i t y   D e p o s i t s   -   N a t i o n a l   C l e a r i n g   C o m p a n y   o f   P a k i s t a n   L i m i t e d < / N a m e >  
             < T a r g e t A c c o u n t I D > 2 6 5 0 7 8 9 9 2 6 4 0 0 0 0 0 0 5 7 < / T a r g e t A c c o u n t I D >  
             < T a r g e t A c c o u n t N u m b e r > 5 1 5 0 . 1 < / T a r g e t A c c o u n t N u m b e r >  
         < / A c c o u n t G r o u p I n f o >  
         < A c c o u n t G r o u p I n f o >  
             < N a m e > S e c u r i t y   D e p o s i t s   -   C e n t r a l   D e p o s i t o r y   C o m p a n y   o f   P a k i s t a n   L i m i t e d < / N a m e >  
             < T a r g e t A c c o u n t I D > 2 6 5 0 7 8 9 9 2 6 4 0 0 0 0 0 0 5 8 < / T a r g e t A c c o u n t I D >  
             < T a r g e t A c c o u n t N u m b e r > 5 1 5 0 . 2 < / T a r g e t A c c o u n t N u m b e r >  
         < / A c c o u n t G r o u p I n f o >  
         < A c c o u n t G r o u p I n f o >  
             < N a m e > S e c u r i t y   D e p o s i t s   -   O t h e r s < / N a m e >  
             < T a r g e t A c c o u n t I D > 2 6 5 0 7 8 9 9 2 6 4 0 0 0 0 0 0 6 3 < / T a r g e t A c c o u n t I D >  
             < T a r g e t A c c o u n t N u m b e r > 5 1 5 0 . 3 < / T a r g e t A c c o u n t N u m b e r >  
         < / A c c o u n t G r o u p I n f o >  
         < A c c o u n t G r o u p I n f o >  
             < N a m e > P r e p a y m e n t s   a n d   o t h e r   r e c e i v a b l e s < / N a m e >  
             < T a r g e t A c c o u n t I D > 2 6 5 0 7 8 9 9 2 6 4 0 0 0 0 0 0 6 6 < / T a r g e t A c c o u n t I D >  
             < T a r g e t A c c o u n t N u m b e r > 5 1 6 0 . 1 < / T a r g e t A c c o u n t N u m b e r >  
         < / A c c o u n t G r o u p I n f o >  
         < A c c o u n t G r o u p I n f o >  
             < N a m e > A d v a n c e   t a x < / N a m e >  
             < T a r g e t A c c o u n t I D > 2 6 5 0 7 8 9 9 2 6 4 0 0 0 0 0 0 6 9 < / T a r g e t A c c o u n t I D >  
             < T a r g e t A c c o u n t N u m b e r > 5 1 6 0 . 2 < / T a r g e t A c c o u n t N u m b e r >  
         < / A c c o u n t G r o u p I n f o >  
         < A c c o u n t G r o u p I n f o >  
             < N a m e > A d v a n c e   a g a i n s t   I P O   s u b s c r i p t i o n < / N a m e >  
             < T a r g e t A c c o u n t I D > 2 6 5 0 7 8 9 9 2 6 4 0 0 0 0 0 0 7 0 < / T a r g e t A c c o u n t I D >  
             < T a r g e t A c c o u n t N u m b e r > 5 1 6 0 . 3 < / T a r g e t A c c o u n t N u m b e r >  
         < / A c c o u n t G r o u p I n f o >  
         < A c c o u n t G r o u p I n f o >  
             < N a m e > O t h e r   R e c e i v a b l e s < / N a m e >  
             < T a r g e t A c c o u n t I D > 2 6 5 0 7 8 9 9 2 6 4 0 0 0 0 0 1 8 7 < / T a r g e t A c c o u n t I D >  
             < T a r g e t A c c o u n t N u m b e r > 5 1 6 0 . 4 < / T a r g e t A c c o u n t N u m b e r >  
         < / A c c o u n t G r o u p I n f o >  
         < A c c o u n t G r o u p I n f o >  
             < N a m e > M a n a g e m e n t   F e e   P a y a b l e < / N a m e >  
             < T a r g e t A c c o u n t I D > 2 6 5 0 7 8 9 9 2 6 4 0 0 0 0 0 0 7 4 < / T a r g e t A c c o u n t I D >  
             < T a r g e t A c c o u n t N u m b e r > 6 1 1 0 . 1 < / T a r g e t A c c o u n t N u m b e r >  
         < / A c c o u n t G r o u p I n f o >  
         < A c c o u n t G r o u p I n f o >  
             < N a m e > S a l e   L o a d   P a y a b l e < / N a m e >  
             < T a r g e t A c c o u n t I D > 2 6 5 0 7 8 9 9 2 6 4 0 0 0 0 0 0 7 6 < / T a r g e t A c c o u n t I D >  
             < T a r g e t A c c o u n t N u m b e r > 6 1 1 0 . 2 < / T a r g e t A c c o u n t N u m b e r >  
         < / A c c o u n t G r o u p I n f o >  
         < A c c o u n t G r o u p I n f o >  
             < N a m e > L e g a l   a n d   p r o f e s s i o n a l   c h a r g e s   p a y a b l e < / N a m e >  
             < T a r g e t A c c o u n t I D > 2 6 5 0 7 8 9 9 2 6 4 0 0 0 0 0 0 8 0 < / T a r g e t A c c o u n t I D >  
             < T a r g e t A c c o u n t N u m b e r > 6 1 1 0 . 3 < / T a r g e t A c c o u n t N u m b e r >  
         < / A c c o u n t G r o u p I n f o >  
         < A c c o u n t G r o u p I n f o >  
             < N a m e > S a l e s   T a x   P a y a b l e   a g a i n s t   M a n a g e m e n t   F e e < / N a m e >  
             < T a r g e t A c c o u n t I D > 2 6 5 0 7 8 9 9 2 6 4 0 0 0 0 0 0 8 3 < / T a r g e t A c c o u n t I D >  
             < T a r g e t A c c o u n t N u m b e r > 6 1 1 0 . 4 < / T a r g e t A c c o u n t N u m b e r >  
         < / A c c o u n t G r o u p I n f o >  
         < A c c o u n t G r o u p I n f o >  
             < N a m e > T r u s t e e   R e m u n e r a t i o n   P a y a b l e < / N a m e >  
             < T a r g e t A c c o u n t I D > 2 6 5 0 7 8 9 9 2 6 4 0 0 0 0 0 0 8 5 < / T a r g e t A c c o u n t I D >  
             < T a r g e t A c c o u n t N u m b e r > 6 1 2 0 . 1 < / T a r g e t A c c o u n t N u m b e r >  
         < / A c c o u n t G r o u p I n f o >  
         < A c c o u n t G r o u p I n f o >  
             < N a m e > P a y a b l e   t o   S e c u r i t i e s   a n d   E x c h a n g e   C o m m i s s i o n   o f   P a k i s t a n < / N a m e >  
             < T a r g e t A c c o u n t I D > 2 6 5 0 7 8 9 9 2 6 4 0 0 0 0 0 0 9 0 < / T a r g e t A c c o u n t I D >  
             < T a r g e t A c c o u n t N u m b e r > 6 1 3 0 . 1 < / T a r g e t A c c o u n t N u m b e r >  
         < / A c c o u n t G r o u p I n f o >  
         < A c c o u n t G r o u p I n f o >  
             < N a m e > D i v i d e n d   P a y a b l e < / N a m e >  
             < T a r g e t A c c o u n t I D > 2 6 5 0 7 8 9 9 2 6 4 0 0 0 0 0 0 9 3 < / T a r g e t A c c o u n t I D >  
             < T a r g e t A c c o u n t N u m b e r > 6 1 4 0 . 1 < / T a r g e t A c c o u n t N u m b e r >  
         < / A c c o u n t G r o u p I n f o >  
         < A c c o u n t G r o u p I n f o >  
             < N a m e > P a y a b l e   a g a i n s t   P u r c h a s e   o f   E q u i t y   S e c u r i t i e s < / N a m e >  
             < T a r g e t A c c o u n t I D > 2 6 5 0 7 8 9 9 2 6 4 0 0 0 0 0 0 9 4 < / T a r g e t A c c o u n t I D >  
             < T a r g e t A c c o u n t N u m b e r > 6 1 4 0 . 1 1 < / T a r g e t A c c o u n t N u m b e r >  
         < / A c c o u n t G r o u p I n f o >  
         < A c c o u n t G r o u p I n f o >  
             < N a m e > P a y a b l e   a g a i n s t   r e d e m p t i o n   o f   u n i t s < / N a m e >  
             < T a r g e t A c c o u n t I D > 2 6 5 0 7 8 9 9 2 6 4 0 0 0 0 0 0 9 8 < / T a r g e t A c c o u n t I D >  
             < T a r g e t A c c o u n t N u m b e r > 6 1 4 0 . 2 < / T a r g e t A c c o u n t N u m b e r >  
         < / A c c o u n t G r o u p I n f o >  
         < A c c o u n t G r o u p I n f o >  
             < N a m e > F E D   T a x   P a y a b l e   a g a i n s t   M a n a g e m e n t   F e e < / N a m e >  
             < T a r g e t A c c o u n t I D > 2 6 5 0 7 8 9 9 2 6 4 0 0 0 0 0 1 0 2 < / T a r g e t A c c o u n t I D >  
             < T a r g e t A c c o u n t N u m b e r > 6 1 5 0 . 1 < / T a r g e t A c c o u n t N u m b e r >  
         < / A c c o u n t G r o u p I n f o >  
         < A c c o u n t G r o u p I n f o >  
             < N a m e > O t h e r   p a y a b l e < / N a m e >  
             < T a r g e t A c c o u n t I D > 2 6 5 0 7 8 9 9 2 6 4 0 0 0 0 0 1 0 5 < / T a r g e t A c c o u n t I D >  
             < T a r g e t A c c o u n t N u m b e r > 6 1 5 0 . 1 0 < / T a r g e t A c c o u n t N u m b e r >  
         < / A c c o u n t G r o u p I n f o >  
         < A c c o u n t G r o u p I n f o >  
             < N a m e > S a l e s   t a x   o n   p a y a b l e < / N a m e >  
             < T a r g e t A c c o u n t I D > 2 6 5 0 7 8 9 9 2 6 4 0 0 0 0 0 1 0 6 < / T a r g e t A c c o u n t I D >  
             < T a r g e t A c c o u n t N u m b e r > 6 1 5 0 . 1 1 < / T a r g e t A c c o u n t N u m b e r >  
         < / A c c o u n t G r o u p I n f o >  
         < A c c o u n t G r o u p I n f o >  
             < N a m e > B r o k e r a g e   P a y a b l e   E q u i t y < / N a m e >  
             < T a r g e t A c c o u n t I D > 2 6 5 0 7 8 9 9 2 6 4 0 0 0 0 0 1 1 0 < / T a r g e t A c c o u n t I D >  
             < T a r g e t A c c o u n t N u m b e r > 6 1 5 0 . 2 < / T a r g e t A c c o u n t N u m b e r >  
         < / A c c o u n t G r o u p I n f o >  
         < A c c o u n t G r o u p I n f o >  
             < N a m e > B r o k e r a g e   P a y a b l e   M o n e y   M a r k e t < / N a m e >  
             < T a r g e t A c c o u n t I D > 2 6 5 0 7 8 9 9 2 6 4 0 0 0 0 0 1 1 2 < / T a r g e t A c c o u n t I D >  
             < T a r g e t A c c o u n t N u m b e r > 6 1 5 0 . 3 < / T a r g e t A c c o u n t N u m b e r >  
         < / A c c o u n t G r o u p I n f o >  
         < A c c o u n t G r o u p I n f o >  
             < N a m e > W o r k e r ' s   W e l f a r e   F u n d   P a y a b l e < / N a m e >  
             < T a r g e t A c c o u n t I D > 2 6 5 0 7 8 9 9 2 6 4 0 0 0 0 0 1 1 7 < / T a r g e t A c c o u n t I D >  
             < T a r g e t A c c o u n t N u m b e r > 6 1 5 0 . 4 < / T a r g e t A c c o u n t N u m b e r >  
         < / A c c o u n t G r o u p I n f o >  
         < A c c o u n t G r o u p I n f o >  
             < N a m e > A u d i t   F e e   P a y a b l e < / N a m e >  
             < T a r g e t A c c o u n t I D > 2 6 5 0 7 8 9 9 2 6 4 0 0 0 0 0 1 1 8 < / T a r g e t A c c o u n t I D >  
             < T a r g e t A c c o u n t N u m b e r > 6 1 5 0 . 5 < / T a r g e t A c c o u n t N u m b e r >  
         < / A c c o u n t G r o u p I n f o >  
         < A c c o u n t G r o u p I n f o >  
             < N a m e > P r i n t i n g   C h a r g e s   P a y a b l e < / N a m e >  
             < T a r g e t A c c o u n t I D > 2 6 5 0 7 8 9 9 2 6 4 0 0 0 0 0 1 2 2 < / T a r g e t A c c o u n t I D >  
             < T a r g e t A c c o u n t N u m b e r > 6 1 5 0 . 6 < / T a r g e t A c c o u n t N u m b e r >  
         < / A c c o u n t G r o u p I n f o >  
         < A c c o u n t G r o u p I n f o >  
             < N a m e > W i t h h o l d i n g   t a x   p a y a b l e < / N a m e >  
             < T a r g e t A c c o u n t I D > 2 6 5 0 7 8 9 9 2 6 4 0 0 0 0 0 1 2 4 < / T a r g e t A c c o u n t I D >  
             < T a r g e t A c c o u n t N u m b e r > 6 1 5 0 . 8 < / T a r g e t A c c o u n t N u m b e r >  
         < / A c c o u n t G r o u p I n f o >  
         < A c c o u n t G r o u p I n f o >  
             < N a m e > P a y a b l e   t o   N C C P L < / N a m e >  
             < T a r g e t A c c o u n t I D > 2 6 5 0 7 8 9 9 2 6 4 0 0 0 0 0 1 2 7 < / T a r g e t A c c o u n t I D >  
             < T a r g e t A c c o u n t N u m b e r > 6 1 5 0 . 9 < / T a r g e t A c c o u n t N u m b e r >  
         < / A c c o u n t G r o u p I n f o >  
         < A c c o u n t G r o u p I n f o >  
             < N a m e > U n i t   H o l d e r s   F u n d < / N a m e >  
             < T a r g e t A c c o u n t I D > 2 6 5 0 7 8 9 9 2 6 4 0 0 0 0 0 1 3 0 < / T a r g e t A c c o u n t I D >  
             < T a r g e t A c c o u n t N u m b e r > 7 1 1 0 . 1 < / T a r g e t A c c o u n t N u m b e r >  
         < / A c c o u n t G r o u p I n f o >  
         < A c c o u n t G r o u p I n f o >  
             < N a m e > R e a l i z e d   E l e m e n t   o f   I n c o m e < / N a m e >  
             < T a r g e t A c c o u n t I D > 2 6 5 0 7 8 9 9 2 6 4 0 0 0 0 0 1 3 1 < / T a r g e t A c c o u n t I D >  
             < T a r g e t A c c o u n t N u m b e r > 7 1 2 0 . 1 < / T a r g e t A c c o u n t N u m b e r >  
         < / A c c o u n t G r o u p I n f o >  
         < A c c o u n t G r o u p I n f o >  
             < N a m e > U n r e a l i z e d   E l e m e n t   o f   I n c o m e < / N a m e >  
             < T a r g e t A c c o u n t I D > 2 6 5 0 7 8 9 9 2 6 4 0 0 0 0 0 1 3 4 < / T a r g e t A c c o u n t I D >  
             < T a r g e t A c c o u n t N u m b e r > 7 1 3 0 . 1 < / T a r g e t A c c o u n t N u m b e r >  
         < / A c c o u n t G r o u p I n f o >  
         < A c c o u n t G r o u p I n f o >  
             < N a m e > U n r e a l i z e d   a p p r e c i a t i o n   i n   v a l u e   o f   e q u i t y   i n v e s t m e n t s   -   A F S < / N a m e >  
             < T a r g e t A c c o u n t I D > 2 6 5 0 7 8 9 9 2 6 4 0 0 0 0 0 1 3 6 < / T a r g e t A c c o u n t I D >  
             < T a r g e t A c c o u n t N u m b e r > 7 1 4 0 . 1 < / T a r g e t A c c o u n t N u m b e r >  
         < / A c c o u n t G r o u p I n f o >  
         < A c c o u n t G r o u p I n f o >  
             < N a m e > U n r e a l i z e d   a p p r e c i a t i o n   i n   v a l u e   o f   P I B s   -   A F S < / N a m e >  
             < T a r g e t A c c o u n t I D > 2 6 5 0 7 8 9 9 2 6 4 0 0 0 0 0 1 3 8 < / T a r g e t A c c o u n t I D >  
             < T a r g e t A c c o u n t N u m b e r > 7 1 4 0 . 2 < / T a r g e t A c c o u n t N u m b e r >  
         < / A c c o u n t G r o u p I n f o >  
         < A c c o u n t G r o u p I n f o >  
             < N a m e > C a p i t a l   ( g a i n ) /   l o s s   o n   s a l e   o f   E q u i t y   -   n e t < / N a m e >  
             < T a r g e t A c c o u n t I D > 2 6 5 0 7 8 9 9 2 6 4 0 0 0 0 0 1 4 0 < / T a r g e t A c c o u n t I D >  
             < T a r g e t A c c o u n t N u m b e r > 8 1 1 0 . 1 < / T a r g e t A c c o u n t N u m b e r >  
         < / A c c o u n t G r o u p I n f o >  
         < A c c o u n t G r o u p I n f o >  
             < N a m e > C a p i t a l   ( g a i n ) /   l o s s   o n   s a l e   o f   P I B s   -   n e t < / N a m e >  
             < T a r g e t A c c o u n t I D > 2 6 5 0 7 8 9 9 2 6 4 0 0 0 0 0 1 4 2 < / T a r g e t A c c o u n t I D >  
             < T a r g e t A c c o u n t N u m b e r > 8 1 1 0 . 2 < / T a r g e t A c c o u n t N u m b e r >  
         < / A c c o u n t G r o u p I n f o >  
         < A c c o u n t G r o u p I n f o >  
             < N a m e > C a p i t a l   ( g a i n ) /   l o s s   o n   s a l e   o f   T - B i l l s   -   n e t < / N a m e >  
             < T a r g e t A c c o u n t I D > 2 6 5 0 7 8 9 9 2 6 4 0 0 0 0 0 1 4 3 < / T a r g e t A c c o u n t I D >  
             < T a r g e t A c c o u n t N u m b e r > 8 1 1 0 . 3 < / T a r g e t A c c o u n t N u m b e r >  
         < / A c c o u n t G r o u p I n f o >  
         < A c c o u n t G r o u p I n f o >  
             < N a m e > D i v i d e n d < / N a m e >  
             < T a r g e t A c c o u n t I D > 2 6 5 0 7 8 9 9 2 6 4 0 0 0 0 0 1 4 6 < / T a r g e t A c c o u n t I D >  
             < T a r g e t A c c o u n t N u m b e r > 8 1 1 1 . 1 < / T a r g e t A c c o u n t N u m b e r >  
         < / A c c o u n t G r o u p I n f o >  
         < A c c o u n t G r o u p I n f o >  
             < N a m e > R e t u r n   o n   T e r m   D e p o s i t   A c c o u n t s < / N a m e >  
             < T a r g e t A c c o u n t I D > 2 6 5 0 7 8 9 9 2 6 4 0 0 0 0 0 1 4 8 < / T a r g e t A c c o u n t I D >  
             < T a r g e t A c c o u n t N u m b e r > 8 1 1 1 . 2 < / T a r g e t A c c o u n t N u m b e r >  
         < / A c c o u n t G r o u p I n f o >  
         < A c c o u n t G r o u p I n f o >  
             < N a m e > I n c o m e   f r o m   G o v e r n m e n t   S e c u r i t i e s < / N a m e >  
             < T a r g e t A c c o u n t I D > 2 6 5 0 7 8 9 9 2 6 4 0 0 0 0 0 1 4 9 < / T a r g e t A c c o u n t I D >  
             < T a r g e t A c c o u n t N u m b e r > 8 1 1 3 . 1 < / T a r g e t A c c o u n t N u m b e r >  
         < / A c c o u n t G r o u p I n f o >  
         < A c c o u n t G r o u p I n f o >  
             < N a m e > I n c o m e   f r o m   T F C s < / N a m e >  
             < T a r g e t A c c o u n t I D > 2 6 5 0 7 8 9 9 2 6 4 0 0 0 0 0 1 5 2 < / T a r g e t A c c o u n t I D >  
             < T a r g e t A c c o u n t N u m b e r > 8 1 1 4 . 1 < / T a r g e t A c c o u n t N u m b e r >  
         < / A c c o u n t G r o u p I n f o >  
         < A c c o u n t G r o u p I n f o >  
             < N a m e > R e t u r n   o n   B a n k   B a l a n c e s < / N a m e >  
             < T a r g e t A c c o u n t I D > 2 6 5 0 7 8 9 9 2 6 4 0 0 0 0 0 1 5 4 < / T a r g e t A c c o u n t I D >  
             < T a r g e t A c c o u n t N u m b e r > 8 1 1 5 . 1 < / T a r g e t A c c o u n t N u m b e r >  
         < / A c c o u n t G r o u p I n f o >  
         < A c c o u n t G r o u p I n f o >  
             < N a m e > R e t u r n   o n   T D R s < / N a m e >  
             < T a r g e t A c c o u n t I D > 2 6 5 0 7 8 9 9 2 6 4 0 0 0 0 0 1 5 6 < / T a r g e t A c c o u n t I D >  
             < T a r g e t A c c o u n t N u m b e r > 8 1 1 5 . 2 < / T a r g e t A c c o u n t N u m b e r >  
         < / A c c o u n t G r o u p I n f o >  
         < A c c o u n t G r o u p I n f o >  
             < N a m e > O t h e r   i n c o m e < / N a m e >  
             < T a r g e t A c c o u n t I D > 2 6 5 0 7 8 9 9 2 6 4 0 0 0 0 0 1 5 7 < / T a r g e t A c c o u n t I D >  
             < T a r g e t A c c o u n t N u m b e r > 8 1 1 6 . 1 < / T a r g e t A c c o u n t N u m b e r >  
         < / A c c o u n t G r o u p I n f o >  
         < A c c o u n t G r o u p I n f o >  
             < N a m e > U n r e a l i z e d   G a i n / L o s s   -   H F T < / N a m e >  
             < T a r g e t A c c o u n t I D > 2 6 5 0 7 8 9 9 2 6 4 0 0 0 0 0 1 6 0 < / T a r g e t A c c o u n t I D >  
             < T a r g e t A c c o u n t N u m b e r > 8 1 1 7 . 1 < / T a r g e t A c c o u n t N u m b e r >  
         < / A c c o u n t G r o u p I n f o >  
         < A c c o u n t G r o u p I n f o >  
             < N a m e > R e m u n e r a t i o n   o f   m a n a g e m e n t   c o m p a n y < / N a m e >  
             < T a r g e t A c c o u n t I D > 2 6 5 0 7 8 9 9 2 6 4 0 0 0 0 0 1 6 2 < / T a r g e t A c c o u n t I D >  
             < T a r g e t A c c o u n t N u m b e r > 8 1 2 0 . 1 < / T a r g e t A c c o u n t N u m b e r >  
         < / A c c o u n t G r o u p I n f o >  
         < A c c o u n t G r o u p I n f o >  
             < N a m e > S a l e s   t a x   a n d   F E D   o n   m a n a g e m e n t   r e m u n e r a t i o n < / N a m e >  
             < T a r g e t A c c o u n t I D > 2 6 5 0 7 8 9 9 2 6 4 0 0 0 0 0 1 6 4 < / T a r g e t A c c o u n t I D >  
             < T a r g e t A c c o u n t N u m b e r > 8 1 2 0 . 2 < / T a r g e t A c c o u n t N u m b e r >  
         < / A c c o u n t G r o u p I n f o >  
         < A c c o u n t G r o u p I n f o >  
             < N a m e > R e m u n e r a t i o n   o f   T r u s t e e   F e e   -   C D C < / N a m e >  
             < T a r g e t A c c o u n t I D > 2 6 5 0 7 8 9 9 2 6 4 0 0 0 0 0 1 6 6 < / T a r g e t A c c o u n t I D >  
             < T a r g e t A c c o u n t N u m b e r > 8 1 2 1 . 1 < / T a r g e t A c c o u n t N u m b e r >  
         < / A c c o u n t G r o u p I n f o >  
         < A c c o u n t G r o u p I n f o >  
             < N a m e > A n n u a l   F e e   -   S E C P < / N a m e >  
             < T a r g e t A c c o u n t I D > 2 6 5 0 7 8 9 9 2 6 4 0 0 0 0 0 1 6 7 < / T a r g e t A c c o u n t I D >  
             < T a r g e t A c c o u n t N u m b e r > 8 1 2 2 . 1 < / T a r g e t A c c o u n t N u m b e r >  
         < / A c c o u n t G r o u p I n f o >  
         < A c c o u n t G r o u p I n f o >  
             < N a m e > S e c u r i t i e s   t r a n s a c t i o n   c o s t < / N a m e >  
             < T a r g e t A c c o u n t I D > 2 6 5 0 7 8 9 9 2 6 4 0 0 0 0 0 1 7 0 < / T a r g e t A c c o u n t I D >  
             < T a r g e t A c c o u n t N u m b e r > 8 1 3 0 . 1 < / T a r g e t A c c o u n t N u m b e r >  
         < / A c c o u n t G r o u p I n f o >  
         < A c c o u n t G r o u p I n f o >  
             < N a m e > W o r k e r s '   W e l f a r e   F u n d   E x p e n s e < / N a m e >  
             < T a r g e t A c c o u n t I D > 2 6 5 0 7 8 9 9 2 6 4 0 0 0 0 0 1 7 1 < / T a r g e t A c c o u n t I D >  
             < T a r g e t A c c o u n t N u m b e r > 8 1 4 0 . 1 < / T a r g e t A c c o u n t N u m b e r >  
         < / A c c o u n t G r o u p I n f o >  
         < A c c o u n t G r o u p I n f o >  
             < N a m e > A u d i t o r ' s   R e m u n e r a t i o n < / N a m e >  
             < T a r g e t A c c o u n t I D > 2 6 5 0 7 8 9 9 2 6 4 0 0 0 0 0 1 7 4 < / T a r g e t A c c o u n t I D >  
             < T a r g e t A c c o u n t N u m b e r > 8 1 5 0 . 1 < / T a r g e t A c c o u n t N u m b e r >  
         < / A c c o u n t G r o u p I n f o >  
         < A c c o u n t G r o u p I n f o >  
             < N a m e > O t h e r   E x p e n s e s < / N a m e >  
             < T a r g e t A c c o u n t I D > 2 6 5 0 7 8 9 9 2 6 4 0 0 0 0 0 1 7 5 < / T a r g e t A c c o u n t I D >  
             < T a r g e t A c c o u n t N u m b e r > 8 1 6 0 . 1 < / T a r g e t A c c o u n t N u m b e r >  
         < / A c c o u n t G r o u p I n f o >  
         < A c c o u n t G r o u p I n f o >  
             < N a m e > I m p a i r m e n t   o n   I n v e s t m e n t   i n   E q u i t y   S e c u r i t i e s < / N a m e >  
             < T a r g e t A c c o u n t I D > 2 6 5 0 7 8 9 9 2 6 4 0 0 0 0 0 1 7 8 < / T a r g e t A c c o u n t I D >  
             < T a r g e t A c c o u n t N u m b e r > 8 1 9 0 . 1 < / T a r g e t A c c o u n t N u m b e r >  
         < / A c c o u n t G r o u p I n f o >  
         < A c c o u n t G r o u p I n f o >  
             < N a m e > R e a l i z e d   E l e m e n t   & a m p ;   C a p i t a l   G a i n < / N a m e >  
             < T a r g e t A c c o u n t I D > 2 6 5 0 7 8 9 9 2 6 4 0 0 0 0 0 1 8 0 < / T a r g e t A c c o u n t I D >  
             < T a r g e t A c c o u n t N u m b e r > 9 1 1 0 . 1 < / T a r g e t A c c o u n t N u m b e r >  
         < / A c c o u n t G r o u p I n f o >  
         < A c c o u n t G r o u p I n f o >  
             < N a m e > U n r e a l i z e d   E l e m e n t   & a m p ;   C a p i t a l   G a i n < / N a m e >  
             < T a r g e t A c c o u n t I D > 2 6 5 0 7 8 9 9 2 6 4 0 0 0 0 0 1 8 1 < / T a r g e t A c c o u n t I D >  
             < T a r g e t A c c o u n t N u m b e r > 9 1 1 0 . 2 < / T a r g e t A c c o u n t N u m b e r >  
         < / A c c o u n t G r o u p I n f o >  
         < A c c o u n t G r o u p I n f o >  
             < N a m e > P r e p a y m e n t s < / N a m e >  
             < T a r g e t A c c o u n t I D > 2 6 5 0 7 8 9 9 2 6 4 0 0 0 0 0 0 1 1 < / T a r g e t A c c o u n t I D >  
             < T a r g e t A c c o u n t N u m b e r > D T T - 1 < / T a r g e t A c c o u n t N u m b e r >  
         < / A c c o u n t G r o u p I n f o >  
     < / A c c o u n t G r o u p s >  
     < A c c o u n t s >  
         < A c c o u n t S t o r a g e >  
             < A c c o u n t B a l a n c e s >  
                 < A c c o u n t B a l a n c e >  
                     < F i e l d N a m e > P r i o r P e r i o d 1 B a l a n c e < / F i e l d N a m e >  
                     < B a l a n c e > 1 9 0 3 6 0 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 2 6 5 0 7 8 9 9 2 6 4 0 0 0 0 0 0 1 2 < / I D >  
             < T a r g e t A c c o u n t I D > 2 6 5 0 7 8 9 9 2 6 4 0 0 0 0 0 0 1 6 < / T a r g e t A c c o u n t I D >  
             < C h a r t I D > 2 6 5 0 7 8 9 9 2 6 4 0 0 0 0 0 0 0 3 < / C h a r t I D >  
             < I s L i n k e d > f a l s e < / I s L i n k e d >  
             < N u m b e r > 0 1 0 1 0 0 1 0 0 0 0 1 < / N u m b e r >  
             < N a m e > B A N K   B A L A N C E S   -   A L L I E D   B A N K   L I M I T E D   -   F O R E I G N   E X C H A N G E   B R A N C H < / N a m e >  
             < A J E > 0 < / A J E >  
             < A d j u s t > 2 3 3 4 4 8 < / A d j u s t >  
             < R J E > 0 < / R J E >  
             < P r e l i m i n a r y > 2 3 3 4 4 8 < / P r e l i m i n a r y >  
             < F i n a l > 2 3 3 4 4 8 < / F i n a l >  
         < / A c c o u n t S t o r a g e >  
         < A c c o u n t S t o r a g e >  
             < A c c o u n t B a l a n c e s >  
                 < A c c o u n t B a l a n c e >  
                     < F i e l d N a m e > P r i o r P e r i o d 1 B a l a n c e < / F i e l d N a m e >  
                     < B a l a n c e > 2 3 9 3 < / B a l a n c e >  
                 < / A c c o u n t B a l a n c e >  
                 < A c c o u n t B a l a n c e >  
                     < F i e l d N a m e > P r i o r P e r i o d 2 B a l a n c e < / F i e l d N a m e >  
                     < B a l a n c e > 2 9 3 0 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 2 6 5 0 7 8 9 9 2 6 4 0 0 0 0 0 0 1 7 < / I D >  
             < T a r g e t A c c o u n t I D > 2 6 5 0 7 8 9 9 2 6 4 0 0 0 0 0 0 1 6 < / T a r g e t A c c o u n t I D >  
             < C h a r t I D > 2 6 5 0 7 8 9 9 2 6 4 0 0 0 0 0 0 0 3 < / C h a r t I D >  
             < I s L i n k e d > f a l s e < / I s L i n k e d >  
             < N u m b e r > 0 1 0 1 0 0 1 0 0 0 0 5 < / N u m b e r >  
             < N a m e > B A N K   B A L A N C E S   -   B A N K   A L   F A L A H   L I M I T E D     -   K S E   B R A N C H < / N a m e >  
             < A J E > 0 < / A J E >  
             < A d j u s t > 2 2 1 7 < / A d j u s t >  
             < R J E > 0 < / R J E >  
             < P r e l i m i n a r y > 2 2 1 7 < / P r e l i m i n a r y >  
             < F i n a l > 2 2 1 7 < / F i n a l >  
         < / A c c o u n t S t o r a g e >  
         < A c c o u n t S t o r a g e >  
             < A c c o u n t B a l a n c e s >  
                 < A c c o u n t B a l a n c e >  
                     < F i e l d N a m e > P r i o r P e r i o d 1 B a l a n c e < / F i e l d N a m e >  
                     < B a l a n c e > 2 9 5 6 < / B a l a n c e >  
                 < / A c c o u n t B a l a n c e >  
                 < A c c o u n t B a l a n c e >  
                     < F i e l d N a m e > P r i o r P e r i o d 2 B a l a n c e < / F i e l d N a m e >  
                     < B a l a n c e > 6 1 2 8 3 < / B a l a n c e >  
                 < / A c c o u n t B a l a n c e >  
                 < A c c o u n t B a l a n c e >  
                     < F i e l d N a m e > P r i o r P e r i o d 3 B a l a n c e < / F i e l d N a m e >  
                     < B a l a n c e > 7 4 4 7 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 2 6 5 0 7 8 9 9 2 6 4 0 0 0 0 0 0 1 8 < / I D >  
             < T a r g e t A c c o u n t I D > 2 6 5 0 7 8 9 9 2 6 4 0 0 0 0 0 0 1 6 < / T a r g e t A c c o u n t I D >  
             < C h a r t I D > 2 6 5 0 7 8 9 9 2 6 4 0 0 0 0 0 0 0 3 < / C h a r t I D >  
             < I s L i n k e d > f a l s e < / I s L i n k e d >  
             < N u m b e r > 0 1 0 1 0 0 1 0 0 0 1 4 < / N u m b e r >  
             < N a m e > B A N K   B A L A N C E S   -   H A B I B   M E T R O P O L I T A N   B A N K   L I M I T E D   -   K A R A C H I   S T O C K   E X C H A N G E   B R A N C H < / N a m e >  
             < A J E > 0 < / A J E >  
             < A d j u s t > 1 0 8 8 3 < / A d j u s t >  
             < R J E > 0 < / R J E >  
             < P r e l i m i n a r y > 1 0 8 8 3 < / P r e l i m i n a r y >  
             < F i n a l > 1 0 8 8 3 < / F i n a l >  
         < / A c c o u n t S t o r a g e >  
         < A c c o u n t S t o r a g e >  
             < A c c o u n t B a l a n c e s >  
                 < A c c o u n t B a l a n c e >  
                     < F i e l d N a m e > P r i o r P e r i o d 1 B a l a n c e < / F i e l d N a m e >  
                     < B a l a n c e > 2 1 6 9 < / B a l a n c e >  
                 < / A c c o u n t B a l a n c e >  
                 < A c c o u n t B a l a n c e >  
                     < F i e l d N a m e > P r i o r P e r i o d 2 B a l a n c e < / F i e l d N a m e >  
                     < B a l a n c e > 1 2 6 6 2 < / B a l a n c e >  
                 < / A c c o u n t B a l a n c e >  
                 < A c c o u n t B a l a n c e >  
                     < F i e l d N a m e > P r i o r P e r i o d 3 B a l a n c e < / F i e l d N a m e >  
                     < B a l a n c e > 2 2 5 4 5 6 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 2 6 5 0 7 8 9 9 2 6 4 0 0 0 0 0 0 2 7 < / I D >  
             < T a r g e t A c c o u n t I D > 2 6 5 0 7 8 9 9 2 6 4 0 0 0 0 0 0 1 6 < / T a r g e t A c c o u n t I D >  
             < C h a r t I D > 2 6 5 0 7 8 9 9 2 6 4 0 0 0 0 0 0 0 3 < / C h a r t I D >  
             < I s L i n k e d > f a l s e < / I s L i n k e d >  
             < N u m b e r > 0 1 0 1 0 0 1 0 0 0 1 7 < / N u m b e r >  
             < N a m e > B A N K   B A L A N C E S   -   M C B   B A N K   L I M I T E D   -   U N I   T O W E R   B R A N C H < / N a m e >  
             < A J E > 0 < / A J E >  
             < A d j u s t > 1 5 0 < / A d j u s t >  
             < R J E > 0 < / R J E >  
             < P r e l i m i n a r y > 1 5 0 < / P r e l i m i n a r y >  
             < F i n a l > 1 5 0 < / F i n a l >  
         < / A c c o u n t S t o r a g e >  
         < A c c o u n t S t o r a g e >  
             < A c c o u n t B a l a n c e s >  
                 < A c c o u n t B a l a n c e >  
                     < F i e l d N a m e > P r i o r P e r i o d 1 B a l a n c e < / F i e l d N a m e >  
                     < B a l a n c e > 6 < / B a l a n c e >  
                 < / A c c o u n t B a l a n c e >  
                 < A c c o u n t B a l a n c e >  
                     < F i e l d N a m e > P r i o r P e r i o d 2 B a l a n c e < / F i e l d N a m e >  
                     < B a l a n c e > 6 < / B a l a n c e >  
                 < / A c c o u n t B a l a n c e >  
                 < A c c o u n t B a l a n c e >  
                     < F i e l d N a m e > P r i o r P e r i o d 3 B a l a n c e < / F i e l d N a m e >  
                     < B a l a n c e > 7 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 2 6 5 0 7 8 9 9 2 6 4 0 0 0 0 0 0 2 8 < / I D >  
             < T a r g e t A c c o u n t I D > 2 6 5 0 7 8 9 9 2 6 4 0 0 0 0 0 0 1 6 < / T a r g e t A c c o u n t I D >  
             < C h a r t I D > 2 6 5 0 7 8 9 9 2 6 4 0 0 0 0 0 0 0 3 < / C h a r t I D >  
             < I s L i n k e d > f a l s e < / I s L i n k e d >  
             < N u m b e r > 0 1 0 1 0 0 1 0 0 0 2 1 < / N u m b e r >  
             < N a m e > B A N K   B A L A N C E S   -   M C B   B A N K   L I M I T E D   -   G L O B A L   T R A N S A C T I O N   -   S H A H E E N   C O M P L E X   B R A N C H < / N a m e >  
             < A J E > 0 < / A J E >  
             < A d j u s t > 6 < / A d j u s t >  
             < R J E > 0 < / R J E >  
             < P r e l i m i n a r y > 6 < / P r e l i m i n a r y >  
             < F i n a l > 6 < / F i n a l >  
         < / A c c o u n t S t o r a g e >  
         < A c c o u n t S t o r a g e >  
             < A c c o u n t B a l a n c e s >  
                 < A c c o u n t B a l a n c e >  
                     < F i e l d N a m e > P r i o r P e r i o d 1 B a l a n c e < / F i e l d N a m e >  
                     < B a l a n c e > 4 < / B a l a n c e >  
                 < / A c c o u n t B a l a n c e >  
                 < A c c o u n t B a l a n c e >  
                     < F i e l d N a m e > P r i o r P e r i o d 2 B a l a n c e < / F i e l d N a m e >  
                     < B a l a n c e > 5 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 2 6 5 0 7 8 9 9 2 6 4 0 0 0 0 0 0 3 2 < / I D >  
             < T a r g e t A c c o u n t I D > 2 6 5 0 7 8 9 9 2 6 4 0 0 0 0 0 0 1 6 < / T a r g e t A c c o u n t I D >  
             < C h a r t I D > 2 6 5 0 7 8 9 9 2 6 4 0 0 0 0 0 0 0 3 < / C h a r t I D >  
             < I s L i n k e d > f a l s e < / I s L i n k e d >  
             < N u m b e r > 0 1 0 1 0 0 1 0 0 0 2 6 < / N u m b e r >  
             < N a m e > B A N K   B A L A N C E S   -   N I B   B A N K   L I M I T E D   -   M A I N   B R A N C H < / N a m e >  
             < A J E > 0 < / A J E >  
             < A d j u s t > 4 < / A d j u s t >  
             < R J E > 0 < / R J E >  
             < P r e l i m i n a r y > 4 < / P r e l i m i n a r y >  
             < F i n a l > 4 < / F i n a l >  
         < / A c c o u n t S t o r a g e >  
         < A c c o u n t S t o r a g e >  
             < A c c o u n t B a l a n c e s >  
                 < A c c o u n t B a l a n c e >  
                     < F i e l d N a m e > P r i o r P e r i o d 1 B a l a n c e < / F i e l d N a m e >  
                     < B a l a n c e > 1 0 7 5 < / B a l a n c e >  
                 < / A c c o u n t B a l a n c e >  
                 < A c c o u n t B a l a n c e >  
                     < F i e l d N a m e > P r i o r P e r i o d 2 B a l a n c e < / F i e l d N a m e >  
                     < B a l a n c e > 1 0 7 5 < / B a l a n c e >  
                 < / A c c o u n t B a l a n c e >  
                 < A c c o u n t B a l a n c e >  
                     < F i e l d N a m e > P r i o r P e r i o d 3 B a l a n c e < / F i e l d N a m e >  
                     < B a l a n c e > 1 0 7 5 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 2 6 5 0 7 8 9 9 2 6 4 0 0 0 0 0 0 3 6 < / I D >  
             < T a r g e t A c c o u n t I D > 2 6 5 0 7 8 9 9 2 6 4 0 0 0 0 0 0 1 6 < / T a r g e t A c c o u n t I D >  
             < C h a r t I D > 2 6 5 0 7 8 9 9 2 6 4 0 0 0 0 0 0 0 3 < / C h a r t I D >  
             < I s L i n k e d > f a l s e < / I s L i n k e d >  
             < N u m b e r > 0 1 0 1 0 0 1 0 0 0 3 3 < / N u m b e r >  
             < N a m e > B A N K   B A L A N C E S   -   S T A N D A R D   C H A R T E R E D   B A N K   L I M I T E D   -   D I V I D E N D   -   1   -   M A I N   B R A N C H < / N a m e >  
             < A J E > 0 < / A J E >  
             < A d j u s t > 1 0 7 5 < / A d j u s t >  
             < R J E > 0 < / R J E >  
             < P r e l i m i n a r y > 1 0 7 5 < / P r e l i m i n a r y >  
             < F i n a l > 1 0 7 5 < / F i n a l >  
         < / A c c o u n t S t o r a g e >  
         < A c c o u n t S t o r a g e >  
             < A c c o u n t B a l a n c e s >  
                 < A c c o u n t B a l a n c e >  
                     < F i e l d N a m e > P r i o r P e r i o d 1 B a l a n c e < / F i e l d N a m e >  
                     < B a l a n c e > 8 8 0 < / B a l a n c e >  
                 < / A c c o u n t B a l a n c e >  
                 < A c c o u n t B a l a n c e >  
                     < F i e l d N a m e > P r i o r P e r i o d 2 B a l a n c e < / F i e l d N a m e >  
                     < B a l a n c e > 8 8 0 < / B a l a n c e >  
                 < / A c c o u n t B a l a n c e >  
                 < A c c o u n t B a l a n c e >  
                     < F i e l d N a m e > P r i o r P e r i o d 3 B a l a n c e < / F i e l d N a m e >  
                     < B a l a n c e > 8 8 0 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 2 6 5 0 7 8 9 9 2 6 4 0 0 0 0 0 0 3 7 < / I D >  
             < T a r g e t A c c o u n t I D > 2 6 5 0 7 8 9 9 2 6 4 0 0 0 0 0 0 1 6 < / T a r g e t A c c o u n t I D >  
             < C h a r t I D > 2 6 5 0 7 8 9 9 2 6 4 0 0 0 0 0 0 0 3 < / C h a r t I D >  
             < I s L i n k e d > f a l s e < / I s L i n k e d >  
             < N u m b e r > 0 1 0 1 0 0 1 0 0 0 3 4 < / N u m b e r >  
             < N a m e > B A N K   B A L A N C E S   -   S T A N D A R D   C H A R T E R E D   B A N K   L I M I T E D   -   D I V I D E N D   -   2   -   M A I N   B R A N C H < / N a m e >  
             < A J E > 0 < / A J E >  
             < A d j u s t > 8 8 0 < / A d j u s t >  
             < R J E > 0 < / R J E >  
             < P r e l i m i n a r y > 8 8 0 < / P r e l i m i n a r y >  
             < F i n a l > 8 8 0 < / F i n a l >  
         < / A c c o u n t S t o r a g e >  
         < A c c o u n t S t o r a g e >  
             < A c c o u n t B a l a n c e s >  
                 < A c c o u n t B a l a n c e >  
                     < F i e l d N a m e > P r i o r P e r i o d 1 B a l a n c e < / F i e l d N a m e >  
                     < B a l a n c e > 2 0 < / B a l a n c e >  
                 < / A c c o u n t B a l a n c e >  
                 < A c c o u n t B a l a n c e >  
                     < F i e l d N a m e > P r i o r P e r i o d 2 B a l a n c e < / F i e l d N a m e >  
                     < B a l a n c e > 7 2 9 < / B a l a n c e >  
                 < / A c c o u n t B a l a n c e >  
                 < A c c o u n t B a l a n c e >  
                     < F i e l d N a m e > P r i o r P e r i o d 3 B a l a n c e < / F i e l d N a m e >  
                     < B a l a n c e > 1 7 5 0 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 2 6 5 0 7 8 9 9 2 6 4 0 0 0 0 0 0 4 2 < / I D >  
             < T a r g e t A c c o u n t I D > 2 6 5 0 7 8 9 9 2 6 4 0 0 0 0 0 0 1 6 < / T a r g e t A c c o u n t I D >  
             < C h a r t I D > 2 6 5 0 7 8 9 9 2 6 4 0 0 0 0 0 0 0 3 < / C h a r t I D >  
             < I s L i n k e d > f a l s e < / I s L i n k e d >  
             < N u m b e r > 0 1 0 1 0 0 1 0 0 0 4 0 < / N u m b e r >  
             < N a m e > B A N K   B A L A N C E S   -   U N I T E D   B A N K   L I M I T E D   -   C O R P O R A T E   B R A N C H < / N a m e >  
             < A J E > 0 < / A J E >  
             < A d j u s t > 4 3 1 < / A d j u s t >  
             < R J E > 0 < / R J E >  
             < P r e l i m i n a r y > 4 3 1 < / P r e l i m i n a r y >  
             < F i n a l > 4 3 1 < / F i n a l >  
         < / A c c o u n t S t o r a g e >  
         < A c c o u n t S t o r a g e >  
             < A c c o u n t B a l a n c e s >  
                 < A c c o u n t B a l a n c e >  
                     < F i e l d N a m e > P r i o r P e r i o d 1 B a l a n c e < / F i e l d N a m e >  
                     < B a l a n c e > 8 2 5 < / B a l a n c e >  
                 < / A c c o u n t B a l a n c e >  
                 < A c c o u n t B a l a n c e >  
                     < F i e l d N a m e > P r i o r P e r i o d 2 B a l a n c e < / F i e l d N a m e >  
                     < B a l a n c e > 8 2 5 < / B a l a n c e >  
                 < / A c c o u n t B a l a n c e >  
                 < A c c o u n t B a l a n c e >  
                     < F i e l d N a m e > P r i o r P e r i o d 3 B a l a n c e < / F i e l d N a m e >  
                     < B a l a n c e > 8 2 6 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 2 6 5 0 7 8 9 9 2 6 4 0 0 0 0 0 0 4 3 < / I D >  
             < T a r g e t A c c o u n t I D > 2 6 5 0 7 8 9 9 2 6 4 0 0 0 0 0 0 1 6 < / T a r g e t A c c o u n t I D >  
             < C h a r t I D > 2 6 5 0 7 8 9 9 2 6 4 0 0 0 0 0 0 0 3 < / C h a r t I D >  
             < I s L i n k e d > f a l s e < / I s L i n k e d >  
             < N u m b e r > 0 1 0 1 0 0 1 0 0 0 4 4 < / N u m b e r >  
             < N a m e > B a n k   B a l a n c e s   -   B a n k   A l - H a b i b   L i m i t e d   -   D I V I D E N D   -   1   -   K S E   B R A N C H < / N a m e >  
             < A J E > 0 < / A J E >  
             < A d j u s t > 8 2 5 < / A d j u s t >  
             < R J E > 0 < / R J E >  
             < P r e l i m i n a r y > 8 2 5 < / P r e l i m i n a r y >  
             < F i n a l > 8 2 5 < / F i n a l >  
         < / A c c o u n t S t o r a g e >  
         < A c c o u n t S t o r a g e >  
             < A c c o u n t B a l a n c e s >  
                 < A c c o u n t B a l a n c e >  
                     < F i e l d N a m e > P r i o r P e r i o d 1 B a l a n c e < / F i e l d N a m e >  
                     < B a l a n c e > 3 9 7 7 < / B a l a n c e >  
                 < / A c c o u n t B a l a n c e >  
                 < A c c o u n t B a l a n c e >  
                     < F i e l d N a m e > P r i o r P e r i o d 2 B a l a n c e < / F i e l d N a m e >  
                     < B a l a n c e > 5 0 2 < / B a l a n c e >  
                 < / A c c o u n t B a l a n c e >  
                 < A c c o u n t B a l a n c e >  
                     < F i e l d N a m e > P r i o r P e r i o d 3 B a l a n c e < / F i e l d N a m e >  
                     < B a l a n c e > 3 5 0 7 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 2 6 5 0 7 8 9 9 2 6 4 0 0 0 0 0 0 4 7 < / I D >  
             < T a r g e t A c c o u n t I D > 2 6 5 0 7 8 9 9 2 6 4 0 0 0 0 0 0 1 6 < / T a r g e t A c c o u n t I D >  
             < C h a r t I D > 2 6 5 0 7 8 9 9 2 6 4 0 0 0 0 0 0 0 3 < / C h a r t I D >  
             < I s L i n k e d > f a l s e < / I s L i n k e d >  
             < N u m b e r > 0 1 0 1 0 0 1 0 0 0 5 4 < / N u m b e r >  
             < N a m e > B a n k   B a l a n c e s   -   M c b   B a n k   L i m i t e d   -   S h a h e e n   C o m p l e x   B r a n c h < / N a m e >  
             < A J E > 0 < / A J E >  
             < A d j u s t > 3 6 1 8 < / A d j u s t >  
             < R J E > 0 < / R J E >  
             < P r e l i m i n a r y > 3 6 1 8 < / P r e l i m i n a r y >  
             < F i n a l > 3 6 1 8 < / F i n a l >  
         < / A c c o u n t S t o r a g e >  
         < A c c o u n t S t o r a g e >  
             < A c c o u n t B a l a n c e s >  
                 < A c c o u n t B a l a n c e >  
                     < F i e l d N a m e > P r i o r P e r i o d 1 B a l a n c e < / F i e l d N a m e >  
                     < B a l a n c e > 6 < / B a l a n c e >  
                 < / A c c o u n t B a l a n c e >  
                 < A c c o u n t B a l a n c e >  
                     < F i e l d N a m e > P r i o r P e r i o d 2 B a l a n c e < / F i e l d N a m e >  
                     < B a l a n c e > 7 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 2 6 5 0 7 8 9 9 2 6 4 0 0 0 0 0 0 5 0 < / I D >  
             < T a r g e t A c c o u n t I D > 2 6 5 0 7 8 9 9 2 6 4 0 0 0 0 0 0 1 6 < / T a r g e t A c c o u n t I D >  
             < C h a r t I D > 2 6 5 0 7 8 9 9 2 6 4 0 0 0 0 0 0 0 3 < / C h a r t I D >  
             < I s L i n k e d > f a l s e < / I s L i n k e d >  
             < N u m b e r > 0 1 0 1 0 0 1 0 0 0 6 9 < / N u m b e r >  
             < N a m e > B a n k   B a l a n c e s   -   B a n k   A l   H a b i b   L i m i t e d   -   M a i n   B r a n c h < / N a m e >  
             < A J E > 0 < / A J E >  
             < A d j u s t > 6 < / A d j u s t >  
             < R J E > 0 < / R J E >  
             < P r e l i m i n a r y > 6 < / P r e l i m i n a r y >  
             < F i n a l > 6 < / F i n a l >  
         < / A c c o u n t S t o r a g e >  
         < A c c o u n t S t o r a g e >  
             < A c c o u n t B a l a n c e s >  
                 < A c c o u n t B a l a n c e >  
                     < F i e l d N a m e > P r i o r P e r i o d 1 B a l a n c e < / F i e l d N a m e >  
                     < B a l a n c e > 1 0 6 < / 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 2 6 5 0 7 8 9 9 2 6 4 0 0 0 0 0 0 5 2 < / I D >  
             < T a r g e t A c c o u n t I D > 2 6 5 0 7 8 9 9 2 6 4 0 0 0 0 0 0 1 6 < / T a r g e t A c c o u n t I D >  
             < C h a r t I D > 2 6 5 0 7 8 9 9 2 6 4 0 0 0 0 0 0 0 3 < / C h a r t I D >  
             < I s L i n k e d > f a l s e < / I s L i n k e d >  
             < N u m b e r > 0 1 0 1 0 0 1 0 0 0 7 2 < / N u m b e r >  
             < N a m e > B a n k   B a l a n c e s   -   Z a r a i   T a r a q i a t i   B a n k   L i m i t e d   -   S h a f i   C o u r t   B r a n c h < / N a m e >  
             < A J E > 0 < / A J E >  
             < A d j u s t > 8 5 < / A d j u s t >  
             < R J E > 0 < / R J E >  
             < P r e l i m i n a r y > 8 5 < / P r e l i m i n a r y >  
             < F i n a l > 8 5 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 2 6 5 0 7 8 9 9 2 6 4 0 0 0 0 0 2 7 8 < / I D >  
             < T a r g e t A c c o u n t I D > 2 6 5 0 7 8 9 9 2 6 4 0 0 0 0 0 0 1 6 < / T a r g e t A c c o u n t I D >  
             < C h a r t I D > 2 6 5 0 7 8 9 9 2 6 4 0 0 0 0 0 0 0 3 < / C h a r t I D >  
             < I s L i n k e d > f a l s e < / I s L i n k e d >  
             < N u m b e r > 0 1 0 1 0 0 1 0 0 0 8 7 < / N u m b e r >  
             < N a m e > B a n k   B a l a n c e s   -   H a b i b   B a n k   L i m i t e d   -   K s e   B r a n c h < / N a m e >  
             < A J E > 0 < / A J E >  
             < A d j u s t > 2 5 < / A d j u s t >  
             < R J E > 0 < / R J E >  
             < P r e l i m i n a r y > 2 5 < / P r e l i m i n a r y >  
             < F i n a l > 2 5 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 2 6 5 7 4 8 5 5 7 4 2 0 0 0 0 0 0 0 2 < / I D >  
             < T a r g e t A c c o u n t I D > 2 6 5 0 7 8 9 9 2 6 4 0 0 0 0 0 0 1 6 < / T a r g e t A c c o u n t I D >  
             < C h a r t I D > 2 6 5 0 7 8 9 9 2 6 4 0 0 0 0 0 0 0 3 < / C h a r t I D >  
             < I s L i n k e d > f a l s e < / I s L i n k e d >  
             < N u m b e r > 0 1 0 1 0 0 1 0 0 1 0 0 < / N u m b e r >  
             < N a m e > B a n k   B a l a n c e s   -   N a t i o n a l   B a n k   O f   P a k i s t a n   -   M a i n   B r a n c h < / N a m e >  
             < A J E > 0 < / A J E >  
             < A d j u s t > 1 3 < / A d j u s t >  
             < R J E > 0 < / R J E >  
             < P r e l i m i n a r y > 1 3 < / P r e l i m i n a r y >  
             < F i n a l > 1 3 < / F i n a l >  
         < / A c c o u n t S t o r a g e >  
         < A c c o u n t S t o r a g e >  
             < A c c o u n t B a l a n c e s >  
                 < A c c o u n t B a l a n c e >  
                     < F i e l d N a m e > P r i o r P e r i o d 1 B a l a n c e < / F i e l d N a m e >  
                     < B a l a n c e > 3 9 2 8 9 < / B a l a n c e >  
                 < / A c c o u n t B a l a n c e >  
                 < A c c o u n t B a l a n c e >  
                     < F i e l d N a m e > P r i o r P e r i o d 2 B a l a n c e < / F i e l d N a m e >  
                     < B a l a n c e > 3 9 0 9 3 9 < / B a l a n c e >  
                 < / A c c o u n t B a l a n c e >  
                 < A c c o u n t B a l a n c e >  
                     < F i e l d N a m e > P r i o r P e r i o d 3 B a l a n c e < / F i e l d N a m e >  
                     < B a l a n c e > 3 0 5 4 9 2 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 2 6 5 0 7 8 9 9 2 6 4 0 0 0 0 0 0 7 9 < / I D >  
             < T a r g e t A c c o u n t I D > 2 6 5 0 7 8 9 9 2 6 4 0 0 0 0 0 0 1 9 < / T a r g e t A c c o u n t I D >  
             < C h a r t I D > 2 6 5 0 7 8 9 9 2 6 4 0 0 0 0 0 0 0 3 < / C h a r t I D >  
             < I s L i n k e d > f a l s e < / I s L i n k e d >  
             < N u m b e r > 0 1 0 3 0 1 0 0 0 0 0 1 < / N u m b e r >  
             < N a m e > I N V E S T M E N T   I N   E Q Y U I T Y   T R A N S A C T I O N     A F S < / N a m e >  
             < A J E > 0 < / A J E >  
             < A d j u s t > 2 2 1 0 0 < / A d j u s t >  
             < R J E > 0 < / R J E >  
             < P r e l i m i n a r y > 2 2 1 0 0 < / P r e l i m i n a r y >  
             < F i n a l > 2 2 1 0 0 < / F i n a l >  
         < / A c c o u n t S t o r a g e >  
         < A c c o u n t S t o r a g e >  
             < A c c o u n t B a l a n c e s >  
                 < A c c o u n t B a l a n c e >  
                     < F i e l d N a m e > P r i o r P e r i o d 1 B a l a n c e < / F i e l d N a m e >  
                     < B a l a n c e > 1 9 2 3 7 < / B a l a n c e >  
                 < / A c c o u n t B a l a n c e >  
                 < A c c o u n t B a l a n c e >  
                     < F i e l d N a m e > P r i o r P e r i o d 2 B a l a n c e < / F i e l d N a m e >  
                     < B a l a n c e > 1 1 3 2 0 < / B a l a n c e >  
                 < / A c c o u n t B a l a n c e >  
                 < A c c o u n t B a l a n c e >  
                     < F i e l d N a m e > P r i o r P e r i o d 3 B a l a n c e < / F i e l d N a m e >  
                     < B a l a n c e > 1 3 6 4 3 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 2 6 5 0 7 8 9 9 2 6 4 0 0 0 0 0 0 8 4 < / I D >  
             < T a r g e t A c c o u n t I D > 2 6 5 0 7 8 9 9 2 6 4 0 0 0 0 0 0 1 9 < / T a r g e t A c c o u n t I D >  
             < C h a r t I D > 2 6 5 0 7 8 9 9 2 6 4 0 0 0 0 0 0 0 3 < / C h a r t I D >  
             < I s L i n k e d > f a l s e < / I s L i n k e d >  
             < N u m b e r > 0 1 0 3 0 1 0 0 0 0 0 2 < / N u m b e r >  
             < N a m e > E Q U I T Y   T R A N S A C T I O N     A P P R E C I A T I O N   /   D I M I N U T I O N     A F S < / N a m e >  
             < A J E > 0 < / A J E >  
             < A d j u s t > 1 2 8 7 7 < / A d j u s t >  
             < R J E > 0 < / R J E >  
             < P r e l i m i n a r y > 1 2 8 7 7 < / P r e l i m i n a r y >  
             < F i n a l > 1 2 8 7 7 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 2 5 0 0 0 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 2 6 5 0 7 8 9 9 2 6 4 0 0 0 0 0 2 6 4 < / I D >  
             < T a r g e t A c c o u n t I D > 2 6 5 0 7 8 9 9 2 6 4 0 0 0 0 0 0 2 6 < / T a r g e t A c c o u n t I D >  
             < C h a r t I D > 2 6 5 0 7 8 9 9 2 6 4 0 0 0 0 0 0 0 3 < / C h a r t I D >  
             < I s L i n k e d > f a l s e < / I s L i n k e d >  
             < N u m b e r > 0 1 0 3 0 1 3 0 0 0 0 1 < / N u m b e r >  
             < N a m e > I N V E S T M E N T   I N   P A K I S T A N   I N V E S T M E N T   B O N D S     F A C E   V A L U E 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 - 4 8 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 2 6 5 0 7 8 9 9 2 6 4 0 0 0 0 0 2 6 5 < / I D >  
             < T a r g e t A c c o u n t I D > 2 6 5 0 7 8 9 9 2 6 4 0 0 0 0 0 0 2 6 < / T a r g e t A c c o u n t I D >  
             < C h a r t I D > 2 6 5 0 7 8 9 9 2 6 4 0 0 0 0 0 0 0 3 < / C h a r t I D >  
             < I s L i n k e d > f a l s e < / I s L i n k e d >  
             < N u m b e r > 0 1 0 3 0 1 3 0 0 0 0 2 < / N u m b e r >  
             < N a m e > P A K I S T A N   I N V E S T M E N T   B O N D S     A P P R E C I A T I O N   /   D I M I N U T I O N 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 - 3 1 3 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 2 6 5 0 7 8 9 9 2 6 4 0 0 0 0 0 2 6 6 < / I D >  
             < T a r g e t A c c o u n t I D > 2 6 5 0 7 8 9 9 2 6 4 0 0 0 0 0 0 2 6 < / T a r g e t A c c o u n t I D >  
             < C h a r t I D > 2 6 5 0 7 8 9 9 2 6 4 0 0 0 0 0 0 0 3 < / C h a r t I D >  
             < I s L i n k e d > f a l s e < / I s L i n k e d >  
             < N u m b e r > 0 1 0 3 0 1 3 0 0 0 0 3 < / N u m b e r >  
             < N a m e > P A K I S T A N   I N V E S T M E N T   B O N D S     D I S C O U N T   /   A M O R T I S A T I O N 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 4 2 9 1 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 2 6 5 0 7 8 9 9 2 6 4 0 0 0 0 0 0 7 1 < / I D >  
             < T a r g e t A c c o u n t I D > 2 6 5 0 7 8 9 9 2 6 4 0 0 0 0 0 0 2 9 < / T a r g e t A c c o u n t I D >  
             < C h a r t I D > 2 6 5 0 7 8 9 9 2 6 4 0 0 0 0 0 0 0 3 < / C h a r t I D >  
             < I s L i n k e d > f a l s e < / I s L i n k e d >  
             < N u m b e r > 0 1 0 3 0 0 9 0 0 0 0 1 < / N u m b e r >  
             < N a m e > I N V E S T M E N T S   I N   T F C   F A C E   V A L U E   H F T < / N a m e >  
             < A J E > 0 < / A J E >  
             < A d j u s t > 1 0 0 0 < / A d j u s t >  
             < R J E > 0 < / R J E >  
             < P r e l i m i n a r y > 1 0 0 0 < / P r e l i m i n a r y >  
             < F i n a l > 1 0 0 0 < / F i n a l >  
         < / A c c o u n t S t o r a g e >  
         < A c c o u n t S t o r a g e >  
             < A c c o u n t B a l a n c e s >  
                 < A c c o u n t B a l a n c e >  
                     < F i e l d N a m e > P r i o r P e r i o d 1 B a l a n c e < / F i e l d N a m e >  
                     < B a l a n c e > 1 6 9 6 < / B a l a n c e >  
                 < / A c c o u n t B a l a n c e >  
                 < A c c o u n t B a l a n c e >  
                     < F i e l d N a m e > P r i o r P e r i o d 2 B a l a n c e < / F i e l d N a m e >  
                     < B a l a n c e > 1 6 9 6 < / B a l a n c e >  
                 < / A c c o u n t B a l a n c e >  
                 < A c c o u n t B a l a n c e >  
                     < F i e l d N a m e > P r i o r P e r i o d 3 B a l a n c e < / F i e l d N a m e >  
                     < B a l a n c e > 1 6 9 6 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 2 6 5 0 7 8 9 9 2 6 4 0 0 0 0 0 0 7 3 < / I D >  
             < T a r g e t A c c o u n t I D > 2 6 5 0 7 8 9 9 2 6 4 0 0 0 0 0 0 2 9 < / T a r g e t A c c o u n t I D >  
             < C h a r t I D > 2 6 5 0 7 8 9 9 2 6 4 0 0 0 0 0 0 0 3 < / C h a r t I D >  
             < I s L i n k e d > f a l s e < / I s L i n k e d >  
             < N u m b e r > 0 1 0 3 0 0 9 0 0 0 0 2 < / N u m b e r >  
             < N a m e > A P P R E C I A T I O N   /   D I M I N U T I O N   -   T F C   -   H F T < / N a m e >  
             < A J E > 0 < / A J E >  
             < A d j u s t > 1 7 0 3 < / A d j u s t >  
             < R J E > 0 < / R J E >  
             < P r e l i m i n a r y > 1 7 0 3 < / P r e l i m i n a r y >  
             < F i n a l > 1 7 0 3 < / F i n a l >  
         < / A c c o u n t S t o r a g e >  
         < A c c o u n t S t o r a g e >  
             < A c c o u n t B a l a n c e s >  
                 < A c c o u n t B a l a n c e >  
                     < F i e l d N a m e > P r i o r P e r i o d 1 B a l a n c e < / F i e l d N a m e >  
                     < B a l a n c e > - 1 6 9 6 < / B a l a n c e >  
                 < / A c c o u n t B a l a n c e >  
                 < A c c o u n t B a l a n c e >  
                     < F i e l d N a m e > P r i o r P e r i o d 2 B a l a n c e < / F i e l d N a m e >  
                     < B a l a n c e > - 1 6 9 6 < / B a l a n c e >  
                 < / A c c o u n t B a l a n c e >  
                 < A c c o u n t B a l a n c e >  
                     < F i e l d N a m e > P r i o r P e r i o d 3 B a l a n c e < / F i e l d N a m e >  
                     < B a l a n c e > - 2 2 5 2 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 2 6 5 0 7 8 9 9 2 6 4 0 0 0 0 0 0 7 7 < / I D >  
             < T a r g e t A c c o u n t I D > 2 6 5 0 7 8 9 9 2 6 4 0 0 0 0 0 0 2 9 < / T a r g e t A c c o u n t I D >  
             < C h a r t I D > 2 6 5 0 7 8 9 9 2 6 4 0 0 0 0 0 0 0 3 < / C h a r t I D >  
             < I s L i n k e d > f a l s e < / I s L i n k e d >  
             < N u m b e r > 0 1 0 3 0 0 9 0 0 0 0 3 < / N u m b e r >  
             < N a m e > P R E M I U M   /   D I S C O U N T   O N   T F C   -   H F T < / N a m e >  
             < A J E > 0 < / A J E >  
             < A d j u s t > - 1 6 9 6 < / A d j u s t >  
             < R J E > 0 < / R J E >  
             < P r e l i m i n a r y > - 1 6 9 6 < / P r e l i m i n a r y >  
             < F i n a l > - 1 6 9 6 < / F i n a l >  
         < / A c c o u n t S t o r a g e >  
         < A c c o u n t S t o r a g e >  
             < A c c o u n t B a l a n c e s >  
                 < A c c o u n t B a l a n c e >  
                     < F i e l d N a m e > P r i o r P e r i o d 1 B a l a n c e < / F i e l d N a m e >  
                     < B a l a n c e > 2 1 1 3 5 4 < / B a l a n c e >  
                 < / A c c o u n t B a l a n c e >  
                 < A c c o u n t B a l a n c e >  
                     < F i e l d N a m e > P r i o r P e r i o d 2 B a l a n c e < / F i e l d N a m e >  
                     < B a l a n c e > 1 3 8 2 9 < / B a l a n c e >  
                 < / A c c o u n t B a l a n c e >  
                 < A c c o u n t B a l a n c e >  
                     < F i e l d N a m e > P r i o r P e r i o d 3 B a l a n c e < / F i e l d N a m e >  
                     < B a l a n c e > 6 3 1 2 8 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 2 6 5 0 7 8 9 9 2 6 4 0 0 0 0 0 0 5 6 < / I D >  
             < T a r g e t A c c o u n t I D > 2 6 5 0 7 8 9 9 2 6 4 0 0 0 0 0 0 3 3 < / T a r g e t A c c o u n t I D >  
             < C h a r t I D > 2 6 5 0 7 8 9 9 2 6 4 0 0 0 0 0 0 0 3 < / C h a r t I D >  
             < I s L i n k e d > f a l s e < / I s L i n k e d >  
             < N u m b e r > 0 1 0 3 0 0 1 0 0 0 0 1 < / N u m b e r >  
             < N a m e > I N V E S T M E N T   I N   E Q U I T Y   T R A N S A C T I O N     H F T < / N a m e >  
             < A J E > 0 < / A J E >  
             < A d j u s t > 3 1 8 0 5 8 < / A d j u s t >  
             < R J E > 0 < / R J E >  
             < P r e l i m i n a r y > 3 1 8 0 5 8 < / P r e l i m i n a r y >  
             < F i n a l > 3 1 8 0 5 8 < / 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 1 2 8 4 < / B a l a n c e >  
                 < / A c c o u n t B a l a n c e >  
                 < A c c o u n t B a l a n c e >  
                     < F i e l d N a m e > P r i o r P e r i o d 3 B a l a n c e < / F i e l d N a m e >  
                     < B a l a n c e > 2 8 1 2 4 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 2 6 5 0 7 8 9 9 2 6 4 0 0 0 0 0 0 5 9 < / I D >  
             < T a r g e t A c c o u n t I D > 2 6 5 0 7 8 9 9 2 6 4 0 0 0 0 0 0 3 3 < / T a r g e t A c c o u n t I D >  
             < C h a r t I D > 2 6 5 0 7 8 9 9 2 6 4 0 0 0 0 0 0 0 3 < / C h a r t I D >  
             < I s L i n k e d > f a l s e < / I s L i n k e d >  
             < N u m b e r > 0 1 0 3 0 0 1 0 0 0 0 2 < / N u m b e r >  
             < N a m e > E Q U I T Y   T R A N S A C T I O N     A P P R E C I A T I O N   /   D I M I N U T I O N     H F T < / N a m e >  
             < A J E > 0 < / A J E >  
             < A d j u s t > - 1 5 9 4 6 < / A d j u s t >  
             < R J E > 0 < / R J E >  
             < P r e l i m i n a r y > - 1 5 9 4 6 < / P r e l i m i n a r y >  
             < F i n a l > - 1 5 9 4 6 < / F i n a l >  
         < / A c c o u n t S t o r a g e >  
         < A c c o u n t S t o r a g e >  
             < A c c o u n t B a l a n c e s >  
                 < A c c o u n t B a l a n c e >  
                     < F i e l d N a m e > P r i o r P e r i o d 1 B a l a n c e < / F i e l d N a m e >  
                     < B a l a n c e > 1 5 0 0 0 0 < / B a l a n c e >  
                 < / A c c o u n t B a l a n c e >  
                 < A c c o u n t B a l a n c e >  
                     < F i e l d N a m e > P r i o r P e r i o d 2 B a l a n c e < / F i e l d N a m e >  
                     < B a l a n c e > 1 5 0 0 0 0 < / B a l a n c e >  
                 < / A c c o u n t B a l a n c e >  
                 < A c c o u n t B a l a n c e >  
                     < F i e l d N a m e > P r i o r P e r i o d 3 B a l a n c e < / F i e l d N a m e >  
                     < B a l a n c e > 3 0 0 0 0 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 2 6 5 0 7 8 9 9 2 6 4 0 0 0 0 0 0 6 2 < / I D >  
             < T a r g e t A c c o u n t I D > 2 6 5 0 7 8 9 9 2 6 4 0 0 0 0 0 0 3 4 < / T a r g e t A c c o u n t I D >  
             < C h a r t I D > 2 6 5 0 7 8 9 9 2 6 4 0 0 0 0 0 0 0 3 < / C h a r t I D >  
             < I s L i n k e d > f a l s e < / I s L i n k e d >  
             < N u m b e r > 0 1 0 3 0 0 3 0 0 0 0 1 < / N u m b e r >  
             < N a m e > I N V E S T M E N T   I N   T R E A S U R Y   B I L L S     F A C E   V A L U E     H F T < / N a m e >  
             < A J E > 0 < / A J E >  
             < A d j u s t > 0 < / A d j u s t >  
             < R J E > 0 < / R J E >  
             < P r e l i m i n a r y > 0 < / P r e l i m i n a r y >  
             < F i n a l > 0 < / F i n a l >  
         < / A c c o u n t S t o r a g e >  
         < A c c o u n t S t o r a g e >  
             < A c c o u n t B a l a n c e s >  
                 < A c c o u n t B a l a n c e >  
                     < F i e l d N a m e > P r i o r P e r i o d 1 B a l a n c e < / F i e l d N a m e >  
                     < B a l a n c e > - 8 < / B a l a n c e >  
                 < / A c c o u n t B a l a n c e >  
                 < A c c o u n t B a l a n c e >  
                     < F i e l d N a m e > P r i o r P e r i o d 2 B a l a n c e < / F i e l d N a m e >  
                     < B a l a n c e > 2 9 < / B a l a n c e >  
                 < / A c c o u n t B a l a n c e >  
                 < A c c o u n t B a l a n c e >  
                     < F i e l d N a m e > P r i o r P e r i o d 3 B a l a n c e < / F i e l d N a m e >  
                     < B a l a n c e > - 3 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 2 6 5 0 7 8 9 9 2 6 4 0 0 0 0 0 0 6 4 < / I D >  
             < T a r g e t A c c o u n t I D > 2 6 5 0 7 8 9 9 2 6 4 0 0 0 0 0 0 3 4 < / T a r g e t A c c o u n t I D >  
             < C h a r t I D > 2 6 5 0 7 8 9 9 2 6 4 0 0 0 0 0 0 0 3 < / C h a r t I D >  
             < I s L i n k e d > f a l s e < / I s L i n k e d >  
             < N u m b e r > 0 1 0 3 0 0 3 0 0 0 0 2 < / N u m b e r >  
             < N a m e > T R E A S U R Y   B I L L S     A P P R E C I A T I O N   /   D I M I N U T I O N     H F T < / N a m e >  
             < A J E > 0 < / A J E >  
             < A d j u s t > 0 < / A d j u s t >  
             < R J E > 0 < / R J E >  
             < P r e l i m i n a r y > 0 < / P r e l i m i n a r y >  
             < F i n a l > 0 < / F i n a l >  
         < / A c c o u n t S t o r a g e >  
         < A c c o u n t S t o r a g e >  
             < A c c o u n t B a l a n c e s >  
                 < A c c o u n t B a l a n c e >  
                     < F i e l d N a m e > P r i o r P e r i o d 1 B a l a n c e < / F i e l d N a m e >  
                     < B a l a n c e > - 1 1 4 1 < / B a l a n c e >  
                 < / A c c o u n t B a l a n c e >  
                 < A c c o u n t B a l a n c e >  
                     < F i e l d N a m e > P r i o r P e r i o d 2 B a l a n c e < / F i e l d N a m e >  
                     < B a l a n c e > - 1 0 6 9 < / B a l a n c e >  
                 < / A c c o u n t B a l a n c e >  
                 < A c c o u n t B a l a n c e >  
                     < F i e l d N a m e > P r i o r P e r i o d 3 B a l a n c e < / F i e l d N a m e >  
                     < B a l a n c e > - 4 2 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 2 6 5 0 7 8 9 9 2 6 4 0 0 0 0 0 0 6 8 < / I D >  
             < T a r g e t A c c o u n t I D > 2 6 5 0 7 8 9 9 2 6 4 0 0 0 0 0 0 3 4 < / T a r g e t A c c o u n t I D >  
             < C h a r t I D > 2 6 5 0 7 8 9 9 2 6 4 0 0 0 0 0 0 0 3 < / C h a r t I D >  
             < I s L i n k e d > f a l s e < / I s L i n k e d >  
             < N u m b e r > 0 1 0 3 0 0 3 0 0 0 0 3 < / N u m b e r >  
             < N a m e > T R E A S U R Y   B I L L S     D I S C O U N T   /   A M O R T I S A T I O N     H F T < / N a m e >  
             < A J E > 0 < / A J E >  
             < A d j u s t > 0 < / A d j u s t >  
             < R J E > 0 < / R J E >  
             < P r e l i m i n a r y > 0 < / P r e l i m i n a r y >  
             < F i n a l > 0 < / F i n a l >  
         < / A c c o u n t S t o r a g e >  
         < A c c o u n t S t o r a g e >  
             < A c c o u n t B a l a n c e s >  
                 < A c c o u n t B a l a n c e >  
                     < F i e l d N a m e > P r i o r P e r i o d 1 B a l a n c e < / F i e l d N a m e >  
                     < B a l a n c e > 5 0 0 0 0 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 2 6 5 0 7 8 9 9 2 6 4 0 0 0 0 0 2 7 7 < / I D >  
             < T a r g e t A c c o u n t I D > 2 6 5 0 7 8 9 9 2 6 4 0 0 0 0 0 1 8 4 < / T a r g e t A c c o u n t I D >  
             < C h a r t I D > 2 6 5 0 7 8 9 9 2 6 4 0 0 0 0 0 0 0 3 < / C h a r t I D >  
             < I s L i n k e d > f a l s e < / I s L i n k e d >  
             < N u m b e r > 0 1 0 3 0 2 4 0 0 0 0 1 < / N u m b e r >  
             < N a m e > I N V E S T M E N T   I N   T E R M   D E P O S I T   R E C E I P T S < / N a m e >  
             < A J E > 0 < / A J E >  
             < A d j u s t > 2 5 0 0 0 < / A d j u s t >  
             < R J E > 0 < / R J E >  
             < P r e l i m i n a r y > 2 5 0 0 0 < / P r e l i m i n a r y >  
             < F i n a l > 2 5 0 0 0 < / F i n a l >  
         < / A c c o u n t S t o r a g e >  
         < A c c o u n t S t o r a g e >  
             < A c c o u n t B a l a n c e s >  
                 < A c c o u n t B a l a n c e >  
                     < F i e l d N a m e > P r i o r P e r i o d 1 B a l a n c e < / F i e l d N a m e >  
                     < B a l a n c e > 1 0 1 5 4 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 2 6 5 0 7 8 9 9 2 6 4 0 0 0 0 0 0 8 6 < / I D >  
             < T a r g e t A c c o u n t I D > 2 6 5 0 7 8 9 9 2 6 4 0 0 0 0 0 0 3 9 < / T a r g e t A c c o u n t I D >  
             < C h a r t I D > 2 6 5 0 7 8 9 9 2 6 4 0 0 0 0 0 0 0 3 < / C h a r t I D >  
             < I s L i n k e d > f a l s e < / I s L i n k e d >  
             < N u m b e r > 0 1 0 5 0 0 1 0 0 0 0 1 < / N u m b e r >  
             < N a m e > R E C E I V A B L E   A G A I N S T   S A L E   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 1 9 5 6 < / B a l a n c e >  
                 < / A c c o u n t B a l a n c e >  
                 < A c c o u n t B a l a n c e >  
                     < F i e l d N a m e > P r i o r P e r i o d 2 B a l a n c e < / F i e l d N a m e >  
                     < B a l a n c e > 1 2 8 8 < / B a l a n c e >  
                 < / A c c o u n t B a l a n c e >  
                 < A c c o u n t B a l a n c e >  
                     < F i e l d N a m e > P r i o r P e r i o d 3 B a l a n c e < / F i e l d N a m e >  
                     < B a l a n c e > 2 9 5 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 2 6 5 0 7 8 9 9 2 6 4 0 0 0 0 0 1 2 1 < / I D >  
             < T a r g e t A c c o u n t I D > 2 6 5 0 7 8 9 9 2 6 4 0 0 0 0 0 0 4 0 < / T a r g e t A c c o u n t I D >  
             < C h a r t I D > 2 6 5 0 7 8 9 9 2 6 4 0 0 0 0 0 0 0 3 < / C h a r t I D >  
             < I s L i n k e d > f a l s e < / I s L i n k e d >  
             < N u m b e r > 0 1 0 6 0 2 1 0 0 0 0 1 < / N u m b e r >  
             < N a m e > D I V I D E N D   R E C E I V A B L E S     E Q U I T Y   I N V E S T M E N T S < / N a m e >  
             < A J E > 0 < / A J E >  
             < A d j u s t > 1 0 4 2 < / A d j u s t >  
             < R J E > 0 < / R J E >  
             < P r e l i m i n a r y > 1 0 4 2 < / P r e l i m i n a r y >  
             < F i n a l > 1 0 4 2 < / F i n a l >  
         < / A c c o u n t S t o r a g e >  
         < A c c o u n t S t o r a g e >  
             < A c c o u n t B a l a n c e s >  
                 < A c c o u n t B a l a n c e >  
                     < F i e l d N a m e > P r i o r P e r i o d 1 B a l a n c e < / F i e l d N a m e >  
                     < B a l a n c e > 2 7 6 < / 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 2 6 5 0 7 8 9 9 2 6 4 0 0 0 0 0 0 8 9 < / I D >  
             < T a r g e t A c c o u n t I D > 2 6 5 0 7 8 9 9 2 6 4 0 0 0 0 0 0 4 5 < / T a r g e t A c c o u n t I D >  
             < C h a r t I D > 2 6 5 0 7 8 9 9 2 6 4 0 0 0 0 0 0 0 3 < / C h a r t I D >  
             < I s L i n k e d > f a l s e < / I s L i n k e d >  
             < N u m b e r > 0 1 0 6 0 0 5 0 0 0 0 1 < / N u m b e r >  
             < N a m e > P R O F I T   O N   T E R M   D E P O S I T S   R E C E I P T < / N a m e >  
             < A J E > 0 < / A J E >  
             < A d j u s t > 4 8 5 < / A d j u s t >  
             < R J E > 0 < / R J E >  
             < P r e l i m i n a r y > 4 8 5 < / P r e l i m i n a r y >  
             < F i n a l > 4 8 5 < / F i n a l >  
         < / A c c o u n t S t o r a g e >  
         < A c c o u n t S t o r a g e >  
             < A c c o u n t B a l a n c e s >  
                 < A c c o u n t B a l a n c e >  
                     < F i e l d N a m e > P r i o r P e r i o d 1 B a l a n c e < / F i e l d N a m e >  
                     < B a l a n c e > 3 5 7 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 2 6 5 0 7 8 9 9 2 6 4 0 0 0 0 0 0 9 1 < / I D >  
             < T a r g e t A c c o u n t I D > 2 6 5 0 7 8 9 9 2 6 4 0 0 0 0 0 0 4 5 < / T a r g e t A c c o u n t I D >  
             < C h a r t I D > 2 6 5 0 7 8 9 9 2 6 4 0 0 0 0 0 0 0 3 < / C h a r t I D >  
             < I s L i n k e d > f a l s e < / I s L i n k e d >  
             < N u m b e r > 0 1 0 6 0 1 1 0 0 0 0 1 < / N u m b e r >  
             < N a m e > P R O F I T   R E C E I V A B L E   -   A L L I E D   B A N K   L I M I T E D   -   F O R E I G N   E X C H A N G E   B R A N C H < / N a m e >  
             < A J E > 0 < / A J E >  
             < A d j u s t > 2 3 8 < / A d j u s t >  
             < R J E > 0 < / R J E >  
             < P r e l i m i n a r y > 2 3 8 < / P r e l i m i n a r y >  
             < F i n a l > 2 3 8 < / F i n a l >  
         < / A c c o u n t S t o r a g e >  
         < A c c o u n t S t o r a g e >  
             < A c c o u n t B a l a n c e s >  
                 < A c c o u n t B a l a n c e >  
                     < F i e l d N a m e > P r i o r P e r i o d 1 B a l a n c e < / F i e l d N a m e >  
                     < B a l a n c e > 1 0 < / B a l a n c e >  
                 < / A c c o u n t B a l a n c e >  
                 < A c c o u n t B a l a n c e >  
                     < F i e l d N a m e > P r i o r P e r i o d 2 B a l a n c e < / F i e l d N a m e >  
                     < B a l a n c e > 3 5 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 2 6 5 0 7 8 9 9 2 6 4 0 0 0 0 0 0 9 6 < / I D >  
             < T a r g e t A c c o u n t I D > 2 6 5 0 7 8 9 9 2 6 4 0 0 0 0 0 0 4 5 < / T a r g e t A c c o u n t I D >  
             < C h a r t I D > 2 6 5 0 7 8 9 9 2 6 4 0 0 0 0 0 0 0 3 < / C h a r t I D >  
             < I s L i n k e d > f a l s e < / I s L i n k e d >  
             < N u m b e r > 0 1 0 6 0 1 1 0 0 0 0 5 < / N u m b e r >  
             < N a m e > P R O F I T   R E C E I V A B L E   -   B A N K   A L   F A L A H   L I M I T E D     -   K S E   B R A N C H < / N a m e >  
             < A J E > 0 < / A J E >  
             < A d j u s t > 9 < / A d j u s t >  
             < R J E > 0 < / R J E >  
             < P r e l i m i n a r y > 9 < / P r e l i m i n a r y >  
             < F i n a l > 9 < / F i n a l >  
         < / A c c o u n t S t o r a g e >  
         < A c c o u n t S t o r a g e >  
             < A c c o u n t B a l a n c e s >  
                 < A c c o u n t B a l a n c e >  
                     < F i e l d N a m e > P r i o r P e r i o d 1 B a l a n c e < / F i e l d N a m e >  
                     < B a l a n c e > 1 1 6 < / B a l a n c e >  
                 < / A c c o u n t B a l a n c e >  
                 < A c c o u n t B a l a n c e >  
                     < F i e l d N a m e > P r i o r P e r i o d 2 B a l a n c e < / F i e l d N a m e >  
                     < B a l a n c e > 1 8 3 < / B a l a n c e >  
                 < / A c c o u n t B a l a n c e >  
                 < A c c o u n t B a l a n c e >  
                     < F i e l d N a m e > P r i o r P e r i o d 3 B a l a n c e < / F i e l d N a m e >  
                     < B a l a n c e > 4 1 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 2 6 5 0 7 8 9 9 2 6 4 0 0 0 0 0 0 9 7 < / I D >  
             < T a r g e t A c c o u n t I D > 2 6 5 0 7 8 9 9 2 6 4 0 0 0 0 0 0 4 5 < / T a r g e t A c c o u n t I D >  
             < C h a r t I D > 2 6 5 0 7 8 9 9 2 6 4 0 0 0 0 0 0 0 3 < / C h a r t I D >  
             < I s L i n k e d > f a l s e < / I s L i n k e d >  
             < N u m b e r > 0 1 0 6 0 1 1 0 0 0 1 4 < / N u m b e r >  
             < N a m e > P R O F I T   R E C E I V A B L E   -   H A B I B   M E T R O P O L I T A N   B A N K   L I M I T E D   -   K A R A C H I   S T O C K   E X C H A N G E   B R A N C H < / N a m e >  
             < A J E > 0 < / A J E >  
             < A d j u s t > 5 2 5 < / A d j u s t >  
             < R J E > 0 < / R J E >  
             < P r e l i m i n a r y > 5 2 5 < / P r e l i m i n a r y >  
             < F i n a l > 5 2 5 < / F i n a l >  
         < / A c c o u n t S t o r a g e >  
         < A c c o u n t S t o r a g e >  
             < A c c o u n t B a l a n c e s >  
                 < A c c o u n t B a l a n c e >  
                     < F i e l d N a m e > P r i o r P e r i o d 1 B a l a n c e < / F i e l d N a m e >  
                     < B a l a n c e > 4 1 < / B a l a n c e >  
                 < / A c c o u n t B a l a n c e >  
                 < A c c o u n t B a l a n c e >  
                     < F i e l d N a m e > P r i o r P e r i o d 2 B a l a n c e < / F i e l d N a m e >  
                     < B a l a n c e > 9 3 < / B a l a n c e >  
                 < / A c c o u n t B a l a n c e >  
                 < A c c o u n t B a l a n c e >  
                     < F i e l d N a m e > P r i o r P e r i o d 3 B a l a n c e < / F i e l d N a m e >  
                     < B a l a n c e > 3 0 1 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 2 6 5 0 7 8 9 9 2 6 4 0 0 0 0 0 1 0 0 < / I D >  
             < T a r g e t A c c o u n t I D > 2 6 5 0 7 8 9 9 2 6 4 0 0 0 0 0 0 4 5 < / T a r g e t A c c o u n t I D >  
             < C h a r t I D > 2 6 5 0 7 8 9 9 2 6 4 0 0 0 0 0 0 0 3 < / C h a r t I D >  
             < I s L i n k e d > f a l s e < / I s L i n k e d >  
             < N u m b e r > 0 1 0 6 0 1 1 0 0 0 1 7 < / N u m b e r >  
             < N a m e > P R O F I T   R E C E I V A B L E   -   M C B   B A N K   L I M I T E D   -   U N I   T O W E R   B R A N C H < / N a m e >  
             < A J E > 0 < / A J E >  
             < A d j u s t > 3 8 < / A d j u s t >  
             < R J E > 0 < / R J E >  
             < P r e l i m i n a r y > 3 8 < / P r e l i m i n a r y >  
             < F i n a l > 3 8 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 2 6 5 0 7 8 9 9 2 6 4 0 0 0 0 0 1 0 4 < / I D >  
             < T a r g e t A c c o u n t I D > 2 6 5 0 7 8 9 9 2 6 4 0 0 0 0 0 0 4 5 < / T a r g e t A c c o u n t I D >  
             < C h a r t I D > 2 6 5 0 7 8 9 9 2 6 4 0 0 0 0 0 0 0 3 < / C h a r t I D >  
             < I s L i n k e d > f a l s e < / I s L i n k e d >  
             < N u m b e r > 0 1 0 6 0 1 1 0 0 0 3 4 < / N u m b e r >  
             < N a m e > P R O F I T   R E C E I V A B L E   -   U N I T E D   B A N K   L I M I T E D   -   C O R P O R A T E   B R A N C H < / N a m e >  
             < A J E > 0 < / A J E >  
             < A d j u s t > 1 < / A d j u s t >  
             < R J E > 0 < / R J E >  
             < P r e l i m i n a r y > 1 < / P r e l i m i n a r y >  
             < F i n a l > 1 < / F i n a l >  
         < / A c c o u n t S t o r a g e >  
         < A c c o u n t S t o r a g e >  
             < A c c o u n t B a l a n c e s >  
                 < A c c o u n t B a l a n c e >  
                     < F i e l d N a m e > P r i o r P e r i o d 1 B a l a n c e < / F i e l d N a m e >  
                     < B a l a n c e > 3 0 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 2 6 5 0 7 8 9 9 2 6 4 0 0 0 0 0 1 0 7 < / I D >  
             < T a r g e t A c c o u n t I D > 2 6 5 0 7 8 9 9 2 6 4 0 0 0 0 0 0 4 5 < / T a r g e t A c c o u n t I D >  
             < C h a r t I D > 2 6 5 0 7 8 9 9 2 6 4 0 0 0 0 0 0 0 3 < / C h a r t I D >  
             < I s L i n k e d > f a l s e < / I s L i n k e d >  
             < N u m b e r > 0 1 0 6 0 1 1 0 0 0 7 2 < / N u m b e r >  
             < N a m e > P r o f i t   R e c e i v a b l e   -   Z a r a i   T a r a q i a t i   B a n k   L i m i t e d   -   S h a f i   C o u r t 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 6 4 8 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 2 6 5 0 7 8 9 9 2 6 4 0 0 0 0 0 1 2 0 < / I D >  
             < T a r g e t A c c o u n t I D > 2 6 5 0 7 8 9 9 2 6 4 0 0 0 0 0 0 4 6 < / T a r g e t A c c o u n t I D >  
             < C h a r t I D > 2 6 5 0 7 8 9 9 2 6 4 0 0 0 0 0 0 0 3 < / C h a r t I D >  
             < I s L i n k e d > f a l s e < / I s L i n k e d >  
             < N u m b e r > 0 1 0 6 0 1 6 0 0 0 0 1 < / N u m b e r >  
             < N a m e > A C C R U E D   P R O F I T   O N   G O V T   S E C T Y     P I B < / N a m e >  
             < A J E > 0 < / A J E >  
             < A d j u s t > 0 < / A d j u s t >  
             < R J E > 0 < / R J E >  
             < P r e l i m i n a r y > 0 < / P r e l i m i n a r y >  
             < F i n a l > 0 < / F i n a l >  
         < / A c c o u n t S t o r a g e >  
         < A c c o u n t S t o r a g e >  
             < A c c o u n t B a l a n c e s >  
                 < A c c o u n t B a l a n c e >  
                     < F i e l d N a m e > P r i o r P e r i o d 1 B a l a n c e < / F i e l d N a m e >  
                     < B a l a n c e > 1 0 < / B a l a n c e >  
                 < / A c c o u n t B a l a n c e >  
                 < A c c o u n t B a l a n c e >  
                     < F i e l d N a m e > P r i o r P e r i o d 2 B a l a n c e < / F i e l d N a m e >  
                     < B a l a n c e > 1 0 < / B a l a n c e >  
                 < / A c c o u n t B a l a n c e >  
                 < A c c o u n t B a l a n c e >  
                     < F i e l d N a m e > P r i o r P e r i o d 3 B a l a n c e < / F i e l d N a m e >  
                     < B a l a n c e > 2 8 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 2 6 5 0 7 8 9 9 2 6 4 0 0 0 0 0 1 1 1 < / I D >  
             < T a r g e t A c c o u n t I D > 2 6 5 0 7 8 9 9 2 6 4 0 0 0 0 0 0 4 9 < / T a r g e t A c c o u n t I D >  
             < C h a r t I D > 2 6 5 0 7 8 9 9 2 6 4 0 0 0 0 0 0 0 3 < / C h a r t I D >  
             < I s L i n k e d > f a l s e < / I s L i n k e d >  
             < N u m b e r > 0 1 0 6 0 1 2 0 0 0 0 1 < / N u m b e r >  
             < N a m e > A C C R U E D   P R O F I T   O N   T F C < / N a m e >  
             < A J E > 0 < / A J E >  
             < A d j u s t > 2 5 < / A d j u s t >  
             < R J E > 0 < / R J E >  
             < P r e l i m i n a r y > 2 5 < / P r e l i m i n a r y >  
             < F i n a l > 2 5 < / F i n a l >  
         < / A c c o u n t S t o r a g e >  
         < A c c o u n t S t o r a g e >  
             < A c c o u n t B a l a n c e s >  
                 < A c c o u n t B a l a n c e >  
                     < F i e l d N a m e > P r i o r P e r i o d 1 B a l a n c e < / F i e l d N a m e >  
                     < B a l a n c e > - 1 0 < / B a l a n c e >  
                 < / A c c o u n t B a l a n c e >  
                 < A c c o u n t B a l a n c e >  
                     < F i e l d N a m e > P r i o r P e r i o d 2 B a l a n c e < / F i e l d N a m e >  
                     < B a l a n c e > - 1 0 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 2 6 5 0 7 8 9 9 2 6 4 0 0 0 0 0 1 1 4 < / I D >  
             < T a r g e t A c c o u n t I D > 2 6 5 0 7 8 9 9 2 6 4 0 0 0 0 0 0 4 9 < / T a r g e t A c c o u n t I D >  
             < C h a r t I D > 2 6 5 0 7 8 9 9 2 6 4 0 0 0 0 0 0 0 3 < / C h a r t I D >  
             < I s L i n k e d > f a l s e < / I s L i n k e d >  
             < N u m b e r > 0 1 0 6 0 1 2 0 0 0 0 2 < / N u m b e r >  
             < N a m e > A C C R U E D   P R O F I T   O N   T F C < / N a m e >  
             < A J E > 0 < / A J E >  
             < A d j u s t > - 1 0 < / A d j u s t >  
             < R J E > 0 < / R J E >  
             < P r e l i m i n a r y > - 1 0 < / P r e l i m i n a r y >  
             < F i n a l > - 1 0 < / 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 2 6 5 0 7 8 9 9 2 6 4 0 0 0 0 0 1 1 5 < / I D >  
             < T a r g e t A c c o u n t I D > 2 6 5 0 7 8 9 9 2 6 4 0 0 0 0 0 0 4 9 < / T a r g e t A c c o u n t I D >  
             < C h a r t I D > 2 6 5 0 7 8 9 9 2 6 4 0 0 0 0 0 0 0 3 < / C h a r t I D >  
             < I s L i n k e d > f a l s e < / I s L i n k e d >  
             < N u m b e r > 0 1 0 6 0 1 4 0 0 0 0 1 < / N u m b e r >  
             < N a m e > A C C R U E D   P R O F I T   O N   S U K K U K < / N a m e >  
             < A J E > 0 < / A J E >  
             < A d j u s t > 0 < / A d j u s t >  
             < R J E > 0 < / R J E >  
             < P r e l i m i n a r y > 0 < / P r e l i m i n a r y >  
             < F i n a l > 0 < / F i n a l >  
         < / A c c o u n t S t o r a g e >  
         < A c c o u n t S t o r a g e >  
             < A c c o u n t B a l a n c e s >  
                 < A c c o u n t B a l a n c e >  
                     < F i e l d N a m e > P r i o r P e r i o d 1 B a l a n c e < / F i e l d N a m e >  
                     < B a l a n c e > 4 7 6 < / B a l a n c e >  
                 < / A c c o u n t B a l a n c e >  
                 < A c c o u n t B a l a n c e >  
                     < F i e l d N a m e > P r i o r P e r i o d 2 B a l a n c e < / F i e l d N a m e >  
                     < B a l a n c e > 4 7 6 < / B a l a n c e >  
                 < / A c c o u n t B a l a n c e >  
                 < A c c o u n t B a l a n c e >  
                     < F i e l d N a m e > P r i o r P e r i o d 3 B a l a n c e < / F i e l d N a m e >  
                     < B a l a n c e > 4 7 6 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 2 6 5 0 7 8 9 9 2 6 4 0 0 0 0 0 1 3 2 < / I D >  
             < T a r g e t A c c o u n t I D > 2 6 5 0 7 8 9 9 2 6 4 0 0 0 0 0 0 5 7 < / T a r g e t A c c o u n t I D >  
             < C h a r t I D > 2 6 5 0 7 8 9 9 2 6 4 0 0 0 0 0 0 0 3 < / C h a r t I D >  
             < I s L i n k e d > f a l s e < / I s L i n k e d >  
             < N u m b e r > 0 1 0 7 0 0 5 0 0 0 0 1 < / N u m b e r >  
             < N a m e > S E C U R I T Y   D E P O S I T S   N C C P L   A G A I N S T   K A T S < / N a m e >  
             < A J E > 0 < / A J E >  
             < A d j u s t > 4 7 6 < / A d j u s t >  
             < R J E > 0 < / R J E >  
             < P r e l i m i n a r y > 4 7 6 < / P r e l i m i n a r y >  
             < F i n a l > 4 7 6 < / F i n a l >  
         < / A c c o u n t S t o r a g e >  
         < A c c o u n t S t o r a g e >  
             < A c c o u n t B a l a n c e s >  
                 < A c c o u n t B a l a n c e >  
                     < F i e l d N a m e > P r i o r P e r i o d 1 B a l a n c e < / F i e l d N a m e >  
                     < B a l a n c e > 2 5 0 0 < / B a l a n c e >  
                 < / A c c o u n t B a l a n c e >  
                 < A c c o u n t B a l a n c e >  
                     < F i e l d N a m e > P r i o r P e r i o d 2 B a l a n c e < / F i e l d N a m e >  
                     < B a l a n c e > 2 5 0 0 < / B a l a n c e >  
                 < / A c c o u n t B a l a n c e >  
                 < A c c o u n t B a l a n c e >  
                     < F i e l d N a m e > P r i o r P e r i o d 3 B a l a n c e < / F i e l d N a m e >  
                     < B a l a n c e > 2 5 0 0 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 2 6 5 0 7 8 9 9 2 6 4 0 0 0 0 0 1 3 3 < / I D >  
             < T a r g e t A c c o u n t I D > 2 6 5 0 7 8 9 9 2 6 4 0 0 0 0 0 0 5 7 < / T a r g e t A c c o u n t I D >  
             < C h a r t I D > 2 6 5 0 7 8 9 9 2 6 4 0 0 0 0 0 0 0 3 < / C h a r t I D >  
             < I s L i n k e d > f a l s e < / I s L i n k e d >  
             < N u m b e r > 0 1 0 7 0 0 5 0 0 0 0 3 < / N u m b e r >  
             < N a m e > S E C U R I T Y   D E P O S I T S   N C C P L   A G A I N S T   M T S < / N a m e >  
             < A J E > 0 < / A J E >  
             < A d j u s t > 2 5 0 0 < / A d j u s t >  
             < R J E > 0 < / R J E >  
             < P r e l i m i n a r y > 2 5 0 0 < / P r e l i m i n a r y >  
             < F i n a l > 2 5 0 0 < / F i n a l >  
         < / A c c o u n t S t o r a g e >  
         < A c c o u n t S t o r a g e >  
             < A c c o u n t B a l a n c e s >  
                 < A c c o u n t B a l a n c e >  
                     < F i e l d N a m e > P r i o r P e r i o d 1 B a l a n c e < / F i e l d N a m e >  
                     < B a l a n c e > 1 3 1 7 < / B a l a n c e >  
                 < / A c c o u n t B a l a n c e >  
                 < A c c o u n t B a l a n c e >  
                     < F i e l d N a m e > P r i o r P e r i o d 2 B a l a n c e < / F i e l d N a m e >  
                     < B a l a n c e > 1 3 1 7 < / B a l a n c e >  
                 < / A c c o u n t B a l a n c e >  
                 < A c c o u n t B a l a n c e >  
                     < F i e l d N a m e > P r i o r P e r i o d 3 B a l a n c e < / F i e l d N a m e >  
                     < B a l a n c e > 1 3 1 7 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 2 6 5 0 7 8 9 9 2 6 4 0 0 0 0 0 1 3 5 < / I D >  
             < T a r g e t A c c o u n t I D > 2 6 5 0 7 8 9 9 2 6 4 0 0 0 0 0 0 5 7 < / T a r g e t A c c o u n t I D >  
             < C h a r t I D > 2 6 5 0 7 8 9 9 2 6 4 0 0 0 0 0 0 0 3 < / C h a r t I D >  
             < I s L i n k e d > f a l s e < / I s L i n k e d >  
             < N u m b e r > 0 1 0 7 0 0 5 0 0 0 0 5 < / N u m b e r >  
             < N a m e > S e c u r i t y   D e p o s i t s   O t h e r < / N a m e >  
             < A J E > 0 < / A J E >  
             < A d j u s t > 1 3 1 7 < / A d j u s t >  
             < R J E > 0 < / R J E >  
             < P r e l i m i n a r y > 1 3 1 7 < / P r e l i m i n a r y >  
             < F i n a l > 1 3 1 7 < / F i n a l >  
         < / A c c o u n t S t o r a g e >  
         < A c c o u n t S t o r a g e >  
             < A c c o u n t B a l a n c e s >  
                 < A c c o u n t B a l a n c e >  
                     < F i e l d N a m e > P r i o r P e r i o d 1 B a l a n c e < / F i e l d N a m e >  
                     < B a l a n c e > 3 0 0 < / B a l a n c e >  
                 < / A c c o u n t B a l a n c e >  
                 < A c c o u n t B a l a n c e >  
                     < F i e l d N a m e > P r i o r P e r i o d 2 B a l a n c e < / F i e l d N a m e >  
                     < B a l a n c e > 3 0 0 < / B a l a n c e >  
                 < / A c c o u n t B a l a n c e >  
                 < A c c o u n t B a l a n c e >  
                     < F i e l d N a m e > P r i o r P e r i o d 3 B a l a n c e < / F i e l d N a m e >  
                     < B a l a n c e > 3 0 0 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 2 6 5 0 7 8 9 9 2 6 4 0 0 0 0 0 1 3 7 < / I D >  
             < T a r g e t A c c o u n t I D > 2 6 5 0 7 8 9 9 2 6 4 0 0 0 0 0 0 5 8 < / T a r g e t A c c o u n t I D >  
             < C h a r t I D > 2 6 5 0 7 8 9 9 2 6 4 0 0 0 0 0 0 0 3 < / C h a r t I D >  
             < I s L i n k e d > f a l s e < / I s L i n k e d >  
             < N u m b e r > 0 1 0 7 0 0 6 0 0 0 0 1 < / N u m b e r >  
             < N a m e > S E C U R I T Y   D E P O S I T S     C D C < / N a m e >  
             < A J E > 0 < / A J E >  
             < A d j u s t > 3 0 0 < / A d j u s t >  
             < R J E > 0 < / R J E >  
             < P r e l i m i n a r y > 3 0 0 < / P r e l i m i n a r y >  
             < F i n a l > 3 0 0 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 2 6 5 0 7 8 9 9 2 6 4 0 0 0 0 0 1 3 9 < / I D >  
             < T a r g e t A c c o u n t I D > 2 6 5 0 7 8 9 9 2 6 4 0 0 0 0 0 0 6 6 < / T a r g e t A c c o u n t I D >  
             < C h a r t I D > 2 6 5 0 7 8 9 9 2 6 4 0 0 0 0 0 0 0 3 < / C h a r t I D >  
             < I s L i n k e d > f a l s e < / I s L i n k e d >  
             < N u m b e r > 0 1 0 7 0 0 7 0 0 0 0 3 < / N u m b e r >  
             < N a m e > P R E P A Y M E N T   O F   L S E 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 5 5 < / B a l a n c e >  
                 < / A c c o u n t B a l a n c e >  
                 < A c c o u n t B a l a n c e >  
                     < F i e l d N a m e > P r i o r P e r i o d 2 B a l a n c e < / F i e l d N a m e >  
                     < B a l a n c e > 8 5 < / B a l a n c e >  
                 < / A c c o u n t B a l a n c e >  
                 < A c c o u n t B a l a n c e >  
                     < F i e l d N a m e > P r i o r P e r i o d 3 B a l a n c e < / F i e l d N a m e >  
                     < B a l a n c e > - 7 7 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 2 6 5 0 7 8 9 9 2 6 4 0 0 0 0 0 1 4 1 < / I D >  
             < T a r g e t A c c o u n t I D > 2 6 5 0 7 8 9 9 2 6 4 0 0 0 0 0 0 6 6 < / T a r g e t A c c o u n t I D >  
             < C h a r t I D > 2 6 5 0 7 8 9 9 2 6 4 0 0 0 0 0 0 0 3 < / C h a r t I D >  
             < I s L i n k e d > f a l s e < / I s L i n k e d >  
             < N u m b e r > 0 1 0 7 0 0 7 0 0 0 0 5 < / N u m b e r >  
             < N a m e > P R E P A Y M E N T   O F   P A C R A   A G A I N S T   A N N U A L   P A C R A   R A T I N G 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 2 6 5 0 7 8 9 9 2 6 4 0 0 0 0 0 1 4 4 < / I D >  
             < T a r g e t A c c o u n t I D > 2 6 5 0 7 8 9 9 2 6 4 0 0 0 0 0 0 6 6 < / T a r g e t A c c o u n t I D >  
             < C h a r t I D > 2 6 5 0 7 8 9 9 2 6 4 0 0 0 0 0 0 0 3 < / C h a r t I D >  
             < I s L i n k e d > f a l s e < / I s L i n k e d >  
             < N u m b e r > 0 1 0 7 0 0 7 0 0 0 0 6 < / N u m b e r >  
             < N a m e > P r e p a y m e n t   O f   K S E 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 2 6 5 0 7 8 9 9 2 6 4 0 0 0 0 0 1 4 5 < / I D >  
             < T a r g e t A c c o u n t I D > 2 6 5 0 7 8 9 9 2 6 4 0 0 0 0 0 0 6 6 < / T a r g e t A c c o u n t I D >  
             < C h a r t I D > 2 6 5 0 7 8 9 9 2 6 4 0 0 0 0 0 0 0 3 < / C h a r t I D >  
             < I s L i n k e d > f a l s e < / I s L i n k e d >  
             < N u m b e r > 0 1 0 7 0 0 7 0 0 0 0 7 < / N u m b e r >  
             < N a m e > P r e p a y m e n t   O f   I s e 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 2 6 5 0 7 8 9 9 2 6 4 0 0 0 0 0 1 4 7 < / I D >  
             < T a r g e t A c c o u n t I D > 2 6 5 0 7 8 9 9 2 6 4 0 0 0 0 0 0 6 6 < / T a r g e t A c c o u n t I D >  
             < C h a r t I D > 2 6 5 0 7 8 9 9 2 6 4 0 0 0 0 0 0 0 3 < / C h a r t I D >  
             < I s L i n k e d > f a l s e < / I s L i n k e d >  
             < N u m b e r > 0 1 0 7 0 0 7 0 0 0 0 9 < / N u m b e r >  
             < N a m e > P r e p a y m e n t   O f   P s x   A g a i n s t   A n n u a l   L i s t i n g   F e e < / N a m e >  
             < A J E > 0 < / A J E >  
             < A d j u s t > 1 2 < / A d j u s t >  
             < R J E > 0 < / R J E >  
             < P r e l i m i n a r y > 1 2 < / P r e l i m i n a r y >  
             < F i n a l > 1 2 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 2 6 5 0 7 8 9 9 2 6 4 0 0 0 0 0 2 7 9 < / I D >  
             < T a r g e t A c c o u n t I D > 2 6 5 0 7 8 9 9 2 6 4 0 0 0 0 0 0 6 6 < / T a r g e t A c c o u n t I D >  
             < C h a r t I D > 2 6 5 0 7 8 9 9 2 6 4 0 0 0 0 0 0 0 3 < / C h a r t I D >  
             < I s L i n k e d > f a l s e < / I s L i n k e d >  
             < N u m b e r > 0 1 0 9 0 0 2 0 0 0 0 1 < / N u m b e r >  
             < N a m e > O T H E R   R E C E I V A B L E < / 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 2 6 5 0 7 8 9 9 2 6 4 0 0 0 0 0 2 7 6 < / I D >  
             < T a r g e t A c c o u n t I D > 2 6 5 0 7 8 9 9 2 6 4 0 0 0 0 0 0 6 6 < / T a r g e t A c c o u n t I D >  
             < C h a r t I D > 2 6 5 0 7 8 9 9 2 6 4 0 0 0 0 0 0 0 3 < / C h a r t I D >  
             < I s L i n k e d > f a l s e < / I s L i n k e d >  
             < N u m b e r > D T T 1 < / N u m b e r >  
             < N a m e > P r e p a y m e n t s 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 2 6 5 0 7 8 9 9 2 6 4 0 0 0 0 0 2 7 1 < / I D >  
             < T a r g e t A c c o u n t I D > 2 6 5 0 7 8 9 9 2 6 4 0 0 0 0 0 0 6 9 < / T a r g e t A c c o u n t I D >  
             < C h a r t I D > 2 6 5 0 7 8 9 9 2 6 4 0 0 0 0 0 0 0 3 < / C h a r t I D >  
             < I s L i n k e d > f a l s e < / I s L i n k e d >  
             < N u m b e r > 0 1 0 7 0 0 1 0 0 0 0 1 < / N u m b e r >  
             < N a m e > A D V A N C E S   A G A I N S T   P R E I P O   I N V E S T M E N T   E Q U I T Y   S E C U R I T Y < / 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 2 6 5 0 7 8 9 9 2 6 4 0 0 0 0 0 2 7 2 < / I D >  
             < T a r g e t A c c o u n t I D > 2 6 5 0 7 8 9 9 2 6 4 0 0 0 0 0 0 6 9 < / T a r g e t A c c o u n t I D >  
             < C h a r t I D > 2 6 5 0 7 8 9 9 2 6 4 0 0 0 0 0 0 0 3 < / C h a r t I D >  
             < I s L i n k e d > f a l s e < / I s L i n k e d >  
             < N u m b e r > 0 1 0 7 0 0 1 0 0 0 0 2 < / N u m b e r >  
             < N a m e > A d v a n c e s   A g a i n s t   I P O   I n v e s t m e n t   E q u i t y   S e c u r i t y < / N a m e >  
             < A J E > 0 < / A J E >  
             < A d j u s t > 0 < / A d j u s t >  
             < R J E > 0 < / R J E >  
             < P r e l i m i n a r y > 0 < / P r e l i m i n a r y >  
             < F i n a l > 0 < / F i n a l >  
         < / A c c o u n t S t o r a g e >  
         < A c c o u n t S t o r a g e >  
             < A c c o u n t B a l a n c e s >  
                 < A c c o u n t B a l a n c e >  
                     < F i e l d N a m e > P r i o r P e r i o d 1 B a l a n c e < / F i e l d N a m e >  
                     < B a l a n c e > 5 0 < / B a l a n c e >  
                 < / A c c o u n t B a l a n c e >  
                 < A c c o u n t B a l a n c e >  
                     < F i e l d N a m e > P r i o r P e r i o d 2 B a l a n c e < / F i e l d N a m e >  
                     < B a l a n c e > 2 8 < / B a l a n c e >  
                 < / A c c o u n t B a l a n c e >  
                 < A c c o u n t B a l a n c e >  
                     < F i e l d N a m e > P r i o r P e r i o d 3 B a l a n c e < / F i e l d N a m e >  
                     < B a l a n c e > 2 8 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 2 6 5 0 7 8 9 9 2 6 4 0 0 0 0 0 1 2 8 < / I D >  
             < T a r g e t A c c o u n t I D > 2 6 5 0 7 8 9 9 2 6 4 0 0 0 0 0 0 6 9 < / T a r g e t A c c o u n t I D >  
             < C h a r t I D > 2 6 5 0 7 8 9 9 2 6 4 0 0 0 0 0 0 0 3 < / C h a r t I D >  
             < I s L i n k e d > f a l s e < / I s L i n k e d >  
             < N u m b e r > 0 1 0 7 0 0 3 0 0 0 0 1 < / N u m b e r >  
             < N a m e > A D V A N C E S   A G A I N S T   T A X   D E D U C T E D   A G A I N S T   B A N K   P R O F I T < / N a m e >  
             < A J E > 0 < / A J E >  
             < A d j u s t > 6 1 < / A d j u s t >  
             < R J E > 0 < / R J E >  
             < P r e l i m i n a r y > 6 1 < / P r e l i m i n a r y >  
             < F i n a l > 6 1 < / F i n a l >  
         < / A c c o u n t S t o r a g e >  
         < A c c o u n t S t o r a g e >  
             < A c c o u n t B a l a n c e s >  
                 < A c c o u n t B a l a n c e >  
                     < F i e l d N a m e > P r i o r P e r i o d 1 B a l a n c e < / F i e l d N a m e >  
                     < B a l a n c e > 9 < / B a l a n c e >  
                 < / A c c o u n t B a l a n c e >  
                 < A c c o u n t B a l a n c e >  
                     < F i e l d N a m e > P r i o r P e r i o d 2 B a l a n c e < / F i e l d N a m e >  
                     < B a l a n c e > 9 < / B a l a n c e >  
                 < / A c c o u n t B a l a n c e >  
                 < A c c o u n t B a l a n c e >  
                     < F i e l d N a m e > P r i o r P e r i o d 3 B a l a n c e < / F i e l d N a m e >  
                     < B a l a n c e > 3 9 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 2 6 5 0 7 8 9 9 2 6 4 0 0 0 0 0 1 2 9 < / I D >  
             < T a r g e t A c c o u n t I D > 2 6 5 0 7 8 9 9 2 6 4 0 0 0 0 0 0 6 9 < / T a r g e t A c c o u n t I D >  
             < C h a r t I D > 2 6 5 0 7 8 9 9 2 6 4 0 0 0 0 0 0 0 3 < / C h a r t I D >  
             < I s L i n k e d > f a l s e < / I s L i n k e d >  
             < N u m b e r > 0 1 0 7 0 0 4 0 0 0 0 1 < / N u m b e r >  
             < N a m e > A D V A N C E S   A G A I N S T   T A X   D E D U C T E D   A G A I N S T   D I V I D E N D   I N C O M E < / N a m e >  
             < A J E > 0 < / A J E >  
             < A d j u s t > 9 < / A d j u s t >  
             < R J E > 0 < / R J E >  
             < P r e l i m i n a r y > 9 < / P r e l i m i n a r y >  
             < F i n a l > 9 < / F i n a l >  
         < / A c c o u n t S t o r a g e >  
         < A c c o u n t S t o r a g e >  
             < A c c o u n t B a l a n c e s >  
                 < A c c o u n t B a l a n c e >  
                     < F i e l d N a m e > P r i o r P e r i o d 1 B a l a n c e < / F i e l d N a m e >  
                     < B a l a n c e > 3 0 7 < / B a l a n c e >  
                 < / A c c o u n t B a l a n c e >  
                 < A c c o u n t B a l a n c e >  
                     < F i e l d N a m e > P r i o r P e r i o d 2 B a l a n c e < / F i e l d N a m e >  
                     < B a l a n c e > 3 0 7 < / B a l a n c e >  
                 < / A c c o u n t B a l a n c e >  
                 < A c c o u n t B a l a n c e >  
                     < F i e l d N a m e > P r i o r P e r i o d 3 B a l a n c e < / F i e l d N a m e >  
                     < B a l a n c e > 3 0 7 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 2 6 5 0 7 8 9 9 2 6 4 0 0 0 0 0 1 5 0 < / I D >  
             < T a r g e t A c c o u n t I D > 2 6 5 0 7 8 9 9 2 6 4 0 0 0 0 0 0 6 9 < / T a r g e t A c c o u n t I D >  
             < C h a r t I D > 2 6 5 0 7 8 9 9 2 6 4 0 0 0 0 0 0 0 3 < / C h a r t I D >  
             < I s L i n k e d > f a l s e < / I s L i n k e d >  
             < N u m b e r > 0 1 0 7 0 0 8 0 0 0 0 1 < / N u m b e r >  
             < N a m e > A d v a n c e s   A g a i n s t   T a x   D e d u c t e d   A g a i n s t   C o t < / N a m e >  
             < A J E > 0 < / A J E >  
             < A d j u s t > 3 0 7 < / A d j u s t >  
             < R J E > 0 < / R J E >  
             < P r e l i m i n a r y > 3 0 7 < / P r e l i m i n a r y >  
             < F i n a l > 3 0 7 < / F i n a l >  
         < / A c c o u n t S t o r a g e >  
         < A c c o u n t S t o r a g e >  
             < A c c o u n t B a l a n c e s >  
                 < A c c o u n t B a l a n c e >  
                     < F i e l d N a m e > P r i o r P e r i o d 1 B a l a n c e < / F i e l d N a m e >  
                     < B a l a n c e > 3 5 < / B a l a n c e >  
                 < / A c c o u n t B a l a n c e >  
                 < A c c o u n t B a l a n c e >  
                     < F i e l d N a m e > P r i o r P e r i o d 2 B a l a n c e < / F i e l d N a m e >  
                     < B a l a n c e > 3 5 < / B a l a n c e >  
                 < / A c c o u n t B a l a n c e >  
                 < A c c o u n t B a l a n c e >  
                     < F i e l d N a m e > P r i o r P e r i o d 3 B a l a n c e < / F i e l d N a m e >  
                     < B a l a n c e > 3 5 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 2 6 5 0 7 8 9 9 2 6 4 0 0 0 0 0 1 5 1 < / I D >  
             < T a r g e t A c c o u n t I D > 2 6 5 0 7 8 9 9 2 6 4 0 0 0 0 0 0 6 9 < / T a r g e t A c c o u n t I D >  
             < C h a r t I D > 2 6 5 0 7 8 9 9 2 6 4 0 0 0 0 0 0 0 3 < / C h a r t I D >  
             < I s L i n k e d > f a l s e < / I s L i n k e d >  
             < N u m b e r > 0 1 0 7 0 1 0 0 0 0 0 1 < / N u m b e r >  
             < N a m e > A d v a n c e s   T a x   A g a i n s t -   S a l e   O f   S h a r e s < / N a m e >  
             < A J E > 0 < / A J E >  
             < A d j u s t > 3 5 < / A d j u s t >  
             < R J E > 0 < / R J E >  
             < P r e l i m i n a r y > 3 5 < / P r e l i m i n a r y >  
             < F i n a l > 3 5 < / F i n a l >  
         < / A c c o u n t S t o r a g e >  
         < A c c o u n t S t o r a g e >  
             < A c c o u n t B a l a n c e s >  
                 < A c c o u n t B a l a n c e >  
                     < F i e l d N a m e > P r i o r P e r i o d 1 B a l a n c e < / F i e l d N a m e >  
                     < B a l a n c e > 1 0 0 0 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 2 6 5 0 7 8 9 9 2 6 4 0 0 0 0 0 1 2 5 < / I D >  
             < T a r g e t A c c o u n t I D > 2 6 5 0 7 8 9 9 2 6 4 0 0 0 0 0 0 7 0 < / T a r g e t A c c o u n t I D >  
             < C h a r t I D > 2 6 5 0 7 8 9 9 2 6 4 0 0 0 0 0 0 0 3 < / C h a r t I D >  
             < I s L i n k e d > f a l s e < / I s L i n k e d >  
             < N u m b e r > 0 1 0 7 0 0 2 0 0 0 0 1 < / N u m b e r >  
             < N a m e > A D V A N C E S   A G A I N S T   I P O   S U B S C R I P T I O N   D E B T   S E C U R I T Y < / N a m e >  
             < A J E > 0 < / A J E >  
             < A d j u s t > 0 < / A d j u s t >  
             < R J E > 0 < / R J E >  
             < P r e l i m i n a r y > 0 < / P r e l i m i n a r y >  
             < F i n a l > 0 < / F i n a l >  
         < / A c c o u n t S t o r a g e >  
         < A c c o u n t S t o r a g e >  
             < A c c o u n t B a l a n c e s >  
                 < A c c o u n t B a l a n c e >  
                     < F i e l d N a m e > P r i o r P e r i o d 1 B a l a n c e < / F i e l d N a m e >  
                     < B a l a n c e > - 1 1 3 1 < / B a l a n c e >  
                 < / A c c o u n t B a l a n c e >  
                 < A c c o u n t B a l a n c e >  
                     < F i e l d N a m e > P r i o r P e r i o d 2 B a l a n c e < / F i e l d N a m e >  
                     < B a l a n c e > - 1 0 4 3 < / B a l a n c e >  
                 < / A c c o u n t B a l a n c e >  
                 < A c c o u n t B a l a n c e >  
                     < F i e l d N a m e > P r i o r P e r i o d 3 B a l a n c e < / F i e l d N a m e >  
                     < B a l a n c e > - 9 7 7 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 2 6 5 0 7 8 9 9 2 6 4 0 0 0 0 0 1 6 9 < / I D >  
             < T a r g e t A c c o u n t I D > 2 6 5 0 7 8 9 9 2 6 4 0 0 0 0 0 0 7 4 < / T a r g e t A c c o u n t I D >  
             < C h a r t I D > 2 6 5 0 7 8 9 9 2 6 4 0 0 0 0 0 0 0 3 < / C h a r t I D >  
             < I s L i n k e d > f a l s e < / I s L i n k e d >  
             < N u m b e r > 0 3 0 1 0 0 1 0 0 0 0 1 < / N u m b e r >  
             < N a m e > M A N A G E M E N T   F E E   P A Y A B L E < / N a m e >  
             < A J E > 0 < / A J E >  
             < A d j u s t > - 1 0 1 1 < / A d j u s t >  
             < R J E > 0 < / R J E >  
             < P r e l i m i n a r y > - 1 0 1 1 < / P r e l i m i n a r y >  
             < F i n a l > - 1 0 1 1 < / F i n a l >  
         < / A c c o u n t S t o r a g e >  
         < A c c o u n t S t o r a g e >  
             < A c c o u n t B a l a n c e s >  
                 < A c c o u n t B a l a n c e >  
                     < F i e l d N a m e > P r i o r P e r i o d 1 B a l a n c e < / F i e l d N a m e >  
                     < B a l a n c e > - 2 1 5 < / B a l a n c e >  
                 < / A c c o u n t B a l a n c e >  
                 < A c c o u n t B a l a n c e >  
                     < F i e l d N a m e > P r i o r P e r i o d 2 B a l a n c e < / F i e l d N a m e >  
                     < B a l a n c e > - 9 1 < / B a l a n c e >  
                 < / A c c o u n t B a l a n c e >  
                 < A c c o u n t B a l a n c e >  
                     < F i e l d N a m e > P r i o r P e r i o d 3 B a l a n c e < / F i e l d N a m e >  
                     < B a l a n c e > - 1 6 6 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 2 6 5 0 7 8 9 9 2 6 4 0 0 0 0 0 1 7 2 < / I D >  
             < T a r g e t A c c o u n t I D > 2 6 5 0 7 8 9 9 2 6 4 0 0 0 0 0 0 7 6 < / T a r g e t A c c o u n t I D >  
             < C h a r t I D > 2 6 5 0 7 8 9 9 2 6 4 0 0 0 0 0 0 0 3 < / C h a r t I D >  
             < I s L i n k e d > f a l s e < / I s L i n k e d >  
             < N u m b e r > 0 3 0 1 0 0 2 0 0 0 0 1 < / N u m b e r >  
             < N a m e > S A L E   L O A D   P A Y A B L E < / N a m e >  
             < A J E > 0 < / A J E >  
             < A d j u s t > - 4 2 < / A d j u s t >  
             < R J E > 0 < / R J E >  
             < P r e l i m i n a r y > - 4 2 < / P r e l i m i n a r y >  
             < F i n a l > - 4 2 < / F i n a l >  
         < / A c c o u n t S t o r a g e >  
         < A c c o u n t S t o r a g e >  
             < A c c o u n t B a l a n c e s >  
                 < A c c o u n t B a l a n c e >  
                     < F i e l d N a m e > P r i o r P e r i o d 1 B a l a n c e < / F i e l d N a m e >  
                     < B a l a n c e > - 5 4 < / B a l a n c e >  
                 < / A c c o u n t B a l a n c e >  
                 < A c c o u n t B a l a n c e >  
                     < F i e l d N a m e > P r i o r P e r i o d 2 B a l a n c e < / F i e l d N a m e >  
                     < B a l a n c e > - 6 0 < / B a l a n c e >  
                 < / A c c o u n t B a l a n c e >  
                 < A c c o u n t B a l a n c e >  
                     < F i e l d N a m e > P r i o r P e r i o d 3 B a l a n c e < / F i e l d N a m e >  
                     < B a l a n c e > - 1 0 0 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 2 6 5 0 7 8 9 9 2 6 4 0 0 0 0 0 1 9 5 < / I D >  
             < T a r g e t A c c o u n t I D > 2 6 5 0 7 8 9 9 2 6 4 0 0 0 0 0 0 8 0 < / T a r g e t A c c o u n t I D >  
             < C h a r t I D > 2 6 5 0 7 8 9 9 2 6 4 0 0 0 0 0 0 0 3 < / C h a r t I D >  
             < I s L i n k e d > f a l s e < / I s L i n k e d >  
             < N u m b e r > 0 3 1 0 0 1 2 0 0 0 0 1 < / N u m b e r >  
             < N a m e > P A Y A B L E   T O   L E G A L   A D V I S O R < / N a m e >  
             < A J E > 0 < / A J E >  
             < A d j u s t > - 1 0 0 < / A d j u s t >  
             < R J E > 0 < / R J E >  
             < P r e l i m i n a r y > - 1 0 0 < / P r e l i m i n a r y >  
             < F i n a l > - 1 0 0 < / F i n a l >  
         < / A c c o u n t S t o r a g e >  
         < A c c o u n t S t o r a g e >  
             < A c c o u n t B a l a n c e s >  
                 < A c c o u n t B a l a n c e >  
                     < F i e l d N a m e > P r i o r P e r i o d 1 B a l a n c e < / F i e l d N a m e >  
                     < B a l a n c e > - 1 4 7 < / B a l a n c e >  
                 < / A c c o u n t B a l a n c e >  
                 < A c c o u n t B a l a n c e >  
                     < F i e l d N a m e > P r i o r P e r i o d 2 B a l a n c e < / F i e l d N a m e >  
                     < B a l a n c e > - 1 4 6 < / B a l a n c e >  
                 < / A c c o u n t B a l a n c e >  
                 < A c c o u n t B a l a n c e >  
                     < F i e l d N a m e > P r i o r P e r i o d 3 B a l a n c e < / F i e l d N a m e >  
                     < B a l a n c e > - 1 4 7 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 2 6 5 0 7 8 9 9 2 6 4 0 0 0 0 0 1 7 3 < / I D >  
             < T a r g e t A c c o u n t I D > 2 6 5 0 7 8 9 9 2 6 4 0 0 0 0 0 0 8 3 < / T a r g e t A c c o u n t I D >  
             < C h a r t I D > 2 6 5 0 7 8 9 9 2 6 4 0 0 0 0 0 0 0 3 < / C h a r t I D >  
             < I s L i n k e d > f a l s e < / I s L i n k e d >  
             < N u m b e r > 0 3 0 1 0 0 6 0 0 0 0 1 < / N u m b e r >  
             < N a m e > S A L E S   T A X   P A Y A B L E   A G A I N S T   M A N A G E M E N T   F E E < / N a m e >  
             < A J E > 0 < / A J E >  
             < A d j u s t > - 1 3 1 < / A d j u s t >  
             < R J E > 0 < / R J E >  
             < P r e l i m i n a r y > - 1 3 1 < / P r e l i m i n a r y >  
             < F i n a l > - 1 3 1 < / F i n a l >  
         < / A c c o u n t S t o r a g e >  
         < A c c o u n t S t o r a g e >  
             < A c c o u n t B a l a n c e s >  
                 < A c c o u n t B a l a n c e >  
                     < F i e l d N a m e > P r i o r P e r i o d 1 B a l a n c e < / F i e l d N a m e >  
                     < B a l a n c e > - 1 1 3 < / B a l a n c e >  
                 < / A c c o u n t B a l a n c e >  
                 < A c c o u n t B a l a n c e >  
                     < F i e l d N a m e > P r i o r P e r i o d 2 B a l a n c e < / F i e l d N a m e >  
                     < B a l a n c e > - 1 0 4 < / B a l a n c e >  
                 < / A c c o u n t B a l a n c e >  
                 < A c c o u n t B a l a n c e >  
                     < F i e l d N a m e > P r i o r P e r i o d 3 B a l a n c e < / F i e l d N a m e >  
                     < B a l a n c e > - 9 6 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 2 6 5 0 7 8 9 9 2 6 4 0 0 0 0 0 1 8 2 < / I D >  
             < T a r g e t A c c o u n t I D > 2 6 5 0 7 8 9 9 2 6 4 0 0 0 0 0 0 8 5 < / T a r g e t A c c o u n t I D >  
             < C h a r t I D > 2 6 5 0 7 8 9 9 2 6 4 0 0 0 0 0 0 0 3 < / C h a r t I D >  
             < I s L i n k e d > f a l s e < / I s L i n k e d >  
             < N u m b e r > 0 3 0 2 0 0 1 0 0 0 0 1 < / N u m b e r >  
             < N a m e > T R U S T E E   R E M U N E R A T I O N   P A Y A B L E < / N a m e >  
             < A J E > 0 < / A J E >  
             < A d j u s t > - 1 0 2 < / A d j u s t >  
             < R J E > 0 < / R J E >  
             < P r e l i m i n a r y > - 1 0 2 < / P r e l i m i n a r y >  
             < F i n a l > - 1 0 2 < / F i n a l >  
         < / A c c o u n t S t o r a g e >  
         < A c c o u n t S t o r a g e >  
             < A c c o u n t B a l a n c e s >  
                 < A c c o u n t B a l a n c e >  
                     < F i e l d N a m e > P r i o r P e r i o d 1 B a l a n c e < / F i e l d N a m e >  
                     < B a l a n c e > - 5 6 8 < / B a l a n c e >  
                 < / A c c o u n t B a l a n c e >  
                 < A c c o u n t B a l a n c e >  
                     < F i e l d N a m e > P r i o r P e r i o d 2 B a l a n c e < / F i e l d N a m e >  
                     < B a l a n c e > - 6 4 7 < / B a l a n c e >  
                 < / A c c o u n t B a l a n c e >  
                 < A c c o u n t B a l a n c e >  
                     < F i e l d N a m e > P r i o r P e r i o d 3 B a l a n c e < / F i e l d N a m e >  
                     < B a l a n c e > - 3 9 4 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 2 6 5 0 7 8 9 9 2 6 4 0 0 0 0 0 1 8 3 < / I D >  
             < T a r g e t A c c o u n t I D > 2 6 5 0 7 8 9 9 2 6 4 0 0 0 0 0 0 9 0 < / T a r g e t A c c o u n t I D >  
             < C h a r t I D > 2 6 5 0 7 8 9 9 2 6 4 0 0 0 0 0 0 0 3 < / C h a r t I D >  
             < I s L i n k e d > f a l s e < / I s L i n k e d >  
             < N u m b e r > 0 3 0 4 0 0 1 0 0 0 0 1 < / N u m b e r >  
             < N a m e > P A Y A B L E   T O   S E C P     A N N U A L   F E E < / N a m e >  
             < A J E > 0 < / A J E >  
             < A d j u s t > - 2 6 6 < / A d j u s t >  
             < R J E > 0 < / R J E >  
             < P r e l i m i n a r y > - 2 6 6 < / P r e l i m i n a r y >  
             < F i n a l > - 2 6 6 < / F i n a l >  
         < / A c c o u n t S t o r a g e >  
         < A c c o u n t S t o r a g e >  
             < A c c o u n t B a l a n c e s >  
                 < A c c o u n t B a l a n c e >  
                     < F i e l d N a m e > P r i o r P e r i o d 1 B a l a n c e < / F i e l d N a m e >  
                     < B a l a n c e > - 8 2 9 < / B a l a n c e >  
                 < / A c c o u n t B a l a n c e >  
                 < A c c o u n t B a l a n c e >  
                     < F i e l d N a m e > P r i o r P e r i o d 2 B a l a n c e < / F i e l d N a m e >  
                     < B a l a n c e > - 8 2 9 < / B a l a n c e >  
                 < / A c c o u n t B a l a n c e >  
                 < A c c o u n t B a l a n c e >  
                     < F i e l d N a m e > P r i o r P e r i o d 3 B a l a n c e < / F i e l d N a m e >  
                     < B a l a n c e > - 8 2 9 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 2 6 5 0 7 8 9 9 2 6 4 0 0 0 0 0 1 8 8 < / I D >  
             < T a r g e t A c c o u n t I D > 2 6 5 0 7 8 9 9 2 6 4 0 0 0 0 0 0 9 3 < / T a r g e t A c c o u n t I D >  
             < C h a r t I D > 2 6 5 0 7 8 9 9 2 6 4 0 0 0 0 0 0 0 3 < / C h a r t I D >  
             < I s L i n k e d > f a l s e < / I s L i n k e d >  
             < N u m b e r > 0 3 0 9 0 0 1 0 0 0 0 5 < / N u m b e r >  
             < N a m e > D i v i d e n d   P a y a b l e   -   D i v   A c   #   4   F i n a l   2 0 0 4 < / N a m e >  
             < A J E > 0 < / A J E >  
             < A d j u s t > - 8 2 9 < / A d j u s t >  
             < R J E > 0 < / R J E >  
             < P r e l i m i n a r y > - 8 2 9 < / P r e l i m i n a r y >  
             < F i n a l > - 8 2 9 < / F i n a l >  
         < / A c c o u n t S t o r a g e >  
         < A c c o u n t S t o r a g e >  
             < A c c o u n t B a l a n c e s >  
                 < A c c o u n t B a l a n c e >  
                     < F i e l d N a m e > P r i o r P e r i o d 1 B a l a n c e < / F i e l d N a m e >  
                     < B a l a n c e > - 1 9 5 5 < / B a l a n c e >  
                 < / A c c o u n t B a l a n c e >  
                 < A c c o u n t B a l a n c e >  
                     < F i e l d N a m e > P r i o r P e r i o d 2 B a l a n c e < / F i e l d N a m e >  
                     < B a l a n c e > - 1 9 5 5 < / B a l a n c e >  
                 < / A c c o u n t B a l a n c e >  
                 < A c c o u n t B a l a n c e >  
                     < F i e l d N a m e > P r i o r P e r i o d 3 B a l a n c e < / F i e l d N a m e >  
                     < B a l a n c e > - 1 9 5 5 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 2 6 5 0 7 8 9 9 2 6 4 0 0 0 0 0 1 8 9 < / I D >  
             < T a r g e t A c c o u n t I D > 2 6 5 0 7 8 9 9 2 6 4 0 0 0 0 0 0 9 3 < / T a r g e t A c c o u n t I D >  
             < C h a r t I D > 2 6 5 0 7 8 9 9 2 6 4 0 0 0 0 0 0 0 3 < / C h a r t I D >  
             < I s L i n k e d > f a l s e < / I s L i n k e d >  
             < N u m b e r > 0 3 0 9 0 0 1 0 0 0 0 6 < / N u m b e r >  
             < N a m e > D i v i d e n d   P a y a b l e   -   D i v     A c   #   5   F i n a l   2 0 0 5 < / N a m e >  
             < A J E > 0 < / A J E >  
             < A d j u s t > - 1 9 5 5 < / A d j u s t >  
             < R J E > 0 < / R J E >  
             < P r e l i m i n a r y > - 1 9 5 5 < / P r e l i m i n a r y >  
             < F i n a l > - 1 9 5 5 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 - 8 5 1 2 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 2 6 5 0 7 8 9 9 2 6 4 0 0 0 0 0 1 8 5 < / I D >  
             < T a r g e t A c c o u n t I D > 2 6 5 0 7 8 9 9 2 6 4 0 0 0 0 0 0 9 4 < / T a r g e t A c c o u n t I D >  
             < C h a r t I D > 2 6 5 0 7 8 9 9 2 6 4 0 0 0 0 0 0 0 3 < / C h a r t I D >  
             < I s L i n k e d > f a l s e < / I s L i n k e d >  
             < N u m b e r > 0 3 0 5 0 0 1 0 0 0 0 1 < / N u m b e r >  
             < N a m e > P A Y A B L E   A G A I N S T   P U R C H A S E   O F   E Q U I T Y   S E C U R I T I E S < / N a m e >  
             < A J E > 0 < / A J E >  
             < A d j u s t > - 6 7 8 7 < / A d j u s t >  
             < R J E > 0 < / R J E >  
             < P r e l i m i n a r y > - 6 7 8 7 < / P r e l i m i n a r y >  
             < F i n a l > - 6 7 8 7 < / F i n a l >  
         < / A c c o u n t S t o r a g e >  
         < A c c o u n t S t o r a g e >  
             < A c c o u n t B a l a n c e s >  
                 < A c c o u n t B a l a n c e >  
                     < F i e l d N a m e > P r i o r P e r i o d 1 B a l a n c e < / F i e l d N a m e >  
                     < B a l a n c e > - 2 1 6 < / B a l a n c e >  
                 < / A c c o u n t B a l a n c e >  
                 < A c c o u n t B a l a n c e >  
                     < F i e l d N a m e > P r i o r P e r i o d 2 B a l a n c e < / F i e l d N a m e >  
                     < B a l a n c e > - 1 2 1 8 < / B a l a n c e >  
                 < / A c c o u n t B a l a n c e >  
                 < A c c o u n t B a l a n c e >  
                     < F i e l d N a m e > P r i o r P e r i o d 3 B a l a n c e < / F i e l d N a m e >  
                     < B a l a n c e > - 2 1 6 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 2 6 5 0 7 8 9 9 2 6 4 0 0 0 0 0 1 8 6 < / I D >  
             < T a r g e t A c c o u n t I D > 2 6 5 0 7 8 9 9 2 6 4 0 0 0 0 0 0 9 8 < / T a r g e t A c c o u n t I D >  
             < C h a r t I D > 2 6 5 0 7 8 9 9 2 6 4 0 0 0 0 0 0 0 3 < / C h a r t I D >  
             < I s L i n k e d > f a l s e < / I s L i n k e d >  
             < N u m b e r > 0 3 0 7 0 0 1 0 0 0 0 1 < / N u m b e r >  
             < N a m e > P A Y A B L E   A G A I N S T   R E D E M P T I O N   O F   U N I T S < / N a m e >  
             < A J E > 0 < / A J E >  
             < A d j u s t > - 2 1 6 < / A d j u s t >  
             < R J E > 0 < / R J E >  
             < P r e l i m i n a r y > - 2 1 6 < / P r e l i m i n a r y >  
             < F i n a l > - 2 1 6 < / F i n a l >  
         < / A c c o u n t S t o r a g e >  
         < A c c o u n t S t o r a g e >  
             < A c c o u n t B a l a n c e s >  
                 < A c c o u n t B a l a n c e >  
                     < F i e l d N a m e > P r i o r P e r i o d 1 B a l a n c e < / F i e l d N a m e >  
                     < B a l a n c e > - 5 8 7 2 < / B a l a n c e >  
                 < / A c c o u n t B a l a n c e >  
                 < A c c o u n t B a l a n c e >  
                     < F i e l d N a m e > P r i o r P e r i o d 2 B a l a n c e < / F i e l d N a m e >  
                     < B a l a n c e > - 5 8 7 2 < / B a l a n c e >  
                 < / A c c o u n t B a l a n c e >  
                 < A c c o u n t B a l a n c e >  
                     < F i e l d N a m e > P r i o r P e r i o d 3 B a l a n c e < / F i e l d N a m e >  
                     < B a l a n c e > - 3 1 0 9 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 2 6 5 0 7 8 9 9 2 6 4 0 0 0 0 0 1 7 6 < / I D >  
             < T a r g e t A c c o u n t I D > 2 6 5 0 7 8 9 9 2 6 4 0 0 0 0 0 1 0 2 < / T a r g e t A c c o u n t I D >  
             < C h a r t I D > 2 6 5 0 7 8 9 9 2 6 4 0 0 0 0 0 0 0 3 < / C h a r t I D >  
             < I s L i n k e d > f a l s e < / I s L i n k e d >  
             < N u m b e r > 0 3 0 1 0 0 7 0 0 0 0 1 < / N u m b e r >  
             < N a m e > F E D   T A X   P A Y A B L E   A G A I N S T   M A N A G E M E N T   F E E < / N a m e >  
             < A J E > 0 < / A J E >  
             < A d j u s t > - 5 8 7 2 < / A d j u s t >  
             < R J E > 0 < / R J E >  
             < P r e l i m i n a r y > - 5 8 7 2 < / P r e l i m i n a r y >  
             < F i n a l > - 5 8 7 2 < / F i n a l >  
         < / A c c o u n t S t o r a g e >  
         < A c c o u n t S t o r a g e >  
             < A c c o u n t B a l a n c e s >  
                 < A c c o u n t B a l a n c e >  
                     < F i e l d N a m e > P r i o r P e r i o d 1 B a l a n c e < / F i e l d N a m e >  
                     < B a l a n c e > - 3 9 3 < / B a l a n c e >  
                 < / A c c o u n t B a l a n c e >  
                 < A c c o u n t B a l a n c e >  
                     < F i e l d N a m e > P r i o r P e r i o d 2 B a l a n c e < / F i e l d N a m e >  
                     < B a l a n c e > - 3 9 3 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 2 6 5 0 7 8 9 9 2 6 4 0 0 0 0 0 1 7 9 < / I D >  
             < T a r g e t A c c o u n t I D > 2 6 5 0 7 8 9 9 2 6 4 0 0 0 0 0 1 0 2 < / T a r g e t A c c o u n t I D >  
             < C h a r t I D > 2 6 5 0 7 8 9 9 2 6 4 0 0 0 0 0 0 0 3 < / C h a r t I D >  
             < I s L i n k e d > f a l s e < / I s L i n k e d >  
             < N u m b e r > 0 3 0 1 0 0 9 0 0 0 0 1 < / N u m b e r >  
             < N a m e > F e d   T a x   P a y a b l e   A g a i n s t   S a l e s   L o a d < / N a m e >  
             < A J E > 0 < / A J E >  
             < A d j u s t > - 3 9 3 < / A d j u s t >  
             < R J E > 0 < / R J E >  
             < P r e l i m i n a r y > - 3 9 3 < / P r e l i m i n a r y >  
             < F i n a l > - 3 9 3 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 2 6 5 0 7 8 9 9 2 6 4 0 0 0 0 0 2 5 0 < / I D >  
             < T a r g e t A c c o u n t I D > 2 6 5 0 7 8 9 9 2 6 4 0 0 0 0 0 1 0 5 < / T a r g e t A c c o u n t I D >  
             < C h a r t I D > 2 6 5 0 7 8 9 9 2 6 4 0 0 0 0 0 0 0 3 < / C h a r t I D >  
             < I s L i n k e d > f a l s e < / I s L i n k e d >  
             < N u m b e r > 0 3 0 9 0 0 1 0 0 0 0 1 < / N u m b e r >  
             < N a m e > D I V I D E N D   P A Y A B L E < / 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 - 1 2 5 < / B a l a n c e >  
                 < / A c c o u n t B a l a n c e >  
                 < A c c o u n t B a l a n c e >  
                     < F i e l d N a m e > P r i o r P e r i o d 3 B a l a n c e < / F i e l d N a m e >  
                     < B a l a n c e > - 1 2 5 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 2 6 5 0 7 8 9 9 2 6 4 0 0 0 0 0 1 9 6 < / I D >  
             < T a r g e t A c c o u n t I D > 2 6 5 0 7 8 9 9 2 6 4 0 0 0 0 0 1 0 5 < / T a r g e t A c c o u n t I D >  
             < C h a r t I D > 2 6 5 0 7 8 9 9 2 6 4 0 0 0 0 0 0 0 3 < / C h a r t I D >  
             < I s L i n k e d > f a l s e < / I s L i n k e d >  
             < N u m b e r > 0 3 1 0 0 1 5 0 0 0 0 1 < / N u m b e r >  
             < N a m e > Z A K A T   P A Y A B L E < / N a m e >  
             < A J E > 0 < / A J E >  
             < A d j u s t > - 1 < / A d j u s t >  
             < R J E > 0 < / R J E >  
             < P r e l i m i n a r y > - 1 < / P r e l i m i n a r y >  
             < F i n a l > - 1 < / F i n a l >  
         < / A c c o u n t S t o r a g e >  
         < A c c o u n t S t o r a g e >  
             < A c c o u n t B a l a n c e s >  
                 < A c c o u n t B a l a n c e >  
                     < F i e l d N a m e > P r i o r P e r i o d 1 B a l a n c e < / F i e l d N a m e >  
                     < B a l a n c e > - 2 0 4 < / B a l a n c e >  
                 < / A c c o u n t B a l a n c e >  
                 < A c c o u n t B a l a n c e >  
                     < F i e l d N a m e > P r i o r P e r i o d 2 B a l a n c e < / F i e l d N a m e >  
                     < B a l a n c e > - 1 1 3 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 2 6 5 0 7 8 9 9 2 6 4 0 0 0 0 0 1 9 9 < / I D >  
             < T a r g e t A c c o u n t I D > 2 6 5 0 7 8 9 9 2 6 4 0 0 0 0 0 1 0 5 < / T a r g e t A c c o u n t I D >  
             < C h a r t I D > 2 6 5 0 7 8 9 9 2 6 4 0 0 0 0 0 0 0 3 < / C h a r t I D >  
             < I s L i n k e d > f a l s e < / I s L i n k e d >  
             < N u m b e r > 0 3 1 2 0 0 1 0 0 0 0 1 < / N u m b e r >  
             < N a m e > B a c k   O f f i c e   O p e r a t i o n   P a y a b l e < / N a m e >  
             < A J E > 0 < / A J E >  
             < A d j u s t > - 2 3 9 < / A d j u s t >  
             < R J E > 0 < / R J E >  
             < P r e l i m i n a r y > - 2 3 9 < / P r e l i m i n a r y >  
             < F i n a l > - 2 3 9 < / F i n a l >  
         < / A c c o u n t S t o r a g e >  
         < A c c o u n t S t o r a g e >  
             < A c c o u n t B a l a n c e s >  
                 < A c c o u n t B a l a n c e >  
                     < F i e l d N a m e > P r i o r P e r i o d 1 B a l a n c e < / F i e l d N a m e >  
                     < B a l a n c e > - 1 5 < / B a l a n c e >  
                 < / A c c o u n t B a l a n c e >  
                 < A c c o u n t B a l a n c e >  
                     < F i e l d N a m e > P r i o r P e r i o d 2 B a l a n c e < / F i e l d N a m e >  
                     < B a l a n c e > - 1 5 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 2 6 5 0 7 8 9 9 2 6 4 0 0 0 0 0 1 7 7 < / I D >  
             < T a r g e t A c c o u n t I D > 2 6 5 0 7 8 9 9 2 6 4 0 0 0 0 0 1 0 6 < / T a r g e t A c c o u n t I D >  
             < C h a r t I D > 2 6 5 0 7 8 9 9 2 6 4 0 0 0 0 0 0 0 3 < / C h a r t I D >  
             < I s L i n k e d > f a l s e < / I s L i n k e d >  
             < N u m b e r > 0 3 0 1 0 0 8 0 0 0 0 1 < / N u m b e r >  
             < N a m e > S a l e s   T a x   P a y a b l e   O n   T r u s t e e   F e e < / N a m e >  
             < A J E > 0 < / A J E >  
             < A d j u s t > - 1 3 < / A d j u s t >  
             < R J E > 0 < / R J E >  
             < P r e l i m i n a r y > - 1 3 < / P r e l i m i n a r y >  
             < F i n a l > - 1 3 < / F i n a l >  
         < / A c c o u n t S t o r a g e >  
         < A c c o u n t S t o r a g e >  
             < A c c o u n t B a l a n c e s >  
                 < A c c o u n t B a l a n c e >  
                     < F i e l d N a m e > P r i o r P e r i o d 1 B a l a n c e < / F i e l d N a m e >  
                     < B a l a n c e > - 8 3 3 < / B a l a n c e >  
                 < / A c c o u n t B a l a n c e >  
                 < A c c o u n t B a l a n c e >  
                     < F i e l d N a m e > P r i o r P e r i o d 2 B a l a n c e < / F i e l d N a m e >  
                     < B a l a n c e > - 5 3 3 < / B a l a n c e >  
                 < / A c c o u n t B a l a n c e >  
                 < A c c o u n t B a l a n c e >  
                     < F i e l d N a m e > P r i o r P e r i o d 3 B a l a n c e < / F i e l d N a m e >  
                     < B a l a n c e > - 2 8 7 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 2 6 5 0 7 8 9 9 2 6 4 0 0 0 0 0 1 9 0 < / I D >  
             < T a r g e t A c c o u n t I D > 2 6 5 0 7 8 9 9 2 6 4 0 0 0 0 0 1 1 0 < / T a r g e t A c c o u n t I D >  
             < C h a r t I D > 2 6 5 0 7 8 9 9 2 6 4 0 0 0 0 0 0 0 3 < / C h a r t I D >  
             < I s L i n k e d > f a l s e < / I s L i n k e d >  
             < N u m b e r > 0 3 1 0 0 0 4 0 0 0 0 2 < / N u m b e r >  
             < N a m e > B R O K E R A G E   P A Y A B L E     E Q U I T Y   I N V E S T M E N T < / N a m e >  
             < A J E > 0 < / A J E >  
             < A d j u s t > - 3 4 3 < / A d j u s t >  
             < R J E > 0 < / R J E >  
             < P r e l i m i n a r y > - 3 4 3 < / P r e l i m i n a r y >  
             < F i n a l > - 3 4 3 < / 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 - 7 < / B a l a n c e >  
                 < / A c c o u n t B a l a n c e >  
                 < A c c o u n t B a l a n c e >  
                     < F i e l d N a m e > P r i o r P e r i o d 3 B a l a n c e < / F i e l d N a m e >  
                     < B a l a n c e > - 5 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 2 6 5 0 7 8 9 9 2 6 4 0 0 0 0 0 1 9 1 < / I D >  
             < T a r g e t A c c o u n t I D > 2 6 5 0 7 8 9 9 2 6 4 0 0 0 0 0 1 1 2 < / T a r g e t A c c o u n t I D >  
             < C h a r t I D > 2 6 5 0 7 8 9 9 2 6 4 0 0 0 0 0 0 0 3 < / C h a r t I D >  
             < I s L i n k e d > f a l s e < / I s L i n k e d >  
             < N u m b e r > 0 3 1 0 0 0 5 0 0 0 0 1 < / N u m b e r >  
             < N a m e > B R O K E R A G E   P A Y A B L E   M O N E Y   M A R K E T < / N a m e >  
             < A J E > 0 < / A J E >  
             < A d j u s t > - 3 < / A d j u s t >  
             < R J E > 0 < / R J E >  
             < P r e l i m i n a r y > - 3 < / P r e l i m i n a r y >  
             < F i n a l > - 3 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 2 6 5 0 7 8 9 9 2 6 4 0 0 0 0 0 2 7 3 < / I D >  
             < T a r g e t A c c o u n t I D > 2 6 5 0 7 8 9 9 2 6 4 0 0 0 0 0 1 1 2 < / T a r g e t A c c o u n t I D >  
             < C h a r t I D > 2 6 5 0 7 8 9 9 2 6 4 0 0 0 0 0 0 0 3 < / C h a r t I D >  
             < I s L i n k e d > f a l s e < / I s L i n k e d >  
             < N u m b e r > 0 3 1 0 0 0 5 0 0 0 0 3 < / N u m b e r >  
             < N a m e > B R O K E R A G E   P A Y A B L E     M O N E Y   M A R K E T < / N a m e >  
             < A J E > 0 < / A J E >  
             < A d j u s t > 0 < / A d j u s t >  
             < R J E > 0 < / R J E >  
             < P r e l i m i n a r y > 0 < / P r e l i m i n a r y >  
             < F i n a l > 0 < / F i n a l >  
         < / A c c o u n t S t o r a g e >  
         < A c c o u n t S t o r a g e >  
             < A c c o u n t B a l a n c e s >  
                 < A c c o u n t B a l a n c e >  
                     < F i e l d N a m e > P r i o r P e r i o d 1 B a l a n c e < / F i e l d N a m e >  
                     < B a l a n c e > - 3 9 0 0 < / B a l a n c e >  
                 < / A c c o u n t B a l a n c e >  
                 < A c c o u n t B a l a n c e >  
                     < F i e l d N a m e > P r i o r P e r i o d 2 B a l a n c e < / F i e l d N a m e >  
                     < B a l a n c e > - 1 0 7 3 2 < / B a l a n c e >  
                 < / A c c o u n t B a l a n c e >  
                 < A c c o u n t B a l a n c e >  
                     < F i e l d N a m e > P r i o r P e r i o d 3 B a l a n c e < / F i e l d N a m e >  
                     < B a l a n c e > - 1 0 7 3 2 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 2 6 5 0 7 8 9 9 2 6 4 0 0 0 0 0 1 9 2 < / I D >  
             < T a r g e t A c c o u n t I D > 2 6 5 0 7 8 9 9 2 6 4 0 0 0 0 0 1 1 7 < / T a r g e t A c c o u n t I D >  
             < C h a r t I D > 2 6 5 0 7 8 9 9 2 6 4 0 0 0 0 0 0 0 3 < / C h a r t I D >  
             < I s L i n k e d > f a l s e < / I s L i n k e d >  
             < N u m b e r > 0 3 1 0 0 0 6 0 0 0 0 1 < / N u m b e r >  
             < N a m e > W O R K E R ' S   W E L F A R E   F U N D   P A Y A B L E < / N a m e >  
             < A J E > 0 < / A J E >  
             < A d j u s t > - 3 9 0 0 < / A d j u s t >  
             < R J E > 0 < / R J E >  
             < P r e l i m i n a r y > - 3 9 0 0 < / P r e l i m i n a r y >  
             < F i n a l > - 3 9 0 0 < / F i n a l >  
         < / A c c o u n t S t o r a g e >  
         < A c c o u n t S t o r a g e >  
             < A c c o u n t B a l a n c e s >  
                 < A c c o u n t B a l a n c e >  
                     < F i e l d N a m e > P r i o r P e r i o d 1 B a l a n c e < / F i e l d N a m e >  
                     < B a l a n c e > - 4 5 3 < / B a l a n c e >  
                 < / A c c o u n t B a l a n c e >  
                 < A c c o u n t B a l a n c e >  
                     < F i e l d N a m e > P r i o r P e r i o d 2 B a l a n c e < / F i e l d N a m e >  
                     < B a l a n c e > - 4 1 9 < / B a l a n c e >  
                 < / A c c o u n t B a l a n c e >  
                 < A c c o u n t B a l a n c e >  
                     < F i e l d N a m e > P r i o r P e r i o d 3 B a l a n c e < / F i e l d N a m e >  
                     < B a l a n c e > - 3 6 8 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 2 6 5 0 7 8 9 9 2 6 4 0 0 0 0 0 1 9 3 < / I D >  
             < T a r g e t A c c o u n t I D > 2 6 5 0 7 8 9 9 2 6 4 0 0 0 0 0 1 1 8 < / T a r g e t A c c o u n t I D >  
             < C h a r t I D > 2 6 5 0 7 8 9 9 2 6 4 0 0 0 0 0 0 0 3 < / C h a r t I D >  
             < I s L i n k e d > f a l s e < / I s L i n k e d >  
             < N u m b e r > 0 3 1 0 0 0 7 0 0 0 0 1 < / N u m b e r >  
             < N a m e > A U D I T   F E E   P A Y A B L E < / N a m e >  
             < A J E > 0 < / A J E >  
             < A d j u s t > - 3 0 6 < / A d j u s t >  
             < R J E > 0 < / R J E >  
             < P r e l i m i n a r y > - 3 0 6 < / P r e l i m i n a r y >  
             < F i n a l > - 3 0 6 < / F i n a l >  
         < / A c c o u n t S t o r a g e >  
         < A c c o u n t S t o r a g e >  
             < A c c o u n t B a l a n c e s >  
                 < A c c o u n t B a l a n c e >  
                     < F i e l d N a m e > P r i o r P e r i o d 1 B a l a n c e < / F i e l d N a m e >  
                     < B a l a n c e > - 3 1 2 < / B a l a n c e >  
                 < / A c c o u n t B a l a n c e >  
                 < A c c o u n t B a l a n c e >  
                     < F i e l d N a m e > P r i o r P e r i o d 2 B a l a n c e < / F i e l d N a m e >  
                     < B a l a n c e > - 2 5 4 < / B a l a n c e >  
                 < / A c c o u n t B a l a n c e >  
                 < A c c o u n t B a l a n c e >  
                     < F i e l d N a m e > P r i o r P e r i o d 3 B a l a n c e < / F i e l d N a m e >  
                     < B a l a n c e > - 2 0 5 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 2 6 5 0 7 8 9 9 2 6 4 0 0 0 0 0 1 9 8 < / I D >  
             < T a r g e t A c c o u n t I D > 2 6 5 0 7 8 9 9 2 6 4 0 0 0 0 0 1 2 2 < / T a r g e t A c c o u n t I D >  
             < C h a r t I D > 2 6 5 0 7 8 9 9 2 6 4 0 0 0 0 0 0 0 3 < / C h a r t I D >  
             < I s L i n k e d > f a l s e < / I s L i n k e d >  
             < N u m b e r > 0 3 1 0 0 1 7 0 0 0 0 1 < / N u m b e r >  
             < N a m e > P R I N T I N G   C H A R G E S   P A Y A B L E < / N a m e >  
             < A J E > 0 < / A J E >  
             < A d j u s t > - 5 0 < / A d j u s t >  
             < R J E > 0 < / R J E >  
             < P r e l i m i n a r y > - 5 0 < / P r e l i m i n a r y >  
             < F i n a l > - 5 0 < / F i n a l >  
         < / A c c o u n t S t o r a g e >  
         < A c c o u n t S t o r a g e >  
             < A c c o u n t B a l a n c e s >  
                 < A c c o u n t B a l a n c e >  
                     < F i e l d N a m e > P r i o r P e r i o d 1 B a l a n c e < / F i e l d N a m e >  
                     < B a l a n c e > - 1 1 1 < / B a l a n c e >  
                 < / A c c o u n t B a l a n c e >  
                 < A c c o u n t B a l a n c e >  
                     < F i e l d N a m e > P r i o r P e r i o d 2 B a l a n c e < / F i e l d N a m e >  
                     < B a l a n c e > - 2 3 < / B a l a n c e >  
                 < / A c c o u n t B a l a n c e >  
                 < A c c o u n t B a l a n c e >  
                     < F i e l d N a m e > P r i o r P e r i o d 3 B a l a n c e < / F i e l d N a m e >  
                     < B a l a n c e > - 2 9 8 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 2 6 5 0 7 8 9 9 2 6 4 0 0 0 0 0 1 9 4 < / I D >  
             < T a r g e t A c c o u n t I D > 2 6 5 0 7 8 9 9 2 6 4 0 0 0 0 0 1 2 4 < / T a r g e t A c c o u n t I D >  
             < C h a r t I D > 2 6 5 0 7 8 9 9 2 6 4 0 0 0 0 0 0 0 3 < / C h a r t I D >  
             < I s L i n k e d > f a l s e < / I s L i n k e d >  
             < N u m b e r > 0 3 1 0 0 0 8 0 0 0 0 1 < / N u m b e r >  
             < N a m e > W I T H H O L D I N G   T A X   P A Y A B L E     C G T   U / S   3 7 A < / N a m e >  
             < A J E > 0 < / A J E >  
             < A d j u s t > - 1 0 < / A d j u s t >  
             < R J E > 0 < / R J E >  
             < P r e l i m i n a r y > - 1 0 < / P r e l i m i n a r y >  
             < F i n a l > - 1 0 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 - 2 3 7 3 < / B a l a n c e >  
                 < / A c c o u n t B a l a n c e >  
                 < A c c o u n t B a l a n c e >  
                     < F i e l d N a m e > P r i o r P e r i o d 3 B a l a n c e < / F i e l d N a m e >  
                     < B a l a n c e > - 5 4 6 9 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 2 6 5 0 7 8 9 9 2 6 4 0 0 0 0 0 2 5 1 < / I D >  
             < T a r g e t A c c o u n t I D > 2 6 5 0 7 8 9 9 2 6 4 0 0 0 0 0 1 2 4 < / T a r g e t A c c o u n t I D >  
             < C h a r t I D > 2 6 5 0 7 8 9 9 2 6 4 0 0 0 0 0 0 0 3 < / C h a r t I D >  
             < I s L i n k e d > f a l s e < / I s L i n k e d >  
             < N u m b e r > 0 3 1 0 0 0 9 0 0 0 0 2 < / N u m b e r >  
             < N a m e > W . H .   T A X   P A Y A B L E     D I V I D E N D   U / S   1 5 0 < / 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 - 2 0 < / B a l a n c e >  
                 < / A c c o u n t B a l a n c e >  
                 < A c c o u n t B a l a n c e >  
                     < F i e l d N a m e > P r i o r P e r i o d 3 B a l a n c e < / F i e l d N a m e >  
                     < B a l a n c e > - 2 0 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 2 6 5 0 7 8 9 9 2 6 4 0 0 0 0 0 1 9 7 < / I D >  
             < T a r g e t A c c o u n t I D > 2 6 5 0 7 8 9 9 2 6 4 0 0 0 0 0 1 2 7 < / T a r g e t A c c o u n t I D >  
             < C h a r t I D > 2 6 5 0 7 8 9 9 2 6 4 0 0 0 0 0 0 0 3 < / C h a r t I D >  
             < I s L i n k e d > f a l s e < / I s L i n k e d >  
             < N u m b e r > 0 3 1 0 0 1 6 0 0 0 0 1 < / N u m b e r >  
             < N a m e > S E T T L E M E N T   C H A R G E S   P A Y A B L E   T O   N C C P L < / N a m e >  
             < A J E > 0 < / A J E >  
             < A d j u s t > 0 < / A d j u s t >  
             < R J E > 0 < / R J E >  
             < P r e l i m i n a r y > 0 < / P r e l i m i n a r y >  
             < F i n a l > 0 < / F i n a l >  
         < / A c c o u n t S t o r a g e >  
         < A c c o u n t S t o r a g e >  
             < A c c o u n t B a l a n c e s >  
                 < A c c o u n t B a l a n c e >  
                     < F i e l d N a m e > P r i o r P e r i o d 1 B a l a n c e < / F i e l d N a m e >  
                     < B a l a n c e > - 1 5 9 8 9 0 < / B a l a n c e >  
                 < / A c c o u n t B a l a n c e >  
                 < A c c o u n t B a l a n c e >  
                     < F i e l d N a m e > P r i o r P e r i o d 2 B a l a n c e < / F i e l d N a m e >  
                     < B a l a n c e > - 2 7 1 4 5 5 < / B a l a n c e >  
                 < / A c c o u n t B a l a n c e >  
                 < A c c o u n t B a l a n c e >  
                     < F i e l d N a m e > P r i o r P e r i o d 3 B a l a n c e < / F i e l d N a m e >  
                     < B a l a n c e > - 2 6 8 8 6 9 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 2 6 5 0 7 8 9 9 2 6 4 0 0 0 0 0 1 5 3 < / I D >  
             < T a r g e t A c c o u n t I D > 2 6 5 0 7 8 9 9 2 6 4 0 0 0 0 0 1 3 0 < / T a r g e t A c c o u n t I D >  
             < C h a r t I D > 2 6 5 0 7 8 9 9 2 6 4 0 0 0 0 0 0 0 3 < / C h a r t I D >  
             < I s L i n k e d > f a l s e < / I s L i n k e d >  
             < N u m b e r > 0 2 0 1 0 0 1 0 0 0 0 1 < / N u m b e r >  
             < N a m e > I S S U E D   O F   U N I T S   A G A I N S T   S A L E   O F   U N I T S < / N a m e >  
             < A J E > 0 < / A J E >  
             < A d j u s t > - 1 6 4 6 6 < / A d j u s t >  
             < R J E > 0 < / R J E >  
             < P r e l i m i n a r y > - 1 6 4 6 6 < / P r e l i m i n a r y >  
             < F i n a l > - 1 6 4 6 6 < / F i n a l >  
         < / A c c o u n t S t o r a g e >  
         < A c c o u n t S t o r a g e >  
             < A c c o u n t B a l a n c e s >  
                 < A c c o u n t B a l a n c e >  
                     < F i e l d N a m e > P r i o r P e r i o d 1 B a l a n c e < / F i e l d N a m e >  
                     < B a l a n c e > 1 1 3 4 0 1 < / B a l a n c e >  
                 < / A c c o u n t B a l a n c e >  
                 < A c c o u n t B a l a n c e >  
                     < F i e l d N a m e > P r i o r P e r i o d 2 B a l a n c e < / F i e l d N a m e >  
                     < B a l a n c e > 2 3 4 9 0 9 < / B a l a n c e >  
                 < / A c c o u n t B a l a n c e >  
                 < A c c o u n t B a l a n c e >  
                     < F i e l d N a m e > P r i o r P e r i o d 3 B a l a n c e < / F i e l d N a m e >  
                     < B a l a n c e > 5 8 0 5 2 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 2 6 5 0 7 8 9 9 2 6 4 0 0 0 0 0 1 5 5 < / I D >  
             < T a r g e t A c c o u n t I D > 2 6 5 0 7 8 9 9 2 6 4 0 0 0 0 0 1 3 0 < / T a r g e t A c c o u n t I D >  
             < C h a r t I D > 2 6 5 0 7 8 9 9 2 6 4 0 0 0 0 0 0 0 3 < / C h a r t I D >  
             < I s L i n k e d > f a l s e < / I s L i n k e d >  
             < N u m b e r > 0 2 0 1 0 0 2 0 0 0 0 1 < / N u m b e r >  
             < N a m e > R E D E M P T I O N   O F   U N I T S     N O R M A L < / N a m e >  
             < A J E > 0 < / A J E >  
             < A d j u s t > 3 2 4 4 8 < / A d j u s t >  
             < R J E > 0 < / R J E >  
             < P r e l i m i n a r y > 3 2 4 4 8 < / P r e l i m i n a r y >  
             < F i n a l > 3 2 4 4 8 < / F i n a l >  
         < / A c c o u n t S t o r a g e >  
         < A c c o u n t S t o r a g e >  
             < A c c o u n t B a l a n c e s >  
                 < A c c o u n t B a l a n c e >  
                     < F i e l d N a m e > P r i o r P e r i o d 1 B a l a n c e < / F i e l d N a m e >  
                     < B a l a n c e > - 1 8 7 6 6 9 < / B a l a n c e >  
                 < / A c c o u n t B a l a n c e >  
                 < A c c o u n t B a l a n c e >  
                     < F i e l d N a m e > P r i o r P e r i o d 2 B a l a n c e < / F i e l d N a m e >  
                     < B a l a n c e > - 8 4 7 5 4 < / B a l a n c e >  
                 < / A c c o u n t B a l a n c e >  
                 < A c c o u n t B a l a n c e >  
                     < F i e l d N a m e > P r i o r P e r i o d 3 B a l a n c e < / F i e l d N a m e >  
                     < B a l a n c e > - 2 7 2 3 8 0 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 2 6 5 0 7 8 9 9 2 6 4 0 0 0 0 0 1 5 8 < / I D >  
             < T a r g e t A c c o u n t I D > 2 6 5 0 7 8 9 9 2 6 4 0 0 0 0 0 1 3 0 < / T a r g e t A c c o u n t I D >  
             < C h a r t I D > 2 6 5 0 7 8 9 9 2 6 4 0 0 0 0 0 0 0 3 < / C h a r t I D >  
             < I s L i n k e d > f a l s e < / I s L i n k e d >  
             < N u m b e r > 0 2 0 1 0 0 3 0 0 0 0 1 < / N u m b e r >  
             < N a m e > C O N V E R S I O N   I N   U N I T S < / N a m e >  
             < A J E > 0 < / A J E >  
             < A d j u s t > - 2 3 8 6 8 < / A d j u s t >  
             < R J E > 0 < / R J E >  
             < P r e l i m i n a r y > - 2 3 8 6 8 < / P r e l i m i n a r y >  
             < F i n a l > - 2 3 8 6 8 < / F i n a l >  
         < / A c c o u n t S t o r a g e >  
         < A c c o u n t S t o r a g e >  
             < A c c o u n t B a l a n c e s >  
                 < A c c o u n t B a l a n c e >  
                     < F i e l d N a m e > P r i o r P e r i o d 1 B a l a n c e < / F i e l d N a m e >  
                     < B a l a n c e > 2 3 9 5 7 8 < / B a l a n c e >  
                 < / A c c o u n t B a l a n c e >  
                 < A c c o u n t B a l a n c e >  
                     < F i e l d N a m e > P r i o r P e r i o d 2 B a l a n c e < / F i e l d N a m e >  
                     < B a l a n c e > 1 7 9 9 6 0 < / B a l a n c e >  
                 < / A c c o u n t B a l a n c e >  
                 < A c c o u n t B a l a n c e >  
                     < F i e l d N a m e > P r i o r P e r i o d 3 B a l a n c e < / F i e l d N a m e >  
                     < B a l a n c e > 2 2 5 6 4 7 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 2 6 5 0 7 8 9 9 2 6 4 0 0 0 0 0 1 5 9 < / I D >  
             < T a r g e t A c c o u n t I D > 2 6 5 0 7 8 9 9 2 6 4 0 0 0 0 0 1 3 0 < / T a r g e t A c c o u n t I D >  
             < C h a r t I D > 2 6 5 0 7 8 9 9 2 6 4 0 0 0 0 0 0 0 3 < / C h a r t I D >  
             < I s L i n k e d > f a l s e < / I s L i n k e d >  
             < N u m b e r > 0 2 0 1 0 0 4 0 0 0 0 1 < / N u m b e r >  
             < N a m e > C O N V E R S I O N   O U T   U N I T S < / N a m e >  
             < A J E > 0 < / A J E >  
             < A d j u s t > 3 7 7 6 3 < / A d j u s t >  
             < R J E > 0 < / R J E >  
             < P r e l i m i n a r y > 3 7 7 6 3 < / P r e l i m i n a r y >  
             < F i n a l > 3 7 7 6 3 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 2 6 5 0 7 8 9 9 2 6 4 0 0 0 0 0 2 6 7 < / I D >  
             < T a r g e t A c c o u n t I D > 2 6 5 0 7 8 9 9 2 6 4 0 0 0 0 0 1 3 0 < / T a r g e t A c c o u n t I D >  
             < C h a r t I D > 2 6 5 0 7 8 9 9 2 6 4 0 0 0 0 0 0 0 3 < / C h a r t I D >  
             < I s L i n k e d > f a l s e < / I s L i n k e d >  
             < N u m b e r > 0 2 0 1 0 0 5 0 0 0 0 1 < / N u m b e r >  
             < N a m e > I S S U E D   O F   B O N U S   U N I T S < / N a m e >  
             < A J E > 0 < / A J E >  
             < A d j u s t > 0 < / A d j u s t >  
             < R J E > 0 < / R J E >  
             < P r e l i m i n a r y > 0 < / P r e l i m i n a r y >  
             < F i n a l > 0 < / F i n a l >  
         < / A c c o u n t S t o r a g e >  
         < A c c o u n t S t o r a g e >  
             < A c c o u n t B a l a n c e s >  
                 < A c c o u n t B a l a n c e >  
                     < F i e l d N a m e > P r i o r P e r i o d 1 B a l a n c e < / F i e l d N a m e >  
                     < B a l a n c e > 9 2 8 1 9 < / B a l a n c e >  
                 < / A c c o u n t B a l a n c e >  
                 < A c c o u n t B a l a n c e >  
                     < F i e l d N a m e > P r i o r P e r i o d 2 B a l a n c e < / F i e l d N a m e >  
                     < B a l a n c e > 2 2 3 3 3 < / B a l a n c e >  
                 < / A c c o u n t B a l a n c e >  
                 < A c c o u n t B a l a n c e >  
                     < F i e l d N a m e > P r i o r P e r i o d 3 B a l a n c e < / F i e l d N a m e >  
                     < B a l a n c e > 6 5 7 4 1 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 2 6 5 0 7 8 9 9 2 6 4 0 0 0 0 0 2 4 8 < / I D >  
             < T a r g e t A c c o u n t I D > 2 6 5 0 7 8 9 9 2 6 4 0 0 0 0 0 1 3 0 < / T a r g e t A c c o u n t I D >  
             < C h a r t I D > 2 6 5 0 7 8 9 9 2 6 4 0 0 0 0 0 0 0 3 < / C h a r t I D >  
             < I s L i n k e d > f a l s e < / I s L i n k e d >  
             < N u m b e r > 0 2 0 3 0 0 1 0 0 0 0 1 < / N u m b e r >  
             < N a m e > U N A P P R O P R I A T E D   I N C O M E < / N a m e >  
             < A J E > 0 < / A J E >  
             < A d j u s t > 0 < / A d j u s t >  
             < R J E > 0 < / R J E >  
             < P r e l i m i n a r y > 0 < / P r e l i m i n a r y >  
             < F i n a l > 0 < / F i n a l >  
         < / A c c o u n t S t o r a g e >  
         < A c c o u n t S t o r a g e >  
             < A c c o u n t B a l a n c e s >  
                 < A c c o u n t B a l a n c e >  
                     < F i e l d N a m e > P r i o r P e r i o d 1 B a l a n c e < / F i e l d N a m e >  
                     < B a l a n c e > - 6 2 6 9 2 1 < / B a l a n c e >  
                 < / A c c o u n t B a l a n c e >  
                 < A c c o u n t B a l a n c e >  
                     < F i e l d N a m e > P r i o r P e r i o d 2 B a l a n c e < / F i e l d N a m e >  
                     < B a l a n c e > - 6 8 1 8 8 7 < / B a l a n c e >  
                 < / A c c o u n t B a l a n c e >  
                 < A c c o u n t B a l a n c e >  
                     < F i e l d N a m e > P r i o r P e r i o d 3 B a l a n c e < / F i e l d N a m e >  
                     < B a l a n c e > - 3 6 4 6 3 5 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 2 6 5 0 7 8 9 9 2 6 4 0 0 0 0 0 1 6 8 < / I D >  
             < T a r g e t A c c o u n t I D > 2 6 5 0 7 8 9 9 2 6 4 0 0 0 0 0 1 3 0 < / T a r g e t A c c o u n t I D >  
             < C h a r t I D > 2 6 5 0 7 8 9 9 2 6 4 0 0 0 0 0 0 0 3 < / C h a r t I D >  
             < I s L i n k e d > f a l s e < / I s L i n k e d >  
             < N u m b e r > 0 2 0 5 0 0 1 0 0 0 0 1 < / N u m b e r >  
             < N a m e > B A L A N C E   A C C O U N T < / N a m e >  
             < A J E > 0 < / A J E >  
             < A d j u s t > - 6 7 5 1 8 3 < / A d j u s t >  
             < R J E > 0 < / R J E >  
             < P r e l i m i n a r y > - 6 7 5 1 8 3 < / P r e l i m i n a r y >  
             < F i n a l > - 6 7 5 1 8 3 < / 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B a l a n c e >  
                 < / A c c o u n t B a l a n c e >  
                 < A c c o u n t B a l a n c e >  
                     < F i e l d N a m e > P r i o r P e r i o d 3 B a l a n c e < / F i e l d N a m e >  
                     < B a l a n c e > - 3 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 2 6 5 0 7 8 9 9 2 6 4 0 0 0 0 0 2 7 4 < / I D >  
             < T a r g e t A c c o u n t I D > 2 6 5 0 7 8 9 9 2 6 4 0 0 0 0 0 1 3 0 < / T a r g e t A c c o u n t I D >  
             < C h a r t I D > 2 6 5 0 7 8 9 9 2 6 4 0 0 0 0 0 0 0 3 < / C h a r t I D >  
             < I s L i n k e d > f a l s e < / I s L i n k e d >  
             < N u m b e r > B l a n k   ( 1 2 7 ) < / N u m b e r >  
             < 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 2 6 5 0 7 8 9 9 2 6 4 0 0 0 0 0 2 7 5 < / I D >  
             < T a r g e t A c c o u n t I D > 2 6 5 0 7 8 9 9 2 6 4 0 0 0 0 0 1 3 0 < / T a r g e t A c c o u n t I D >  
             < C h a r t I D > 2 6 5 0 7 8 9 9 2 6 4 0 0 0 0 0 0 0 3 < / C h a r t I D >  
             < I s L i n k e d > f a l s e < / I s L i n k e d >  
             < N u m b e r > D T T - 0 1 < / N u m b e r >  
             < N a m e > H a l f   y e a r l y   0   B a l a n c i n g < / N a m e >  
             < A J E > 0 < / A J E >  
             < A d j u s t > 0 < / A d j u s t >  
             < R J E > 0 < / R J E >  
             < P r e l i m i n a r y > 0 < / P r e l i m i n a r y >  
             < F i n a l > 0 < / F i n a l >  
         < / A c c o u n t S t o r a g e >  
         < A c c o u n t S t o r a g e >  
             < A c c o u n t B a l a n c e s >  
                 < A c c o u n t B a l a n c e >  
                     < F i e l d N a m e > P r i o r P e r i o d 1 B a l a n c e < / F i e l d N a m e >  
                     < B a l a n c e > - 9 9 1 < / B a l a n c e >  
                 < / A c c o u n t B a l a n c e >  
                 < A c c o u n t B a l a n c e >  
                     < F i e l d N a m e > P r i o r P e r i o d 2 B a l a n c e < / F i e l d N a m e >  
                     < B a l a n c e > - 4 4 1 7 < / B a l a n c e >  
                 < / A c c o u n t B a l a n c e >  
                 < A c c o u n t B a l a n c e >  
                     < F i e l d N a m e > P r i o r P e r i o d 3 B a l a n c e < / F i e l d N a m e >  
                     < B a l a n c e > 3 1 1 5 0 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 2 6 5 0 7 8 9 9 2 6 4 0 0 0 0 0 1 6 1 < / I D >  
             < T a r g e t A c c o u n t I D > 2 6 5 0 7 8 9 9 2 6 4 0 0 0 0 0 1 3 1 < / T a r g e t A c c o u n t I D >  
             < C h a r t I D > 2 6 5 0 7 8 9 9 2 6 4 0 0 0 0 0 0 0 3 < / C h a r t I D >  
             < I s L i n k e d > f a l s e < / I s L i n k e d >  
             < N u m b e r > 0 2 0 2 0 0 1 0 0 0 0 1 < / N u m b e r >  
             < N a m e > E L E M E N T   O F   I N C O M E     R E A L I Z E D < / N a m e >  
             < A J E > 0 < / A J E >  
             < A d j u s t > 1 6 0 2 < / A d j u s t >  
             < R J E > 0 < / R J E >  
             < P r e l i m i n a r y > 1 6 0 2 < / P r e l i m i n a r y >  
             < F i n a l > 1 6 0 2 < / F i n a l >  
         < / A c c o u n t S t o r a g e >  
         < A c c o u n t S t o r a g e >  
             < A c c o u n t B a l a n c e s >  
                 < A c c o u n t B a l a n c e >  
                     < F i e l d N a m e > P r i o r P e r i o d 1 B a l a n c e < / F i e l d N a m e >  
                     < B a l a n c e > - 3 8 5 4 < / B a l a n c e >  
                 < / A c c o u n t B a l a n c e >  
                 < A c c o u n t B a l a n c e >  
                     < F i e l d N a m e > P r i o r P e r i o d 2 B a l a n c e < / F i e l d N a m e >  
                     < B a l a n c e > 5 8 2 2 < / B a l a n c e >  
                 < / A c c o u n t B a l a n c e >  
                 < A c c o u n t B a l a n c e >  
                     < F i e l d N a m e > P r i o r P e r i o d 3 B a l a n c e < / F i e l d N a m e >  
                     < B a l a n c e > - 1 7 4 3 7 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 2 6 5 0 7 8 9 9 2 6 4 0 0 0 0 0 1 6 3 < / I D >  
             < T a r g e t A c c o u n t I D > 2 6 5 0 7 8 9 9 2 6 4 0 0 0 0 0 1 3 4 < / T a r g e t A c c o u n t I D >  
             < C h a r t I D > 2 6 5 0 7 8 9 9 2 6 4 0 0 0 0 0 0 0 3 < / C h a r t I D >  
             < I s L i n k e d > f a l s e < / I s L i n k e d >  
             < N u m b e r > 0 2 0 2 0 0 2 0 0 0 0 1 < / N u m b e r >  
             < N a m e > E L E M E N T   O F   I N C O M E     U N R E A L I Z E D < / N a m e >  
             < A J E > 0 < / A J E >  
             < A d j u s t > - 4 0 4 6 < / A d j u s t >  
             < R J E > 0 < / R J E >  
             < P r e l i m i n a r y > - 4 0 4 6 < / P r e l i m i n a r y >  
             < F i n a l > - 4 0 4 6 < / F i n a l >  
         < / A c c o u n t S t o r a g e >  
         < A c c o u n t S t o r a g e >  
             < A c c o u n t B a l a n c e s >  
                 < A c c o u n t B a l a n c e >  
                     < F i e l d N a m e > P r i o r P e r i o d 1 B a l a n c e < / F i e l d N a m e >  
                     < B a l a n c e > 5 8 8 5 < / B a l a n c e >  
                 < / A c c o u n t B a l a n c e >  
                 < A c c o u n t B a l a n c e >  
                     < F i e l d N a m e > P r i o r P e r i o d 2 B a l a n c e < / F i e l d N a m e >  
                     < B a l a n c e > - 1 3 9 0 4 < / B a l a n c e >  
                 < / A c c o u n t B a l a n c e >  
                 < A c c o u n t B a l a n c e >  
                     < F i e l d N a m e > P r i o r P e r i o d 3 B a l a n c e < / F i e l d N a m e >  
                     < B a l a n c e > - 1 3 7 3 5 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 2 6 5 0 7 8 9 9 2 6 4 0 0 0 0 0 1 6 5 < / I D >  
             < T a r g e t A c c o u n t I D > 2 6 5 0 7 8 9 9 2 6 4 0 0 0 0 0 1 3 6 < / T a r g e t A c c o u n t I D >  
             < C h a r t I D > 2 6 5 0 7 8 9 9 2 6 4 0 0 0 0 0 0 0 3 < / C h a r t I D >  
             < I s L i n k e d > f a l s e < / I s L i n k e d >  
             < N u m b e r > 0 2 0 4 0 0 2 0 0 0 0 1 < / N u m b e r >  
             < N a m e > U N R E A L I Z E D   G A I N   /   ( L O S S )   E Q U I T Y   -   A F S < / N a m e >  
             < A J E > 0 < / A J E >  
             < A d j u s t > 4 3 2 9 < / A d j u s t >  
             < R J E > 0 < / R J E >  
             < P r e l i m i n a r y > 4 3 2 9 < / P r e l i m i n a r y >  
             < F i n a l > 4 3 2 9 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 - 4 8 < / B a l a n c e >  
                 < / A c c o u n t B a l a n c e >  
                 < A c c o u n t B a l a n c e >  
                     < F i e l d N a m e > P r i o r P e r i o d 3 B a l a n c e < / F i e l d N a m e >  
                     < B a l a n c e > 4 8 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 2 6 5 0 7 8 9 9 2 6 4 0 0 0 0 0 2 4 9 < / I D >  
             < T a r g e t A c c o u n t I D > 2 6 5 0 7 8 9 9 2 6 4 0 0 0 0 0 1 3 8 < / T a r g e t A c c o u n t I D >  
             < C h a r t I D > 2 6 5 0 7 8 9 9 2 6 4 0 0 0 0 0 0 0 3 < / C h a r t I D >  
             < I s L i n k e d > f a l s e < / I s L i n k e d >  
             < N u m b e r > 0 2 0 4 0 0 4 0 0 0 0 1 < / N u m b e r >  
             < N a m e > U n r e a l i z e d   G a i n   /   ( L o s s )   P i b -   A f s < / N a m e >  
             < A J E > 0 < / A J E >  
             < A d j u s t > 0 < / A d j u s t >  
             < R J E > 0 < / R J E >  
             < P r e l i m i n a r y > 0 < / P r e l i m i n a r y >  
             < F i n a l > 0 < / F i n a l >  
         < / A c c o u n t S t o r a g e >  
         < A c c o u n t S t o r a g e >  
             < A c c o u n t B a l a n c e s >  
                 < A c c o u n t B a l a n c e >  
                     < F i e l d N a m e > P r i o r P e r i o d 1 B a l a n c e < / F i e l d N a m e >  
                     < B a l a n c e > - 6 3 2 2 6 < / B a l a n c e >  
                 < / A c c o u n t B a l a n c e >  
                 < A c c o u n t B a l a n c e >  
                     < F i e l d N a m e > P r i o r P e r i o d 2 B a l a n c e < / F i e l d N a m e >  
                     < B a l a n c e > - 6 9 6 2 < / B a l a n c e >  
                 < / A c c o u n t B a l a n c e >  
                 < A c c o u n t B a l a n c e >  
                     < F i e l d N a m e > P r i o r P e r i o d 3 B a l a n c e < / F i e l d N a m e >  
                     < B a l a n c e > - 7 5 1 8 7 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 2 6 5 0 7 8 9 9 2 6 4 0 0 0 0 0 2 0 0 < / I D >  
             < T a r g e t A c c o u n t I D > 2 6 5 0 7 8 9 9 2 6 4 0 0 0 0 0 1 4 0 < / T a r g e t A c c o u n t I D >  
             < C h a r t I D > 2 6 5 0 7 8 9 9 2 6 4 0 0 0 0 0 0 0 3 < / C h a r t I D >  
             < I s L i n k e d > f a l s e < / I s L i n k e d >  
             < N u m b e r > 0 4 0 1 0 0 1 0 0 0 0 1 < / N u m b e r >  
             < N a m e > C A P I T A L   G A I N   /   ( L O S S )   O N   S A L E   O F   E Q U I T Y   S E C U R I T I E S < / N a m e >  
             < A J E > 0 < / A J E >  
             < A d j u s t > 2 6 5 8 1 < / A d j u s t >  
             < R J E > 0 < / R J E >  
             < P r e l i m i n a r y > 2 6 5 8 1 < / P r e l i m i n a r y >  
             < F i n a l > 2 6 5 8 1 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 2 6 5 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 2 6 5 0 7 8 9 9 2 6 4 0 0 0 0 0 2 6 8 < / I D >  
             < T a r g e t A c c o u n t I D > 2 6 5 0 7 8 9 9 2 6 4 0 0 0 0 0 1 4 2 < / T a r g e t A c c o u n t I D >  
             < C h a r t I D > 2 6 5 0 7 8 9 9 2 6 4 0 0 0 0 0 0 0 3 < / C h a r t I D >  
             < I s L i n k e d > f a l s e < / I s L i n k e d >  
             < N u m b e r > 0 4 0 1 0 0 2 0 0 0 0 1 < / N u m b e r >  
             < N a m e > C A P I T A L   G A I N   /   ( L O S S )   O N   S A L E   O F   D E B T 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 - 7 2 9 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 2 6 5 0 7 8 9 9 2 6 4 0 0 0 0 0 2 5 2 < / I D >  
             < T a r g e t A c c o u n t I D > 2 6 5 0 7 8 9 9 2 6 4 0 0 0 0 0 1 4 2 < / T a r g e t A c c o u n t I D >  
             < C h a r t I D > 2 6 5 0 7 8 9 9 2 6 4 0 0 0 0 0 0 0 3 < / C h a r t I D >  
             < I s L i n k e d > f a l s e < / I s L i n k e d >  
             < N u m b e r > 0 4 0 1 0 0 3 0 0 0 0 1 < / N u m b e r >  
             < N a m e > C A P I T A L   G A I N   /   ( L O S S )   O N   S A L E   O F   P I B S < / N a m e >  
             < A J E > 0 < / A J E >  
             < A d j u s t > 0 < / A d j u s t >  
             < R J E > 0 < / R J E >  
             < P r e l i m i n a r y > 0 < / P r e l i m i n a r y >  
             < F i n a l > 0 < / F i n a l >  
         < / A c c o u n t S t o r a g e >  
         < A c c o u n t S t o r a g e >  
             < A c c o u n t B a l a n c e s >  
                 < A c c o u n t B a l a n c e >  
                     < F i e l d N a m e > P r i o r P e r i o d 1 B a l a n c e < / F i e l d N a m e >  
                     < B a l a n c e > 7 < / B a l a n c e >  
                 < / A c c o u n t B a l a n c e >  
                 < A c c o u n t B a l a n c e >  
                     < F i e l d N a m e > P r i o r P e r i o d 2 B a l a n c e < / F i e l d N a m e >  
                     < B a l a n c e > - 1 4 < / B a l a n c e >  
                 < / A c c o u n t B a l a n c e >  
                 < A c c o u n t B a l a n c e >  
                     < F i e l d N a m e > P r i o r P e r i o d 3 B a l a n c e < / F i e l d N a m e >  
                     < B a l a n c e > 2 5 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 2 6 5 0 7 8 9 9 2 6 4 0 0 0 0 0 2 0 1 < / I D >  
             < T a r g e t A c c o u n t I D > 2 6 5 0 7 8 9 9 2 6 4 0 0 0 0 0 1 4 3 < / T a r g e t A c c o u n t I D >  
             < C h a r t I D > 2 6 5 0 7 8 9 9 2 6 4 0 0 0 0 0 0 0 3 < / C h a r t I D >  
             < I s L i n k e d > f a l s e < / I s L i n k e d >  
             < N u m b e r > 0 4 0 1 0 0 4 0 0 0 0 1 < / N u m b e r >  
             < N a m e > C A P I T A L   G A I N   /   ( L O S S )   O N   S A L E   O F   T - B I L L S < / N a m e >  
             < A J E > 0 < / A J E >  
             < A d j u s t > - 3 < / A d j u s t >  
             < R J E > 0 < / R J E >  
             < P r e l i m i n a r y > - 3 < / P r e l i m i n a r y >  
             < F i n a l > - 3 < / F i n a l >  
         < / A c c o u n t S t o r a g e >  
         < A c c o u n t S t o r a g e >  
             < A c c o u n t B a l a n c e s >  
                 < A c c o u n t B a l a n c e >  
                     < F i e l d N a m e > P r i o r P e r i o d 1 B a l a n c e < / F i e l d N a m e >  
                     < B a l a n c e > - 1 0 4 3 8 < / B a l a n c e >  
                 < / A c c o u n t B a l a n c e >  
                 < A c c o u n t B a l a n c e >  
                     < F i e l d N a m e > P r i o r P e r i o d 2 B a l a n c e < / F i e l d N a m e >  
                     < B a l a n c e > - 2 7 0 1 0 < / B a l a n c e >  
                 < / A c c o u n t B a l a n c e >  
                 < A c c o u n t B a l a n c e >  
                     < F i e l d N a m e > P r i o r P e r i o d 3 B a l a n c e < / F i e l d N a m e >  
                     < B a l a n c e > - 1 4 1 4 7 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 2 6 5 0 7 8 9 9 2 6 4 0 0 0 0 0 2 0 2 < / I D >  
             < T a r g e t A c c o u n t I D > 2 6 5 0 7 8 9 9 2 6 4 0 0 0 0 0 1 4 6 < / T a r g e t A c c o u n t I D >  
             < C h a r t I D > 2 6 5 0 7 8 9 9 2 6 4 0 0 0 0 0 0 0 3 < / C h a r t I D >  
             < I s L i n k e d > f a l s e < / I s L i n k e d >  
             < N u m b e r > 0 4 0 1 0 1 0 0 0 0 0 1 < / N u m b e r >  
             < N a m e > D I V I D E N D   I N C O M E   O N   E Q U I T Y   S E C U R I T I E S < / N a m e >  
             < A J E > 0 < / A J E >  
             < A d j u s t > - 5 9 9 4 < / A d j u s t >  
             < R J E > 0 < / R J E >  
             < P r e l i m i n a r y > - 5 9 9 4 < / P r e l i m i n a r y >  
             < F i n a l > - 5 9 9 4 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 - 4 1 3 1 < / B a l a n c e >  
                 < / A c c o u n t B a l a n c e >  
                 < A c c o u n t B a l a n c e >  
                     < F i e l d N a m e > P r i o r P e r i o d 3 B a l a n c e < / F i e l d N a m e >  
                     < B a l a n c e > - 1 2 7 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 2 6 5 0 7 8 9 9 2 6 4 0 0 0 0 0 2 5 5 < / I D >  
             < T a r g e t A c c o u n t I D > 2 6 5 0 7 8 9 9 2 6 4 0 0 0 0 0 1 4 9 < / T a r g e t A c c o u n t I D >  
             < C h a r t I D > 2 6 5 0 7 8 9 9 2 6 4 0 0 0 0 0 0 0 3 < / C h a r t I D >  
             < I s L i n k e d > f a l s e < / I s L i n k e d >  
             < N u m b e r > 0 4 0 2 0 0 4 0 0 0 0 1 < / N u m b e r >  
             < N a m e > I N C O M E   O N   G O V T   S E C T Y   P I B S < / N a m e >  
             < A J E > 0 < / A J E >  
             < A d j u s t > 0 < / A d j u s t >  
             < R J E > 0 < / R J E >  
             < P r e l i m i n a r y > 0 < / P r e l i m i n a r y >  
             < F i n a l > 0 < / F i n a l >  
         < / A c c o u n t S t o r a g e >  
         < A c c o u n t S t o r a g e >  
             < A c c o u n t B a l a n c e s >  
                 < A c c o u n t B a l a n c e >  
                     < F i e l d N a m e > P r i o r P e r i o d 1 B a l a n c e < / F i e l d N a m e >  
                     < B a l a n c e > - 4 8 7 7 < / B a l a n c e >  
                 < / A c c o u n t B a l a n c e >  
                 < A c c o u n t B a l a n c e >  
                     < F i e l d N a m e > P r i o r P e r i o d 2 B a l a n c e < / F i e l d N a m e >  
                     < B a l a n c e > - 8 5 6 8 < / B a l a n c e >  
                 < / A c c o u n t B a l a n c e >  
                 < A c c o u n t B a l a n c e >  
                     < F i e l d N a m e > P r i o r P e r i o d 3 B a l a n c e < / F i e l d N a m e >  
                     < B a l a n c e > - 6 8 7 9 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 2 6 5 0 7 8 9 9 2 6 4 0 0 0 0 0 2 1 6 < / I D >  
             < T a r g e t A c c o u n t I D > 2 6 5 0 7 8 9 9 2 6 4 0 0 0 0 0 1 4 9 < / T a r g e t A c c o u n t I D >  
             < C h a r t I D > 2 6 5 0 7 8 9 9 2 6 4 0 0 0 0 0 0 0 3 < / C h a r t I D >  
             < I s L i n k e d > f a l s e < / I s L i n k e d >  
             < N u m b e r > 0 4 0 2 0 1 6 0 0 0 0 1 < / N u m b e r >  
             < N a m e > A M O R T I Z A T I O N   /   D I S C O U N T   O N   G O V T   S E C   B I L L S S < / N a m e >  
             < A J E > 0 < / A J E >  
             < A d j u s t > - 2 3 9 1 < / A d j u s t >  
             < R J E > 0 < / R J E >  
             < P r e l i m i n a r y > - 2 3 9 1 < / P r e l i m i n a r y >  
             < F i n a l > - 2 3 9 1 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 - 2 3 6 < / B a l a n c e >  
                 < / A c c o u n t B a l a n c e >  
                 < A c c o u n t B a l a n c e >  
                     < F i e l d N a m e > P r i o r P e r i o d 3 B a l a n c e < / F i e l d N a m e >  
                     < B a l a n c e > - 1 1 8 2 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 2 6 5 0 7 8 9 9 2 6 4 0 0 0 0 0 2 1 5 < / I D >  
             < T a r g e t A c c o u n t I D > 2 6 5 0 7 8 9 9 2 6 4 0 0 0 0 0 1 5 2 < / T a r g e t A c c o u n t I D >  
             < C h a r t I D > 2 6 5 0 7 8 9 9 2 6 4 0 0 0 0 0 0 0 3 < / C h a r t I D >  
             < I s L i n k e d > f a l s e < / I s L i n k e d >  
             < N u m b e r > 0 4 0 2 0 0 3 0 0 0 0 1 < / N u m b e r >  
             < N a m e > I N C O M E   O N   T F C < / N a m e >  
             < A J E > 0 < / A J E >  
             < A d j u s t > - 3 6 < / A d j u s t >  
             < R J E > 0 < / R J E >  
             < P r e l i m i n a r y > - 3 6 < / P r e l i m i n a r y >  
             < F i n a l > - 3 6 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B a l a n c e >  
                 < / A c c o u n t B a l a n c e >  
                 < A c c o u n t B a l a n c e >  
                     < F i e l d N a m e > P r i o r P e r i o d 3 B a l a n c e < / F i e l d N a m e >  
                     < B a l a n c e > - 7 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 2 6 5 0 7 8 9 9 2 6 4 0 0 0 0 0 2 5 4 < / I D >  
             < T a r g e t A c c o u n t I D > 2 6 5 0 7 8 9 9 2 6 4 0 0 0 0 0 1 5 2 < / T a r g e t A c c o u n t I D >  
             < C h a r t I D > 2 6 5 0 7 8 9 9 2 6 4 0 0 0 0 0 0 0 3 < / C h a r t I D >  
             < I s L i n k e d > f a l s e < / I s L i n k e d >  
             < N u m b e r > 0 4 0 2 0 0 3 0 0 0 0 2 < / N u m b e r >  
             < N a m e > I N C O M E   O N   T F C < / 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 - 5 5 5 < / B a l a n c e >  
                 < / A c c o u n t B a l a n c e >  
                 < A c c o u n t B a l a n c e >  
                     < F i e l d N a m e > P r i o r P e r i o d 3 B a l a n c e < / F i e l d N a m e >  
                     < B a l a n c e > - 8 4 9 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 2 6 5 0 7 8 9 9 2 6 4 0 0 0 0 0 2 5 6 < / I D >  
             < T a r g e t A c c o u n t I D > 2 6 5 0 7 8 9 9 2 6 4 0 0 0 0 0 1 5 2 < / T a r g e t A c c o u n t I D >  
             < C h a r t I D > 2 6 5 0 7 8 9 9 2 6 4 0 0 0 0 0 0 0 3 < / C h a r t I D >  
             < I s L i n k e d > f a l s e < / I s L i n k e d >  
             < N u m b e r > 0 4 0 2 0 1 4 0 0 0 0 1 < / N u m b e r >  
             < N a m e > A M O R T I Z A T I O N   /   D I S C O U N T   O N   D E B T   S E C U R I T I E S   -   T F C < / N a m e >  
             < A J E > 0 < / A J E >  
             < A d j u s t > 0 < / A d j u s t >  
             < R J E > 0 < / R J E >  
             < P r e l i m i n a r y > 0 < / P r e l i m i n a r y >  
             < F i n a l > 0 < / F i n a l >  
         < / A c c o u n t S t o r a g e >  
         < A c c o u n t S t o r a g e >  
             < A c c o u n t B a l a n c e s >  
                 < A c c o u n t B a l a n c e >  
                     < F i e l d N a m e > P r i o r P e r i o d 1 B a l a n c e < / F i e l d N a m e >  
                     < B a l a n c e > - 1 3 9 < / 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 2 6 5 0 7 8 9 9 2 6 4 0 0 0 0 0 2 0 5 < / I D >  
             < T a r g e t A c c o u n t I D > 2 6 5 0 7 8 9 9 2 6 4 0 0 0 0 0 1 5 4 < / T a r g e t A c c o u n t I D >  
             < C h a r t I D > 2 6 5 0 7 8 9 9 2 6 4 0 0 0 0 0 0 0 3 < / C h a r t I D >  
             < I s L i n k e d > f a l s e < / I s L i n k e d >  
             < N u m b e r > 0 4 0 2 0 0 1 0 0 0 0 1 < / N u m b e r >  
             < N a m e > P R O F I T   O N   -   A L L I E D   B A N K   L I M I T E D   -   F O R E I G N   E X C H A N G E   B R A N C H < / N a m e >  
             < A J E > 0 < / A J E >  
             < A d j u s t > - 2 2 7 7 < / A d j u s t >  
             < R J E > 0 < / R J E >  
             < P r e l i m i n a r y > - 2 2 7 7 < / P r e l i m i n a r y >  
             < F i n a l > - 2 2 7 7 < / F i n a l >  
         < / A c c o u n t S t o r a g e >  
         < A c c o u n t S t o r a g e >  
             < A c c o u n t B a l a n c e s >  
                 < A c c o u n t B a l a n c e >  
                     < F i e l d N a m e > P r i o r P e r i o d 1 B a l a n c e < / F i e l d N a m e >  
                     < B a l a n c e > - 2 7 2 < / B a l a n c e >  
                 < / A c c o u n t B a l a n c e >  
                 < A c c o u n t B a l a n c e >  
                     < F i e l d N a m e > P r i o r P e r i o d 2 B a l a n c e < / F i e l d N a m e >  
                     < B a l a n c e > - 1 1 6 9 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 2 6 5 0 7 8 9 9 2 6 4 0 0 0 0 0 2 0 6 < / I D >  
             < T a r g e t A c c o u n t I D > 2 6 5 0 7 8 9 9 2 6 4 0 0 0 0 0 1 5 4 < / T a r g e t A c c o u n t I D >  
             < C h a r t I D > 2 6 5 0 7 8 9 9 2 6 4 0 0 0 0 0 0 0 3 < / C h a r t I D >  
             < I s L i n k e d > f a l s e < / I s L i n k e d >  
             < N u m b e r > 0 4 0 2 0 0 1 0 0 0 0 5 < / N u m b e r >  
             < N a m e > P R O F I T   O N   -   B A N K   A L   F A L A H   L I M I T E D     -   K S E   B R A N C H < / N a m e >  
             < A J E > 0 < / A J E >  
             < A d j u s t > - 6 2 < / A d j u s t >  
             < R J E > 0 < / R J E >  
             < P r e l i m i n a r y > - 6 2 < / P r e l i m i n a r y >  
             < F i n a l > - 6 2 < / F i n a l >  
         < / A c c o u n t S t o r a g e >  
         < A c c o u n t S t o r a g e >  
             < A c c o u n t B a l a n c e s >  
                 < A c c o u n t B a l a n c e >  
                     < F i e l d N a m e > P r i o r P e r i o d 1 B a l a n c e < / F i e l d N a m e >  
                     < B a l a n c e > - 7 5 5 < / B a l a n c e >  
                 < / A c c o u n t B a l a n c e >  
                 < A c c o u n t B a l a n c e >  
                     < F i e l d N a m e > P r i o r P e r i o d 2 B a l a n c e < / F i e l d N a m e >  
                     < B a l a n c e > - 2 5 1 8 < / B a l a n c e >  
                 < / A c c o u n t B a l a n c e >  
                 < A c c o u n t B a l a n c e >  
                     < F i e l d N a m e > P r i o r P e r i o d 3 B a l a n c e < / F i e l d N a m e >  
                     < B a l a n c e > - 1 1 6 2 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 2 6 5 0 7 8 9 9 2 6 4 0 0 0 0 0 2 0 7 < / I D >  
             < T a r g e t A c c o u n t I D > 2 6 5 0 7 8 9 9 2 6 4 0 0 0 0 0 1 5 4 < / T a r g e t A c c o u n t I D >  
             < C h a r t I D > 2 6 5 0 7 8 9 9 2 6 4 0 0 0 0 0 0 0 3 < / C h a r t I D >  
             < I s L i n k e d > f a l s e < / I s L i n k e d >  
             < N u m b e r > 0 4 0 2 0 0 1 0 0 0 1 4 < / N u m b e r >  
             < N a m e > P r o f i t   O n   -   H a b i b   M e t r o p o l i t a n   B a n k   L i m i t e d   -   K a r a c h i   S t o c k   E x c h a n g e   B r a n c h < / N a m e >  
             < A J E > 0 < / A J E >  
             < A d j u s t > - 3 3 9 6 < / A d j u s t >  
             < R J E > 0 < / R J E >  
             < P r e l i m i n a r y > - 3 3 9 6 < / P r e l i m i n a r y >  
             < F i n a l > - 3 3 9 6 < / F i n a l >  
         < / A c c o u n t S t o r a g e >  
         < A c c o u n t S t o r a g e >  
             < A c c o u n t B a l a n c e s >  
                 < A c c o u n t B a l a n c e >  
                     < F i e l d N a m e > P r i o r P e r i o d 1 B a l a n c e < / F i e l d N a m e >  
                     < B a l a n c e > - 1 0 8 < / B a l a n c e >  
                 < / A c c o u n t B a l a n c e >  
                 < A c c o u n t B a l a n c e >  
                     < F i e l d N a m e > P r i o r P e r i o d 2 B a l a n c e < / F i e l d N a m e >  
                     < B a l a n c e > - 1 1 0 4 < / B a l a n c e >  
                 < / A c c o u n t B a l a n c e >  
                 < A c c o u n t B a l a n c e >  
                     < F i e l d N a m e > P r i o r P e r i o d 3 B a l a n c e < / F i e l d N a m e >  
                     < B a l a n c e > - 3 8 5 2 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 2 6 5 0 7 8 9 9 2 6 4 0 0 0 0 0 2 0 8 < / I D >  
             < T a r g e t A c c o u n t I D > 2 6 5 0 7 8 9 9 2 6 4 0 0 0 0 0 1 5 4 < / T a r g e t A c c o u n t I D >  
             < C h a r t I D > 2 6 5 0 7 8 9 9 2 6 4 0 0 0 0 0 0 0 3 < / C h a r t I D >  
             < I s L i n k e d > f a l s e < / I s L i n k e d >  
             < N u m b e r > 0 4 0 2 0 0 1 0 0 0 1 7 < / N u m b e r >  
             < N a m e > P r o f i t   O n   -   M c b   B a n k   L i m i t e d   -   U n i   T o w e r   B r a n c h < / N a m e >  
             < A J E > 0 < / A J E >  
             < A d j u s t > - 4 4 < / A d j u s t >  
             < R J E > 0 < / R J E >  
             < P r e l i m i n a r y > - 4 4 < / P r e l i m i n a r y >  
             < F i n a l > - 4 4 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 2 6 5 0 7 8 9 9 2 6 4 0 0 0 0 0 2 0 9 < / I D >  
             < T a r g e t A c c o u n t I D > 2 6 5 0 7 8 9 9 2 6 4 0 0 0 0 0 1 5 4 < / T a r g e t A c c o u n t I D >  
             < C h a r t I D > 2 6 5 0 7 8 9 9 2 6 4 0 0 0 0 0 0 0 3 < / C h a r t I D >  
             < I s L i n k e d > f a l s e < / I s L i n k e d >  
             < N u m b e r > 0 4 0 2 0 0 1 0 0 0 2 1 < / N u m b e r >  
             < N a m e > P r o f i t   O n   -   M c b   B a n k   L i m i t e d   -   S h a h e e n   C o m p l e x 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 2 6 5 0 7 8 9 9 2 6 4 0 0 0 0 0 2 1 0 < / I D >  
             < T a r g e t A c c o u n t I D > 2 6 5 0 7 8 9 9 2 6 4 0 0 0 0 0 1 5 4 < / T a r g e t A c c o u n t I D >  
             < C h a r t I D > 2 6 5 0 7 8 9 9 2 6 4 0 0 0 0 0 0 0 3 < / C h a r t I D >  
             < I s L i n k e d > f a l s e < / I s L i n k e d >  
             < N u m b e r > 0 4 0 2 0 0 1 0 0 0 2 6 < / N u m b e r >  
             < N a m e > P r o f i t   O n   -   N i b 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 - 2 2 8 < / B a l a n c e >  
                 < / A c c o u n t B a l a n c e >  
                 < A c c o u n t B a l a n c e >  
                     < F i e l d N a m e > P r i o r P e r i o d 2 B a l a n c e < / F i e l d N a m e >  
                     < B a l a n c e > - 1 3 6 < / B a l a n c e >  
                 < / A c c o u n t B a l a n c e >  
                 < A c c o u n t B a l a n c e >  
                     < F i e l d N a m e > P r i o r P e r i o d 3 B a l a n c e < / F i e l d N a m e >  
                     < B a l a n c e > - 5 7 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 2 6 5 0 7 8 9 9 2 6 4 0 0 0 0 0 2 1 1 < / I D >  
             < T a r g e t A c c o u n t I D > 2 6 5 0 7 8 9 9 2 6 4 0 0 0 0 0 1 5 4 < / T a r g e t A c c o u n t I D >  
             < C h a r t I D > 2 6 5 0 7 8 9 9 2 6 4 0 0 0 0 0 0 0 3 < / C h a r t I D >  
             < I s L i n k e d > f a l s e < / I s L i n k e d >  
             < N u m b e r > 0 4 0 2 0 0 1 0 0 0 3 4 < / N u m b e r >  
             < N a m e > P r o f i t   O n   -   U n i t e d   B a n k   L i m i t e d   -   C o r p o r a t e   B r a n c h < / N a m e >  
             < A J E > 0 < / A J E >  
             < A d j u s t > - 7 < / A d j u s t >  
             < R J E > 0 < / R J E >  
             < P r e l i m i n a r y > - 7 < / P r e l i m i n a r y >  
             < F i n a l > - 7 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 2 6 5 0 7 8 9 9 2 6 4 0 0 0 0 0 2 1 2 < / I D >  
             < T a r g e t A c c o u n t I D > 2 6 5 0 7 8 9 9 2 6 4 0 0 0 0 0 1 5 4 < / T a r g e t A c c o u n t I D >  
             < C h a r t I D > 2 6 5 0 7 8 9 9 2 6 4 0 0 0 0 0 0 0 3 < / C h a r t I D >  
             < I s L i n k e d > f a l s e < / I s L i n k e d >  
             < N u m b e r > 0 4 0 2 0 0 1 0 0 0 6 9 < / N u m b e r >  
             < N a m e > P r o f i t   O n   -   B a n k   A l   H a b i b 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 2 6 5 0 7 8 9 9 2 6 4 0 0 0 0 0 2 1 3 < / I D >  
             < T a r g e t A c c o u n t I D > 2 6 5 0 7 8 9 9 2 6 4 0 0 0 0 0 1 5 4 < / T a r g e t A c c o u n t I D >  
             < C h a r t I D > 2 6 5 0 7 8 9 9 2 6 4 0 0 0 0 0 0 0 3 < / C h a r t I D >  
             < I s L i n k e d > f a l s e < / I s L i n k e d >  
             < N u m b e r > 0 4 0 2 0 0 1 0 0 0 7 2 < / N u m b e r >  
             < N a m e > P r o f i t   O n   -   Z a r a i   T a r a q i a t i   B a n k   L i m i t e d   -   S h a f i   C o u r t   B r a n c h < / N a m e >  
             < A J E > 0 < / A J E >  
             < A d j u s t > - 1 4 < / A d j u s t >  
             < R J E > 0 < / R J E >  
             < P r e l i m i n a r y > - 1 4 < / P r e l i m i n a r y >  
             < F i n a l > - 1 4 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 2 6 5 0 7 8 9 9 2 6 4 0 0 0 0 0 2 1 4 < / I D >  
             < T a r g e t A c c o u n t I D > 2 6 5 0 7 8 9 9 2 6 4 0 0 0 0 0 1 5 6 < / T a r g e t A c c o u n t I D >  
             < C h a r t I D > 2 6 5 0 7 8 9 9 2 6 4 0 0 0 0 0 0 0 3 < / C h a r t I D >  
             < I s L i n k e d > f a l s e < / I s L i n k e d >  
             < N u m b e r > 0 4 0 2 0 0 2 0 0 0 0 1 < / N u m b e r >  
             < N a m e > R E T U R N   O N   T E R M   D E P O S I T   A C C O U N T S < / N a m e >  
             < A J E > 0 < / A J E >  
             < A d j u s t > - 1 1 4 4 < / A d j u s t >  
             < R J E > 0 < / R J E >  
             < P r e l i m i n a r y > - 1 1 4 4 < / P r e l i m i n a r y >  
             < F i n a l > - 1 1 4 4 < / F i n a l >  
         < / A c c o u n t S t o r a g e >  
         < A c c o u n t S t o r a g e >  
             < A c c o u n t B a l a n c e s >  
                 < A c c o u n t B a l a n c e >  
                     < F i e l d N a m e > P r i o r P e r i o d 1 B a l a n c e < / F i e l d N a m e >  
                     < B a l a n c e > - 6 < / B a l a n c e >  
                 < / A c c o u n t B a l a n c e >  
                 < A c c o u n t B a l a n c e >  
                     < F i e l d N a m e > P r i o r P e r i o d 2 B a l a n c e < / F i e l d N a m e >  
                     < B a l a n c e > - 2 0 < / B a l a n c e >  
                 < / A c c o u n t B a l a n c e >  
                 < A c c o u n t B a l a n c e >  
                     < F i e l d N a m e > P r i o r P e r i o d 3 B a l a n c e < / F i e l d N a m e >  
                     < B a l a n c e > - 2 3 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 2 6 5 0 7 8 9 9 2 6 4 0 0 0 0 0 2 1 7 < / I D >  
             < T a r g e t A c c o u n t I D > 2 6 5 0 7 8 9 9 2 6 4 0 0 0 0 0 1 5 7 < / T a r g e t A c c o u n t I D >  
             < C h a r t I D > 2 6 5 0 7 8 9 9 2 6 4 0 0 0 0 0 0 0 3 < / C h a r t I D >  
             < I s L i n k e d > f a l s e < / I s L i n k e d >  
             < N u m b e r > 0 4 0 3 0 0 1 0 0 0 0 1 < / N u m b e r >  
             < N a m e > I N C O M E   O N   N C C P L   D E P O S I T   A G A I N S T   E X P O S U R E   M A R G I N < / N a m e >  
             < A J E > 0 < / A J E >  
             < A d j u s t > - 8 < / A d j u s t >  
             < R J E > 0 < / R J E >  
             < P r e l i m i n a r y > - 8 < / P r e l i m i n a r y >  
             < F i n a l > - 8 < / F i n a l >  
         < / A c c o u n t S t o r a g e >  
         < A c c o u n t S t o r a g e >  
             < A c c o u n t B a l a n c e s >  
                 < A c c o u n t B a l a n c e >  
                     < F i e l d N a m e > P r i o r P e r i o d 1 B a l a n c e < / F i e l d N a m e >  
                     < B a l a n c e > - 1 8 8 4 3 < / B a l a n c e >  
                 < / A c c o u n t B a l a n c e >  
                 < A c c o u n t B a l a n c e >  
                     < F i e l d N a m e > P r i o r P e r i o d 2 B a l a n c e < / F i e l d N a m e >  
                     < B a l a n c e > - 1 2 8 4 < / B a l a n c e >  
                 < / A c c o u n t B a l a n c e >  
                 < A c c o u n t B a l a n c e >  
                     < F i e l d N a m e > P r i o r P e r i o d 3 B a l a n c e < / F i e l d N a m e >  
                     < B a l a n c e > - 2 8 1 2 4 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 2 6 5 0 7 8 9 9 2 6 4 0 0 0 0 0 2 0 3 < / I D >  
             < T a r g e t A c c o u n t I D > 2 6 5 0 7 8 9 9 2 6 4 0 0 0 0 0 1 6 0 < / T a r g e t A c c o u n t I D >  
             < C h a r t I D > 2 6 5 0 7 8 9 9 2 6 4 0 0 0 0 0 0 0 3 < / C h a r t I D >  
             < I s L i n k e d > f a l s e < / I s L i n k e d >  
             < N u m b e r > 0 4 0 1 0 1 2 0 0 0 0 1 < / N u m b e r >  
             < N a m e > U R G   /   L O S S   H F T   E Q U I T Y   I N V E S T M E N T S < / N a m e >  
             < A J E > 0 < / A J E >  
             < A d j u s t > 1 5 9 4 3 < / A d j u s t >  
             < R J E > 0 < / R J E >  
             < P r e l i m i n a r y > 1 5 9 4 3 < / P r e l i m i n a r y >  
             < F i n a l > 1 5 9 4 3 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 - 5 1 3 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 2 6 5 0 7 8 9 9 2 6 4 0 0 0 0 0 2 5 3 < / I D >  
             < T a r g e t A c c o u n t I D > 2 6 5 0 7 8 9 9 2 6 4 0 0 0 0 0 1 6 0 < / T a r g e t A c c o u n t I D >  
             < C h a r t I D > 2 6 5 0 7 8 9 9 2 6 4 0 0 0 0 0 0 0 3 < / C h a r t I D >  
             < I s L i n k e d > f a l s e < / I s L i n k e d >  
             < N u m b e r > 0 4 0 1 0 1 4 0 0 0 0 1 < / N u m b e r >  
             < N a m e > U R G   /   L O S S   I N V E S T M E N T   I N   D E B T   S E C U R I T I E S < / N a m e >  
             < A J E > 0 < / A J E >  
             < A d j u s t > - 6 < / A d j u s t >  
             < R J E > 0 < / R J E >  
             < P r e l i m i n a r y > - 6 < / P r e l i m i n a r y >  
             < F i n a l > - 6 < / F i n a l >  
         < / A c c o u n t S t o r a g e >  
         < A c c o u n t S t o r a g e >  
             < A c c o u n t B a l a n c e s >  
                 < A c c o u n t B a l a n c e >  
                     < F i e l d N a m e > P r i o r P e r i o d 1 B a l a n c e < / F i e l d N a m e >  
                     < B a l a n c e > 2 9 < / B a l a n c e >  
                 < / A c c o u n t B a l a n c e >  
                 < A c c o u n t B a l a n c e >  
                     < F i e l d N a m e > P r i o r P e r i o d 2 B a l a n c e < / F i e l d N a m e >  
                     < B a l a n c e > - 3 0 < / B a l a n c e >  
                 < / A c c o u n t B a l a n c e >  
                 < A c c o u n t B a l a n c e >  
                     < F i e l d N a m e > P r i o r P e r i o d 3 B a l a n c e < / F i e l d N a m e >  
                     < B a l a n c e > 3 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 2 6 5 0 7 8 9 9 2 6 4 0 0 0 0 0 2 0 4 < / I D >  
             < T a r g e t A c c o u n t I D > 2 6 5 0 7 8 9 9 2 6 4 0 0 0 0 0 1 6 0 < / T a r g e t A c c o u n t I D >  
             < C h a r t I D > 2 6 5 0 7 8 9 9 2 6 4 0 0 0 0 0 0 0 3 < / C h a r t I D >  
             < I s L i n k e d > f a l s e < / I s L i n k e d >  
             < N u m b e r > 0 4 0 1 0 1 6 0 0 0 0 1 < / N u m b e r >  
             < N a m e > U R G / L O S S   I N V E S T M E N T S   I N   T B I L L S < / N a m e >  
             < A J E > 0 < / A J E >  
             < A d j u s t > 0 < / A d j u s t >  
             < R J E > 0 < / R J E >  
             < P r e l i m i n a r y > 0 < / P r e l i m i n a r y >  
             < F i n a l > 0 < / F i n a l >  
         < / A c c o u n t S t o r a g e >  
         < A c c o u n t S t o r a g e >  
             < A c c o u n t B a l a n c e s >  
                 < A c c o u n t B a l a n c e >  
                     < F i e l d N a m e > P r i o r P e r i o d 1 B a l a n c e < / F i e l d N a m e >  
                     < B a l a n c e > 6 3 6 7 < / B a l a n c e >  
                 < / A c c o u n t B a l a n c e >  
                 < A c c o u n t B a l a n c e >  
                     < F i e l d N a m e > P r i o r P e r i o d 2 B a l a n c e < / F i e l d N a m e >  
                     < B a l a n c e > 1 5 1 7 5 < / B a l a n c e >  
                 < / A c c o u n t B a l a n c e >  
                 < A c c o u n t B a l a n c e >  
                     < F i e l d N a m e > P r i o r P e r i o d 3 B a l a n c e < / F i e l d N a m e >  
                     < B a l a n c e > 9 2 7 1 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 2 6 5 0 7 8 9 9 2 6 4 0 0 0 0 0 2 2 0 < / I D >  
             < T a r g e t A c c o u n t I D > 2 6 5 0 7 8 9 9 2 6 4 0 0 0 0 0 1 6 2 < / T a r g e t A c c o u n t I D >  
             < C h a r t I D > 2 6 5 0 7 8 9 9 2 6 4 0 0 0 0 0 0 0 3 < / C h a r t I D >  
             < I s L i n k e d > f a l s e < / I s L i n k e d >  
             < N u m b e r > 0 5 0 1 0 0 1 0 0 0 0 1 < / N u m b e r >  
             < N a m e > M A N A G E M E N T   C O M P A N Y   R E M U N E R A T I O N < / N a m e >  
             < A J E > 0 < / A J E >  
             < A d j u s t > 6 2 6 7 < / A d j u s t >  
             < R J E > 0 < / R J E >  
             < P r e l i m i n a r y > 6 2 6 7 < / P r e l i m i n a r y >  
             < F i n a l > 6 2 6 7 < / F i n a l >  
         < / A c c o u n t S t o r a g e >  
         < A c c o u n t S t o r a g e >  
             < A c c o u n t B a l a n c e s >  
                 < A c c o u n t B a l a n c e >  
                     < F i e l d N a m e > P r i o r P e r i o d 1 B a l a n c e < / F i e l d N a m e >  
                     < B a l a n c e > 8 2 8 < / B a l a n c e >  
                 < / A c c o u n t B a l a n c e >  
                 < A c c o u n t B a l a n c e >  
                     < F i e l d N a m e > P r i o r P e r i o d 2 B a l a n c e < / F i e l d N a m e >  
                     < B a l a n c e > 2 1 2 5 < / B a l a n c e >  
                 < / A c c o u n t B a l a n c e >  
                 < A c c o u n t B a l a n c e >  
                     < F i e l d N a m e > P r i o r P e r i o d 3 B a l a n c e < / F i e l d N a m e >  
                     < B a l a n c e > 1 4 5 8 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 2 6 5 0 7 8 9 9 2 6 4 0 0 0 0 0 2 2 1 < / I D >  
             < T a r g e t A c c o u n t I D > 2 6 5 0 7 8 9 9 2 6 4 0 0 0 0 0 1 6 4 < / T a r g e t A c c o u n t I D >  
             < C h a r t I D > 2 6 5 0 7 8 9 9 2 6 4 0 0 0 0 0 0 0 3 < / C h a r t I D >  
             < I s L i n k e d > f a l s e < / I s L i n k e d >  
             < N u m b e r > 0 5 0 1 0 0 1 0 0 0 0 2 < / N u m b e r >  
             < N a m e > S A L E S   T A X   O N   M A N A G E M E N T   C O M P A N Y   R E M U N E R A T I O N < / N a m e >  
             < A J E > 0 < / A J E >  
             < A d j u s t > 8 1 5 < / A d j u s t >  
             < R J E > 0 < / R J E >  
             < P r e l i m i n a r y > 8 1 5 < / P r e l i m i n a r y >  
             < F i n a l > 8 1 5 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 2 7 6 4 < / B a l a n c e >  
                 < / A c c o u n t B a l a n c e >  
                 < A c c o u n t B a l a n c e >  
                     < F i e l d N a m e > P r i o r P e r i o d 3 B a l a n c e < / F i e l d N a m e >  
                     < B a l a n c e > 1 6 3 9 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 2 6 5 0 7 8 9 9 2 6 4 0 0 0 0 0 2 5 8 < / I D >  
             < T a r g e t A c c o u n t I D > 2 6 5 0 7 8 9 9 2 6 4 0 0 0 0 0 1 6 4 < / T a r g e t A c c o u n t I D >  
             < C h a r t I D > 2 6 5 0 7 8 9 9 2 6 4 0 0 0 0 0 0 0 3 < / C h a r t I D >  
             < I s L i n k e d > f a l s e < / I s L i n k e d >  
             < N u m b e r > 0 5 0 1 0 0 1 0 0 0 0 3 < / N u m b e r >  
             < N a m e > F E D   E X P E N S E   O N   M G M   F E E < / N a m e >  
             < A J E > 0 < / A J E >  
             < A d j u s t > 0 < / A d j u s t >  
             < R J E > 0 < / R J E >  
             < P r e l i m i n a r y > 0 < / P r e l i m i n a r y >  
             < F i n a l > 0 < / F i n a l >  
         < / A c c o u n t S t o r a g e >  
         < A c c o u n t S t o r a g e >  
             < A c c o u n t B a l a n c e s >  
                 < A c c o u n t B a l a n c e >  
                     < F i e l d N a m e > P r i o r P e r i o d 1 B a l a n c e < / F i e l d N a m e >  
                     < B a l a n c e > 6 3 7 < / B a l a n c e >  
                 < / A c c o u n t B a l a n c e >  
                 < A c c o u n t B a l a n c e >  
                     < F i e l d N a m e > P r i o r P e r i o d 2 B a l a n c e < / F i e l d N a m e >  
                     < B a l a n c e > 1 5 1 8 < / B a l a n c e >  
                 < / A c c o u n t B a l a n c e >  
                 < A c c o u n t B a l a n c e >  
                     < F i e l d N a m e > P r i o r P e r i o d 3 B a l a n c e < / F i e l d N a m e >  
                     < B a l a n c e > 9 2 6 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 2 6 5 0 7 8 9 9 2 6 4 0 0 0 0 0 2 2 2 < / I D >  
             < T a r g e t A c c o u n t I D > 2 6 5 0 7 8 9 9 2 6 4 0 0 0 0 0 1 6 6 < / T a r g e t A c c o u n t I D >  
             < C h a r t I D > 2 6 5 0 7 8 9 9 2 6 4 0 0 0 0 0 0 0 3 < / C h a r t I D >  
             < I s L i n k e d > f a l s e < / I s L i n k e d >  
             < N u m b e r > 0 5 0 1 0 0 2 0 0 0 0 1 < / N u m b e r >  
             < N a m e > T R U S T E E   R E M U N E R A T I O N < / N a m e >  
             < A J E > 0 < / A J E >  
             < A d j u s t > 6 2 7 < / A d j u s t >  
             < R J E > 0 < / R J E >  
             < P r e l i m i n a r y > 6 2 7 < / P r e l i m i n a r y >  
             < F i n a l > 6 2 7 < / F i n a l >  
         < / A c c o u n t S t o r a g e >  
         < A c c o u n t S t o r a g e >  
             < A c c o u n t B a l a n c e s >  
                 < A c c o u n t B a l a n c e >  
                     < F i e l d N a m e > P r i o r P e r i o d 1 B a l a n c e < / F i e l d N a m e >  
                     < B a l a n c e > 8 3 < / B a l a n c e >  
                 < / A c c o u n t B a l a n c e >  
                 < A c c o u n t B a l a n c e >  
                     < F i e l d N a m e > P r i o r P e r i o d 2 B a l a n c e < / F i e l d N a m e >  
                     < B a l a n c e > 2 1 2 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 2 6 5 0 7 8 9 9 2 6 4 0 0 0 0 0 2 2 3 < / I D >  
             < T a r g e t A c c o u n t I D > 2 6 5 0 7 8 9 9 2 6 4 0 0 0 0 0 1 6 6 < / T a r g e t A c c o u n t I D >  
             < C h a r t I D > 2 6 5 0 7 8 9 9 2 6 4 0 0 0 0 0 0 0 3 < / C h a r t I D >  
             < I s L i n k e d > f a l s e < / I s L i n k e d >  
             < N u m b e r > 0 5 0 1 0 0 2 0 0 0 0 2 < / N u m b e r >  
             < N a m e > S a l e s   T a x   O n   T r u s t e e   F e e < / N a m e >  
             < A J E > 0 < / A J E >  
             < A d j u s t > 8 1 < / A d j u s t >  
             < R J E > 0 < / R J E >  
             < P r e l i m i n a r y > 8 1 < / P r e l i m i n a r y >  
             < F i n a l > 8 1 < / F i n a l >  
         < / A c c o u n t S t o r a g e >  
         < A c c o u n t S t o r a g e >  
             < A c c o u n t B a l a n c e s >  
                 < A c c o u n t B a l a n c e >  
                     < F i e l d N a m e > P r i o r P e r i o d 1 B a l a n c e < / F i e l d N a m e >  
                     < B a l a n c e > 2 7 1 < / B a l a n c e >  
                 < / A c c o u n t B a l a n c e >  
                 < A c c o u n t B a l a n c e >  
                     < F i e l d N a m e > P r i o r P e r i o d 2 B a l a n c e < / F i e l d N a m e >  
                     < B a l a n c e > 6 4 7 < / B a l a n c e >  
                 < / A c c o u n t B a l a n c e >  
                 < A c c o u n t B a l a n c e >  
                     < F i e l d N a m e > P r i o r P e r i o d 3 B a l a n c e < / F i e l d N a m e >  
                     < B a l a n c e > 3 9 4 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 2 6 5 0 7 8 9 9 2 6 4 0 0 0 0 0 2 2 4 < / I D >  
             < T a r g e t A c c o u n t I D > 2 6 5 0 7 8 9 9 2 6 4 0 0 0 0 0 1 6 7 < / T a r g e t A c c o u n t I D >  
             < C h a r t I D > 2 6 5 0 7 8 9 9 2 6 4 0 0 0 0 0 0 0 3 < / C h a r t I D >  
             < I s L i n k e d > f a l s e < / I s L i n k e d >  
             < N u m b e r > 0 5 0 1 0 0 3 0 0 0 0 1 < / N u m b e r >  
             < N a m e > S E C P   A N N U A L   F E E < / N a m e >  
             < A J E > 0 < / A J E >  
             < A d j u s t > 2 6 6 < / A d j u s t >  
             < R J E > 0 < / R J E >  
             < P r e l i m i n a r y > 2 6 6 < / P r e l i m i n a r y >  
             < F i n a l > 2 6 6 < / F i n a l >  
         < / A c c o u n t S t o r a g e >  
         < A c c o u n t S t o r a g e >  
             < A c c o u n t B a l a n c e s >  
                 < A c c o u n t B a l a n c e >  
                     < F i e l d N a m e > P r i o r P e r i o d 1 B a l a n c e < / F i e l d N a m e >  
                     < B a l a n c e > 1 4 3 1 < / B a l a n c e >  
                 < / A c c o u n t B a l a n c e >  
                 < A c c o u n t B a l a n c e >  
                     < F i e l d N a m e > P r i o r P e r i o d 2 B a l a n c e < / F i e l d N a m e >  
                     < B a l a n c e > 1 4 3 2 < / B a l a n c e >  
                 < / A c c o u n t B a l a n c e >  
                 < A c c o u n t B a l a n c e >  
                     < F i e l d N a m e > P r i o r P e r i o d 3 B a l a n c e < / F i e l d N a m e >  
                     < B a l a n c e > 1 8 5 4 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 2 6 5 0 7 8 9 9 2 6 4 0 0 0 0 0 2 2 7 < / I D >  
             < T a r g e t A c c o u n t I D > 2 6 5 0 7 8 9 9 2 6 4 0 0 0 0 0 1 7 0 < / T a r g e t A c c o u n t I D >  
             < C h a r t I D > 2 6 5 0 7 8 9 9 2 6 4 0 0 0 0 0 0 0 3 < / C h a r t I D >  
             < I s L i n k e d > f a l s e < / I s L i n k e d >  
             < N u m b e r > 0 5 0 2 0 0 1 0 0 0 0 1 < / N u m b e r >  
             < N a m e > B R O K E R A G E   E X P E N S E   O N   E Q U I T Y   I N V E S T M E N T < / N a m e >  
             < A J E > 0 < / A J E >  
             < A d j u s t > 1 1 8 7 < / A d j u s t >  
             < R J E > 0 < / R J E >  
             < P r e l i m i n a r y > 1 1 8 7 < / P r e l i m i n a r y >  
             < F i n a l > 1 1 8 7 < / 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 1 4 < / B a l a n c e >  
                 < / A c c o u n t B a l a n c e >  
                 < A c c o u n t B a l a n c e >  
                     < F i e l d N a m e > P r i o r P e r i o d 3 B a l a n c e < / F i e l d N a m e >  
                     < B a l a n c e > 4 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 2 6 5 0 7 8 9 9 2 6 4 0 0 0 0 0 2 2 8 < / I D >  
             < T a r g e t A c c o u n t I D > 2 6 5 0 7 8 9 9 2 6 4 0 0 0 0 0 1 7 0 < / T a r g e t A c c o u n t I D >  
             < C h a r t I D > 2 6 5 0 7 8 9 9 2 6 4 0 0 0 0 0 0 0 3 < / C h a r t I D >  
             < I s L i n k e d > f a l s e < / I s L i n k e d >  
             < N u m b e r > 0 5 0 2 0 0 1 0 0 0 0 2 < / N u m b e r >  
             < N a m e > B R O K E R A G E   E X P E N S E     M O N E Y   M A R K E T   T R A N S A C T I O N S < / N a m e >  
             < A J E > 0 < / A J E >  
             < A d j u s t > 4 < / A d j u s t >  
             < R J E > 0 < / R J E >  
             < P r e l i m i n a r y > 4 < / P r e l i m i n a r y >  
             < F i n a l > 4 < / F i n a l >  
         < / A c c o u n t S t o r a g e >  
         < A c c o u n t S t o r a g e >  
             < A c c o u n t B a l a n c e s >  
                 < A c c o u n t B a l a n c e >  
                     < F i e l d N a m e > P r i o r P e r i o d 1 B a l a n c e < / F i e l d N a m e >  
                     < B a l a n c e > 7 3 < / B a l a n c e >  
                 < / A c c o u n t B a l a n c e >  
                 < A c c o u n t B a l a n c e >  
                     < F i e l d N a m e > P r i o r P e r i o d 2 B a l a n c e < / F i e l d N a m e >  
                     < B a l a n c e > 7 5 < / B a l a n c e >  
                 < / A c c o u n t B a l a n c e >  
                 < A c c o u n t B a l a n c e >  
                     < F i e l d N a m e > P r i o r P e r i o d 3 B a l a n c e < / F i e l d N a m e >  
                     < B a l a n c e > 8 8 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 2 6 5 0 7 8 9 9 2 6 4 0 0 0 0 0 2 2 9 < / I D >  
             < T a r g e t A c c o u n t I D > 2 6 5 0 7 8 9 9 2 6 4 0 0 0 0 0 1 7 0 < / T a r g e t A c c o u n t I D >  
             < C h a r t I D > 2 6 5 0 7 8 9 9 2 6 4 0 0 0 0 0 0 0 3 < / C h a r t I D >  
             < I s L i n k e d > f a l s e < / I s L i n k e d >  
             < N u m b e r > 0 5 0 2 0 0 3 0 0 0 0 1 < / N u m b e r >  
             < N a m e > S E T T   C H G     T R U S T E E < / N a m e >  
             < A J E > 0 < / A J E >  
             < A d j u s t > 1 2 1 < / A d j u s t >  
             < R J E > 0 < / R J E >  
             < P r e l i m i n a r y > 1 2 1 < / P r e l i m i n a r y >  
             < F i n a l > 1 2 1 < / F i n a l >  
         < / A c c o u n t S t o r a g e >  
         < A c c o u n t S t o r a g e >  
             < A c c o u n t B a l a n c e s >  
                 < A c c o u n t B a l a n c e >  
                     < F i e l d N a m e > P r i o r P e r i o d 1 B a l a n c e < / F i e l d N a m e >  
                     < B a l a n c e > 2 1 1 < / B a l a n c e >  
                 < / A c c o u n t B a l a n c e >  
                 < A c c o u n t B a l a n c e >  
                     < F i e l d N a m e > P r i o r P e r i o d 2 B a l a n c e < / F i e l d N a m e >  
                     < B a l a n c e > 3 1 1 < / B a l a n c e >  
                 < / A c c o u n t B a l a n c e >  
                 < A c c o u n t B a l a n c e >  
                     < F i e l d N a m e > P r i o r P e r i o d 3 B a l a n c e < / F i e l d N a m e >  
                     < B a l a n c e > 3 0 6 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 2 6 5 0 7 8 9 9 2 6 4 0 0 0 0 0 2 3 0 < / I D >  
             < T a r g e t A c c o u n t I D > 2 6 5 0 7 8 9 9 2 6 4 0 0 0 0 0 1 7 0 < / T a r g e t A c c o u n t I D >  
             < C h a r t I D > 2 6 5 0 7 8 9 9 2 6 4 0 0 0 0 0 0 0 3 < / C h a r t I D >  
             < I s L i n k e d > f a l s e < / I s L i n k e d >  
             < N u m b e r > 0 5 0 2 0 0 3 0 0 0 0 2 < / N u m b e r >  
             < N a m e > S E T T   C H G     N C C P L     E Q U I T Y   T R A N S A C T I O N S < / N a m e >  
             < A J E > 0 < / A J E >  
             < A d j u s t > 2 0 2 < / A d j u s t >  
             < R J E > 0 < / R J E >  
             < P r e l i m i n a r y > 2 0 2 < / P r e l i m i n a r y >  
             < F i n a l > 2 0 2 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 2 6 5 0 7 8 9 9 2 6 4 0 0 0 0 0 2 6 9 < / I D >  
             < T a r g e t A c c o u n t I D > 2 6 5 0 7 8 9 9 2 6 4 0 0 0 0 0 1 7 0 < / T a r g e t A c c o u n t I D >  
             < C h a r t I D > 2 6 5 0 7 8 9 9 2 6 4 0 0 0 0 0 0 0 3 < / C h a r t I D >  
             < I s L i n k e d > f a l s e < / I s L i n k e d >  
             < N u m b e r > 0 5 0 2 0 0 3 0 0 0 0 3 < / N u m b e r >  
             < N a m e > S E T T   C H G     N C C P L     D E B T   S E C U R I T Y   T R A N S A C T I O N S 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 2 9 1 6 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 2 6 5 0 7 8 9 9 2 6 4 0 0 0 0 0 2 3 1 < / I D >  
             < T a r g e t A c c o u n t I D > 2 6 5 0 7 8 9 9 2 6 4 0 0 0 0 0 1 7 1 < / T a r g e t A c c o u n t I D >  
             < C h a r t I D > 2 6 5 0 7 8 9 9 2 6 4 0 0 0 0 0 0 0 3 < / C h a r t I D >  
             < I s L i n k e d > f a l s e < / I s L i n k e d >  
             < N u m b e r > 0 5 0 5 0 0 1 0 0 0 0 1 < / N u m b e r >  
             < N a m e > T A X A T I O N W O R K E R S   W E L F A R E   F U N D   ( W W F ) < / 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 2 6 5 0 7 8 9 9 2 6 4 0 0 0 0 0 2 3 2 < / I D >  
             < T a r g e t A c c o u n t I D > 2 6 5 0 7 8 9 9 2 6 4 0 0 0 0 0 1 7 1 < / T a r g e t A c c o u n t I D >  
             < C h a r t I D > 2 6 5 0 7 8 9 9 2 6 4 0 0 0 0 0 0 0 3 < / C h a r t I D >  
             < I s L i n k e d > f a l s e < / I s L i n k e d >  
             < N u m b e r > 0 5 0 5 0 0 1 0 0 0 0 2 < / N u m b e r >  
             < N a m e > T a x a t i o n w o r k e r s   W e l f a r e   F u n d   ( W w f )   -   R e v e r s a l < / N a m e >  
             < A J E > 0 < / A J E >  
             < A d j u s t > 0 < / A d j u s t >  
             < R J E > 0 < / R J E >  
             < P r e l i m i n a r y > 0 < / P r e l i m i n a r y >  
             < F i n a l > 0 < / F i n a l >  
         < / A c c o u n t S t o r a g e >  
         < A c c o u n t S t o r a g e >  
             < A c c o u n t B a l a n c e s >  
                 < A c c o u n t B a l a n c e >  
                     < F i e l d N a m e > P r i o r P e r i o d 1 B a l a n c e < / F i e l d N a m e >  
                     < B a l a n c e > 2 5 6 < / B a l a n c e >  
                 < / A c c o u n t B a l a n c e >  
                 < A c c o u n t B a l a n c e >  
                     < F i e l d N a m e > P r i o r P e r i o d 2 B a l a n c e < / F i e l d N a m e >  
                     < B a l a n c e > 2 2 8 < / B a l a n c e >  
                 < / A c c o u n t B a l a n c e >  
                 < A c c o u n t B a l a n c e >  
                     < F i e l d N a m e > P r i o r P e r i o d 3 B a l a n c e < / F i e l d N a m e >  
                     < B a l a n c e > 5 0 2 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 2 6 5 0 7 8 9 9 2 6 4 0 0 0 0 0 2 3 3 < / I D >  
             < T a r g e t A c c o u n t I D > 2 6 5 0 7 8 9 9 2 6 4 0 0 0 0 0 1 7 4 < / T a r g e t A c c o u n t I D >  
             < C h a r t I D > 2 6 5 0 7 8 9 9 2 6 4 0 0 0 0 0 0 0 3 < / C h a r t I D >  
             < I s L i n k e d > f a l s e < / I s L i n k e d >  
             < N u m b e r > 0 5 0 6 0 0 1 0 0 0 0 1 < / N u m b e r >  
             < N a m e > A U D I T   F E E   E X P E N S E < / N a m e >  
             < A J E > 0 < / A J E >  
             < A d j u s t > 3 3 3 < / A d j u s t >  
             < R J E > 0 < / R J E >  
             < P r e l i m i n a r y > 3 3 3 < / P r e l i m i n a r y >  
             < F i n a l > 3 3 3 < / F i n a l >  
         < / A c c o u n t S t o r a g e >  
         < A c c o u n t S t o r a g e >  
             < A c c o u n t B a l a n c e s >  
                 < A c c o u n t B a l a n c e >  
                     < F i e l d N a m e > P r i o r P e r i o d 1 B a l a n c e < / F i e l d N a m e >  
                     < B a l a n c e > 2 0 < / B a l a n c e >  
                 < / A c c o u n t B a l a n c e >  
                 < A c c o u n t B a l a n c e >  
                     < F i e l d N a m e > P r i o r P e r i o d 2 B a l a n c e < / F i e l d N a m e >  
                     < B a l a n c e > 3 8 6 < / B a l a n c e >  
                 < / A c c o u n t B a l a n c e >  
                 < A c c o u n t B a l a n c e >  
                     < F i e l d N a m e > P r i o r P e r i o d 3 B a l a n c e < / F i e l d N a m e >  
                     < B a l a n c e > 5 3 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 2 6 5 0 7 8 9 9 2 6 4 0 0 0 0 0 2 3 4 < / I D >  
             < T a r g e t A c c o u n t I D > 2 6 5 0 7 8 9 9 2 6 4 0 0 0 0 0 1 7 4 < / T a r g e t A c c o u n t I D >  
             < C h a r t I D > 2 6 5 0 7 8 9 9 2 6 4 0 0 0 0 0 0 0 3 < / C h a r t I D >  
             < I s L i n k e d > f a l s e < / I s L i n k e d >  
             < N u m b e r > 0 5 0 6 0 0 1 0 0 0 0 2 < / N u m b e r >  
             < N a m e > O U T   O F   P O C K E T   E X P E N S E S 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 2 6 5 0 7 8 9 9 2 6 4 0 0 0 0 0 2 5 9 < / I D >  
             < T a r g e t A c c o u n t I D > 2 6 5 0 7 8 9 9 2 6 4 0 0 0 0 0 1 7 5 < / T a r g e t A c c o u n t I D >  
             < C h a r t I D > 2 6 5 0 7 8 9 9 2 6 4 0 0 0 0 0 0 0 3 < / C h a r t I D >  
             < I s L i n k e d > f a l s e < / I s L i n k e d >  
             < N u m b e r > 0 5 0 1 0 0 1 0 0 0 0 6 < / N u m b e r >  
             < N a m e > B a c k   O f f i c e   O p e r a t i o n   E x p e n s e s   O L D < / N a m e >  
             < A J E > 0 < / A J E >  
             < A d j u s t > 0 < / A d j u s t >  
             < R J E > 0 < / R J E >  
             < P r e l i m i n a r y > 0 < / P r e l i m i n a r y >  
             < F i n a l > 0 < / F i n a l >  
         < / A c c o u n t S t o r a g e >  
         < A c c o u n t S t o r a g e >  
             < A c c o u n t B a l a n c e s >  
                 < A c c o u n t B a l a n c e >  
                     < F i e l d N a m e > P r i o r P e r i o d 1 B a l a n c e < / F i e l d N a m e >  
                     < B a l a n c e > 3 1 8 < / B a l a n c e >  
                 < / A c c o u n t B a l a n c e >  
                 < A c c o u n t B a l a n c e >  
                     < F i e l d N a m e > P r i o r P e r i o d 2 B a l a n c e < / F i e l d N a m e >  
                     < B a l a n c e > 4 3 5 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 2 6 5 0 7 8 9 9 2 6 4 0 0 0 0 0 2 2 5 < / I D >  
             < T a r g e t A c c o u n t I D > 2 6 5 0 7 8 9 9 2 6 4 0 0 0 0 0 1 7 5 < / T a r g e t A c c o u n t I D >  
             < C h a r t I D > 2 6 5 0 7 8 9 9 2 6 4 0 0 0 0 0 0 0 3 < / C h a r t I D >  
             < I s L i n k e d > f a l s e < / I s L i n k e d >  
             < N u m b e r > 0 5 0 1 0 0 5 0 0 0 0 1 < / N u m b e r >  
             < N a m e > B a c k   O f f i c e   O p e r a t i o n   E x p e n s e s < / N a m e >  
             < A J E > 0 < / A J E >  
             < A d j u s t > 3 1 3 < / A d j u s t >  
             < R J E > 0 < / R J E >  
             < P r e l i m i n a r y > 3 1 3 < / P r e l i m i n a r y >  
             < F i n a l > 3 1 3 < / F i n a l >  
         < / A c c o u n t S t o r a g e >  
         < A c c o u n t S t o r a g e >  
             < A c c o u n t B a l a n c e s >  
                 < A c c o u n t B a l a n c e >  
                     < F i e l d N a m e > P r i o r P e r i o d 1 B a l a n c e < / F i e l d N a m e >  
                     < B a l a n c e > 4 1 < / B a l a n c e >  
                 < / A c c o u n t B a l a n c e >  
                 < A c c o u n t B a l a n c e >  
                     < F i e l d N a m e > P r i o r P e r i o d 2 B a l a n c e < / F i e l d N a m e >  
                     < B a l a n c e > 6 1 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 2 6 5 0 7 8 9 9 2 6 4 0 0 0 0 0 2 2 6 < / I D >  
             < T a r g e t A c c o u n t I D > 2 6 5 0 7 8 9 9 2 6 4 0 0 0 0 0 1 7 5 < / T a r g e t A c c o u n t I D >  
             < C h a r t I D > 2 6 5 0 7 8 9 9 2 6 4 0 0 0 0 0 0 0 3 < / C h a r t I D >  
             < I s L i n k e d > f a l s e < / I s L i n k e d >  
             < N u m b e r > 0 5 0 1 0 0 5 0 0 0 0 2 < / N u m b e r >  
             < N a m e > S S T   o n   B a c k   O f f i c e   O p e r a t i o n   E x p e n s e s < / N a m e >  
             < A J E > 0 < / A J E >  
             < A d j u s t > 4 1 < / A d j u s t >  
             < R J E > 0 < / R J E >  
             < P r e l i m i n a r y > 4 1 < / P r e l i m i n a r y >  
             < F i n a l > 4 1 < / F i n a l >  
         < / A c c o u n t S t o r a g e >  
         < A c c o u n t S t o r a g e >  
             < A c c o u n t B a l a n c e s >  
                 < A c c o u n t B a l a n c e >  
                     < F i e l d N a m e > P r i o r P e r i o d 1 B a l a n c e < / F i e l d N a m e >  
                     < B a l a n c e > 3 0 < / B a l a n c e >  
                 < / A c c o u n t B a l a n c e >  
                 < A c c o u n t B a l a n c e >  
                     < F i e l d N a m e > P r i o r P e r i o d 2 B a l a n c e < / F i e l d N a m e >  
                     < B a l a n c e > 1 6 2 < / B a l a n c e >  
                 < / A c c o u n t B a l a n c e >  
                 < A c c o u n t B a l a n c e >  
                     < F i e l d N a m e > P r i o r P e r i o d 3 B a l a n c e < / F i e l d N a m e >  
                     < B a l a n c e > 1 0 0 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 2 6 5 0 7 8 9 9 2 6 4 0 0 0 0 0 2 3 5 < / I D >  
             < T a r g e t A c c o u n t I D > 2 6 5 0 7 8 9 9 2 6 4 0 0 0 0 0 1 7 5 < / T a r g e t A c c o u n t I D >  
             < C h a r t I D > 2 6 5 0 7 8 9 9 2 6 4 0 0 0 0 0 0 0 3 < / C h a r t I D >  
             < I s L i n k e d > f a l s e < / I s L i n k e d >  
             < N u m b e r > 0 5 0 6 0 0 2 0 0 0 0 1 < / N u m b e r >  
             < N a m e > L E G A L   A N D   P R O F E S S I O N A L   C H A R G E S < / N a m e >  
             < A J E > 0 < / A J E >  
             < A d j u s t > 9 4 < / A d j u s t >  
             < R J E > 0 < / R J E >  
             < P r e l i m i n a r y > 9 4 < / P r e l i m i n a r y >  
             < F i n a l > 9 4 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 4 5 < / B a l a n c e >  
                 < / A c c o u n t B a l a n c e >  
                 < A c c o u n t B a l a n c e >  
                     < F i e l d N a m e > P r i o r P e r i o d 3 B a l a n c e < / F i e l d N a m e >  
                     < B a l a n c e > 3 0 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 2 6 5 0 7 8 9 9 2 6 4 0 0 0 0 0 2 6 0 < / I D >  
             < T a r g e t A c c o u n t I D > 2 6 5 0 7 8 9 9 2 6 4 0 0 0 0 0 1 7 5 < / T a r g e t A c c o u n t I D >  
             < C h a r t I D > 2 6 5 0 7 8 9 9 2 6 4 0 0 0 0 0 0 0 3 < / C h a r t I D >  
             < I s L i n k e d > f a l s e < / I s L i n k e d >  
             < N u m b e r > 0 5 0 6 0 0 3 0 0 0 0 5 < / N u m b e r >  
             < N a m e > F E E   & a m p ;   S U B S C R I P   A N N U A L   L I S T I N G   F E E   L S E < / N a m e >  
             < A J E > 0 < / A J E >  
             < A d j u s t > 0 < / A d j u s t >  
             < R J E > 0 < / R J E >  
             < P r e l i m i n a r y > 0 < / P r e l i m i n a r y >  
             < F i n a l > 0 < / F i n a l >  
         < / A c c o u n t S t o r a g e >  
         < A c c o u n t S t o r a g e >  
             < A c c o u n t B a l a n c e s >  
                 < A c c o u n t B a l a n c e >  
                     < F i e l d N a m e > P r i o r P e r i o d 1 B a l a n c e < / F i e l d N a m e >  
                     < B a l a n c e > 8 6 < / B a l a n c e >  
                 < / A c c o u n t B a l a n c e >  
                 < A c c o u n t B a l a n c e >  
                     < F i e l d N a m e > P r i o r P e r i o d 2 B a l a n c e < / F i e l d N a m e >  
                     < B a l a n c e > 8 < / B a l a n c e >  
                 < / A c c o u n t B a l a n c e >  
                 < A c c o u n t B a l a n c e >  
                     < F i e l d N a m e > P r i o r P e r i o d 3 B a l a n c e < / F i e l d N a m e >  
                     < B a l a n c e > 1 2 7 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 2 6 5 0 7 8 9 9 2 6 4 0 0 0 0 0 2 3 6 < / I D >  
             < T a r g e t A c c o u n t I D > 2 6 5 0 7 8 9 9 2 6 4 0 0 0 0 0 1 7 5 < / T a r g e t A c c o u n t I D >  
             < C h a r t I D > 2 6 5 0 7 8 9 9 2 6 4 0 0 0 0 0 0 0 3 < / C h a r t I D >  
             < I s L i n k e d > f a l s e < / I s L i n k e d >  
             < N u m b e r > 0 5 0 6 0 0 3 0 0 0 0 6 < / N u m b e r >  
             < N a m e > F E E   & a m p ;   S U B S C R I P A N N U A L   P A C R A   F E E < / N a m e >  
             < A J E > 0 < / A J E >  
             < A d j u s t > 5 7 < / A d j u s t >  
             < R J E > 0 < / R J E >  
             < P r e l i m i n a r y > 5 7 < / P r e l i m i n a r y >  
             < F i n a l > 5 7 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 9 2 < / B a l a n c e >  
                 < / A c c o u n t B a l a n c e >  
                 < A c c o u n t B a l a n c e >  
                     < F i e l d N a m e > P r i o r P e r i o d 3 B a l a n c e < / F i e l d N a m e >  
                     < B a l a n c e > 4 5 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 2 6 5 0 7 8 9 9 2 6 4 0 0 0 0 0 2 6 1 < / I D >  
             < T a r g e t A c c o u n t I D > 2 6 5 0 7 8 9 9 2 6 4 0 0 0 0 0 1 7 5 < / T a r g e t A c c o u n t I D >  
             < C h a r t I D > 2 6 5 0 7 8 9 9 2 6 4 0 0 0 0 0 0 0 3 < / C h a r t I D >  
             < I s L i n k e d > f a l s e < / I s L i n k e d >  
             < N u m b e r > 0 5 0 6 0 0 3 0 0 0 0 7 < / N u m b e r >  
             < N a m e > F e e   & a m p ;   S u b s c r i p a n n u a l   L i s t i n g   F e e   K s e 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 2 5 < / B a l a n c e >  
                 < / A c c o u n t B a l a n c e >  
                 < A c c o u n t B a l a n c e >  
                     < F i e l d N a m e > P r i o r P e r i o d 3 B a l a n c e < / F i e l d N a m e >  
                     < B a l a n c e > 1 8 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 2 6 5 0 7 8 9 9 2 6 4 0 0 0 0 0 2 6 2 < / I D >  
             < T a r g e t A c c o u n t I D > 2 6 5 0 7 8 9 9 2 6 4 0 0 0 0 0 1 7 5 < / T a r g e t A c c o u n t I D >  
             < C h a r t I D > 2 6 5 0 7 8 9 9 2 6 4 0 0 0 0 0 0 0 3 < / C h a r t I D >  
             < I s L i n k e d > f a l s e < / I s L i n k e d >  
             < N u m b e r > 0 5 0 6 0 0 3 0 0 0 0 8 < / N u m b e r >  
             < N a m e > F e e   & a m p ;   S u b s c r i p a n n u a l   L i s t i n g   F e e   I s e < / N a m e >  
             < A J E > 0 < / A J E >  
             < A d j u s t > 0 < / A d j u s t >  
             < R J E > 0 < / R J E >  
             < P r e l i m i n a r y > 0 < / P r e l i m i n a r y >  
             < F i n a l > 0 < / F i n a l >  
         < / A c c o u n t S t o r a g e >  
         < A c c o u n t S t o r a g e >  
             < A c c o u n t B a l a n c e s >  
                 < A c c o u n t B a l a n c e >  
                     < F i e l d N a m e > P r i o r P e r i o d 1 B a l a n c e < / F i e l d N a m e >  
                     < B a l a n c e > 3 7 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 2 6 5 0 7 8 9 9 2 6 4 0 0 0 0 0 2 3 7 < / I D >  
             < T a r g e t A c c o u n t I D > 2 6 5 0 7 8 9 9 2 6 4 0 0 0 0 0 1 7 5 < / T a r g e t A c c o u n t I D >  
             < C h a r t I D > 2 6 5 0 7 8 9 9 2 6 4 0 0 0 0 0 0 0 3 < / C h a r t I D >  
             < I s L i n k e d > f a l s e < / I s L i n k e d >  
             < N u m b e r > 0 5 0 6 0 0 3 0 0 0 0 9 < / N u m b e r >  
             < N a m e > F e e   & a m p ;   S u b s c r i p t i o n   A n n u a l   L i s t i n g   F e e   P s x < / N a m e >  
             < A J E > 0 < / A J E >  
             < A d j u s t > 2 0 < / A d j u s t >  
             < R J E > 0 < / R J E >  
             < P r e l i m i n a r y > 2 0 < / P r e l i m i n a r y >  
             < F i n a l > 2 0 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 2 6 5 0 7 8 9 9 2 6 4 0 0 0 0 0 2 7 0 < / I D >  
             < T a r g e t A c c o u n t I D > 2 6 5 0 7 8 9 9 2 6 4 0 0 0 0 0 1 7 5 < / T a r g e t A c c o u n t I D >  
             < C h a r t I D > 2 6 5 0 7 8 9 9 2 6 4 0 0 0 0 0 0 0 3 < / C h a r t I D >  
             < I s L i n k e d > f a l s e < / I s L i n k e d >  
             < N u m b e r > 0 5 0 6 0 0 4 0 0 0 0 1 < / N u m b e r >  
             < N a m e > S i n d h   S a l e s   T a x   R e g i s t r a t i o n   C h a r g e s < / N a m e >  
             < A J E > 0 < / A J E >  
             < A d j u s t > 0 < / A d j u s t >  
             < R J E > 0 < / R J E >  
             < P r e l i m i n a r y > 0 < / P r e l i m i n a r y >  
             < F i n a l > 0 < / F i n a l >  
         < / A c c o u n t S t o r a g e >  
         < A c c o u n t S t o r a g e >  
             < A c c o u n t B a l a n c e s >  
                 < A c c o u n t B a l a n c e >  
                     < F i e l d N a m e > P r i o r P e r i o d 1 B a l a n c e < / F i e l d N a m e >  
                     < B a l a n c e > 1 5 8 < / B a l a n c e >  
                 < / A c c o u n t B a l a n c e >  
                 < A c c o u n t B a l a n c e >  
                     < F i e l d N a m e > P r i o r P e r i o d 2 B a l a n c e < / F i e l d N a m e >  
                     < B a l a n c e > 3 0 6 < / B a l a n c e >  
                 < / A c c o u n t B a l a n c e >  
                 < A c c o u n t B a l a n c e >  
                     < F i e l d N a m e > P r i o r P e r i o d 3 B a l a n c e < / F i e l d N a m e >  
                     < B a l a n c e > 2 4 7 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 2 6 5 0 7 8 9 9 2 6 4 0 0 0 0 0 2 3 8 < / I D >  
             < T a r g e t A c c o u n t I D > 2 6 5 0 7 8 9 9 2 6 4 0 0 0 0 0 1 7 5 < / T a r g e t A c c o u n t I D >  
             < C h a r t I D > 2 6 5 0 7 8 9 9 2 6 4 0 0 0 0 0 0 0 3 < / C h a r t I D >  
             < I s L i n k e d > f a l s e < / I s L i n k e d >  
             < N u m b e r > 0 5 0 7 0 0 1 0 0 0 0 1 < / N u m b e r >  
             < N a m e > P R I N T I N G   O F   A C C O U N T S   C H A R G E S < / N a m e >  
             < A J E > 0 < / A J E >  
             < A d j u s t > - 2 2 1 < / A d j u s t >  
             < R J E > 0 < / R J E >  
             < P r e l i m i n a r y > - 2 2 1 < / P r e l i m i n a r y >  
             < F i n a l > - 2 2 1 < / F i n a l >  
         < / A c c o u n t S t o r a g e >  
         < A c c o u n t S t o r a g e >  
             < A c c o u n t B a l a n c e s >  
                 < A c c o u n t B a l a n c e >  
                     < F i e l d N a m e > P r i o r P e r i o d 1 B a l a n c e < / F i e l d N a m e >  
                     < B a l a n c e > 4 5 < / B a l a n c e >  
                 < / A c c o u n t B a l a n c e >  
                 < A c c o u n t B a l a n c e >  
                     < F i e l d N a m e > P r i o r P e r i o d 2 B a l a n c e < / F i e l d N a m e >  
                     < B a l a n c e > 4 3 < / B a l a n c e >  
                 < / A c c o u n t B a l a n c e >  
                 < A c c o u n t B a l a n c e >  
                     < F i e l d N a m e > P r i o r P e r i o d 3 B a l a n c e < / F i e l d N a m e >  
                     < B a l a n c e > 3 3 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 2 6 5 0 7 8 9 9 2 6 4 0 0 0 0 0 2 3 9 < / I D >  
             < T a r g e t A c c o u n t I D > 2 6 5 0 7 8 9 9 2 6 4 0 0 0 0 0 1 7 5 < / T a r g e t A c c o u n t I D >  
             < C h a r t I D > 2 6 5 0 7 8 9 9 2 6 4 0 0 0 0 0 0 0 3 < / C h a r t I D >  
             < I s L i n k e d > f a l s e < / I s L i n k e d >  
             < N u m b e r > 0 5 0 7 0 0 2 0 0 0 0 1 < / N u m b e r >  
             < N a m e > D E S P A T C H   A N D   C O U R I E R   C H A R G E S   O F   A C C O U N T S 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 2 6 5 0 7 8 9 9 2 6 4 0 0 0 0 0 2 4 0 < / I D >  
             < T a r g e t A c c o u n t I D > 2 6 5 0 7 8 9 9 2 6 4 0 0 0 0 0 1 7 5 < / T a r g e t A c c o u n t I D >  
             < C h a r t I D > 2 6 5 0 7 8 9 9 2 6 4 0 0 0 0 0 0 0 3 < / C h a r t I D >  
             < I s L i n k e d > f a l s e < / I s L i n k e d >  
             < N u m b e r > 0 5 1 0 0 0 1 0 0 0 0 1 < / N u m b e r >  
             < N a m e > B A N K   C H A R G E S   -   A L L I E D   B A N K   L I M I T E D < / N a m e >  
             < A J E > 0 < / A J E >  
             < A d j u s t > 1 3 < / A d j u s t >  
             < R J E > 0 < / R J E >  
             < P r e l i m i n a r y > 1 3 < / P r e l i m i n a r y >  
             < F i n a l > 1 3 < / F i n a l >  
         < / A c c o u n t S t o r a g e >  
         < A c c o u n t S t o r a g e >  
             < A c c o u n t B a l a n c e s >  
                 < A c c o u n t B a l a n c e >  
                     < F i e l d N a m e > P r i o r P e r i o d 1 B a l a n c e < / F i e l d N a m e >  
                     < B a l a n c e > 1 8 < / B a l a n c e >  
                 < / A c c o u n t B a l a n c e >  
                 < A c c o u n t B a l a n c e >  
                     < F i e l d N a m e > P r i o r P e r i o d 2 B a l a n c e < / F i e l d N a m e >  
                     < B a l a n c e > 1 4 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 2 6 5 0 7 8 9 9 2 6 4 0 0 0 0 0 2 4 1 < / I D >  
             < T a r g e t A c c o u n t I D > 2 6 5 0 7 8 9 9 2 6 4 0 0 0 0 0 1 7 5 < / T a r g e t A c c o u n t I D >  
             < C h a r t I D > 2 6 5 0 7 8 9 9 2 6 4 0 0 0 0 0 0 0 3 < / C h a r t I D >  
             < I s L i n k e d > f a l s e < / I s L i n k e d >  
             < N u m b e r > 0 5 1 0 0 0 1 0 0 0 0 3 < / N u m b e r >  
             < N a m e > B A N K   C H A R G E S   -   B A N K   A L   F A L A H   L I M I T E D < / N a m e >  
             < A J E > 0 < / A J E >  
             < A d j u s t > 1 < / A d j u s t >  
             < R J E > 0 < / R J E >  
             < P r e l i m i n a r y > 1 < / P r e l i m i n a r y >  
             < F i n a l > 1 < / F i n a l >  
         < / A c c o u n t S t o r a g e >  
         < A c c o u n t S t o r a g e >  
             < A c c o u n t B a l a n c e s >  
                 < A c c o u n t B a l a n c e >  
                     < F i e l d N a m e > P r i o r P e r i o d 1 B a l a n c e < / F i e l d N a m e >  
                     < B a l a n c e > 2 2 < / B a l a n c e >  
                 < / A c c o u n t B a l a n c e >  
                 < A c c o u n t B a l a n c e >  
                     < F i e l d N a m e > P r i o r P e r i o d 2 B a l a n c e < / F i e l d N a m e >  
                     < B a l a n c e > 3 9 < / B a l a n c e >  
                 < / A c c o u n t B a l a n c e >  
                 < A c c o u n t B a l a n c e >  
                     < F i e l d N a m e > P r i o r P e r i o d 3 B a l a n c e < / F i e l d N a m e >  
                     < B a l a n c e > 1 9 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 2 6 5 0 7 8 9 9 2 6 4 0 0 0 0 0 2 4 2 < / I D >  
             < T a r g e t A c c o u n t I D > 2 6 5 0 7 8 9 9 2 6 4 0 0 0 0 0 1 7 5 < / T a r g e t A c c o u n t I D >  
             < C h a r t I D > 2 6 5 0 7 8 9 9 2 6 4 0 0 0 0 0 0 0 3 < / C h a r t I D >  
             < I s L i n k e d > f a l s e < / I s L i n k e d >  
             < N u m b e r > 0 5 1 0 0 0 1 0 0 0 0 9 < / N u m b e r >  
             < N a m e > B A N K   C H A R G E S   -   H A B I B   M E T R O P O L I T A N   B A N K   L I M I T E D < / N a m e >  
             < A J E > 0 < / A J E >  
             < A d j u s t > 8 < / A d j u s t >  
             < R J E > 0 < / R J E >  
             < P r e l i m i n a r y > 8 < / P r e l i m i n a r y >  
             < F i n a l > 8 < / F i n a l >  
         < / A c c o u n t S t o r a g e >  
         < A c c o u n t S t o r a g e >  
             < A c c o u n t B a l a n c e s >  
                 < A c c o u n t B a l a n c e >  
                     < F i e l d N a m e > P r i o r P e r i o d 1 B a l a n c e < / F i e l d N a m e >  
                     < B a l a n c e > 1 1 < / B a l a n c e >  
                 < / A c c o u n t B a l a n c e >  
                 < A c c o u n t B a l a n c e >  
                     < F i e l d N a m e > P r i o r P e r i o d 2 B a l a n c e < / F i e l d N a m e >  
                     < B a l a n c e > 3 5 < / B a l a n c e >  
                 < / A c c o u n t B a l a n c e >  
                 < A c c o u n t B a l a n c e >  
                     < F i e l d N a m e > P r i o r P e r i o d 3 B a l a n c e < / F i e l d N a m e >  
                     < B a l a n c e > 2 2 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 2 6 5 0 7 8 9 9 2 6 4 0 0 0 0 0 2 4 3 < / I D >  
             < T a r g e t A c c o u n t I D > 2 6 5 0 7 8 9 9 2 6 4 0 0 0 0 0 1 7 5 < / T a r g e t A c c o u n t I D >  
             < C h a r t I D > 2 6 5 0 7 8 9 9 2 6 4 0 0 0 0 0 0 0 3 < / C h a r t I D >  
             < I s L i n k e d > f a l s e < / I s L i n k e d >  
             < N u m b e r > 0 5 1 0 0 0 1 0 0 0 1 0 < / N u m b e r >  
             < N a m e > B A N K   C H A R G E S   -   M C B   B A N K   L I M I T E D < / N a m e >  
             < A J E > 0 < / A J E >  
             < A d j u s t > 9 < / A d j u s t >  
             < R J E > 0 < / R J E >  
             < P r e l i m i n a r y > 9 < / P r e l i m i n a r y >  
             < F i n a l > 9 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 2 6 5 0 7 8 9 9 2 6 4 0 0 0 0 0 2 4 4 < / I D >  
             < T a r g e t A c c o u n t I D > 2 6 5 0 7 8 9 9 2 6 4 0 0 0 0 0 1 7 5 < / T a r g e t A c c o u n t I D >  
             < C h a r t I D > 2 6 5 0 7 8 9 9 2 6 4 0 0 0 0 0 0 0 3 < / C h a r t I D >  
             < I s L i n k e d > f a l s e < / I s L i n k e d >  
             < N u m b e r > 0 5 1 0 0 0 1 0 0 0 1 3 < / N u m b e r >  
             < N a m e > B A N K   C H A R G E S   -   N I B   B A N K   L I M I T E D < / N a m e >  
             < A J E > 0 < / A J E >  
             < A d j u s t > 0 < / A d j u s t >  
             < R J E > 0 < / R J E >  
             < P r e l i m i n a r y > 0 < / P r e l i m i n a r y >  
             < F i n a l > 0 < / F i n a l >  
         < / A c c o u n t S t o r a g e >  
         < A c c o u n t S t o r a g e >  
             < A c c o u n t B a l a n c e s >  
                 < A c c o u n t B a l a n c e >  
                     < F i e l d N a m e > P r i o r P e r i o d 1 B a l a n c e < / F i e l d N a m e >  
                     < B a l a n c e > 1 7 < / B a l a n c e >  
                 < / A c c o u n t B a l a n c e >  
                 < A c c o u n t B a l a n c e >  
                     < F i e l d N a m e > P r i o r P e r i o d 2 B a l a n c e < / F i e l d N a m e >  
                     < B a l a n c e > 7 < / B a l a n c e >  
                 < / A c c o u n t B a l a n c e >  
                 < A c c o u n t B a l a n c e >  
                     < F i e l d N a m e > P r i o r P e r i o d 3 B a l a n c e < / F i e l d N a m e >  
                     < B a l a n c e > 2 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 2 6 5 0 7 8 9 9 2 6 4 0 0 0 0 0 2 4 5 < / I D >  
             < T a r g e t A c c o u n t I D > 2 6 5 0 7 8 9 9 2 6 4 0 0 0 0 0 1 7 5 < / T a r g e t A c c o u n t I D >  
             < C h a r t I D > 2 6 5 0 7 8 9 9 2 6 4 0 0 0 0 0 0 0 3 < / C h a r t I D >  
             < I s L i n k e d > f a l s e < / I s L i n k e d >  
             < N u m b e r > 0 5 1 0 0 0 1 0 0 0 1 6 < / N u m b e r >  
             < N a m e > B A N K   C H A R G E S   -   U N I T E D   B A N K   L I M I T E D < / N a m e >  
             < A J E > 0 < / A J E >  
             < A d j u s t > 2 < / A d j u s t >  
             < R J E > 0 < / R J E >  
             < P r e l i m i n a r y > 2 < / P r e l i m i n a r y >  
             < F i n a l > 2 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 2 6 5 0 7 8 9 9 2 6 4 0 0 0 0 0 2 4 6 < / I D >  
             < T a r g e t A c c o u n t I D > 2 6 5 0 7 8 9 9 2 6 4 0 0 0 0 0 1 7 5 < / T a r g e t A c c o u n t I D >  
             < C h a r t I D > 2 6 5 0 7 8 9 9 2 6 4 0 0 0 0 0 0 0 3 < / C h a r t I D >  
             < I s L i n k e d > f a l s e < / I s L i n k e d >  
             < N u m b e r > 0 5 1 0 0 0 1 0 0 0 1 7 < / N u m b e r >  
             < N a m e > B a n k   C h a r g e s   -   B a n k   A l - H a b i b 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 2 6 5 0 7 8 9 9 2 6 4 0 0 0 0 0 2 4 7 < / I D >  
             < T a r g e t A c c o u n t I D > 2 6 5 0 7 8 9 9 2 6 4 0 0 0 0 0 1 7 5 < / T a r g e t A c c o u n t I D >  
             < C h a r t I D > 2 6 5 0 7 8 9 9 2 6 4 0 0 0 0 0 0 0 3 < / C h a r t I D >  
             < I s L i n k e d > f a l s e < / I s L i n k e d >  
             < N u m b e r > 0 5 1 0 0 0 1 0 0 0 2 0 < / N u m b e r >  
             < N a m e > B a n k   C h a r g e s   -   Z a r a i   T a r a q i a t i 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 1 6 2 2 7 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 2 6 5 0 7 8 9 9 2 6 4 0 0 0 0 0 2 5 7 < / I D >  
             < T a r g e t A c c o u n t I D > 2 6 5 0 7 8 9 9 2 6 4 0 0 0 0 0 1 7 8 < / T a r g e t A c c o u n t I D >  
             < C h a r t I D > 2 6 5 0 7 8 9 9 2 6 4 0 0 0 0 0 0 0 3 < / C h a r t I D >  
             < I s L i n k e d > f a l s e < / I s L i n k e d >  
             < N u m b e r > 0 4 0 6 0 0 1 0 0 0 1 < / N u m b e r >  
             < N a m e > I m p a i r m e n t   O n   I m p a i r m e n t   L o s s e s   -   E q u i t y   I n v e s t m e n t   -   A f s < / N a m e >  
             < A J E > 0 < / A J E >  
             < A d j u s t > 2 0 3 2 < / A d j u s t >  
             < R J E > 0 < / R J E >  
             < P r e l i m i n a r y > 2 0 3 2 < / P r e l i m i n a r y >  
             < F i n a l > 2 0 3 2 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 2 6 5 0 7 8 9 9 2 6 4 0 0 0 0 0 2 6 3 < / I D >  
             < T a r g e t A c c o u n t I D > 2 6 5 0 7 8 9 9 2 6 4 0 0 0 0 0 1 7 8 < / T a r g e t A c c o u n t I D >  
             < C h a r t I D > 2 6 5 0 7 8 9 9 2 6 4 0 0 0 0 0 0 0 3 < / C h a r t I D >  
             < I s L i n k e d > f a l s e < / I s L i n k e d >  
             < N u m b e r > 0 5 0 3 0 0 1 0 0 0 0 1 < / N u m b e r >  
             < N a m e > I M P A I R M E N T   O N   I M P A I R M E N T   L O S S E S   -   E Q U I T Y   I N V E S T M E N T   -   A F S < / N a m e >  
             < A J E > 0 < / A J E >  
             < A d j u s t > 0 < / A d j u s t >  
             < R J E > 0 < / R J E >  
             < P r e l i m i n a r y > 0 < / P r e l i m i n a r y >  
             < F i n a l > 0 < / F i n a l >  
         < / A c c o u n t S t o r a g e >  
         < A c c o u n t S t o r a g e >  
             < A c c o u n t B a l a n c e s >  
                 < A c c o u n t B a l a n c e >  
                     < F i e l d N a m e > P r i o r P e r i o d 1 B a l a n c e < / F i e l d N a m e >  
                     < B a l a n c e > 5 1 7 < / B a l a n c e >  
                 < / A c c o u n t B a l a n c e >  
                 < A c c o u n t B a l a n c e >  
                     < F i e l d N a m e > P r i o r P e r i o d 2 B a l a n c e < / F i e l d N a m e >  
                     < B a l a n c e > 4 4 1 7 < / B a l a n c e >  
                 < / A c c o u n t B a l a n c e >  
                 < A c c o u n t B a l a n c e >  
                     < F i e l d N a m e > P r i o r P e r i o d 3 B a l a n c e < / F i e l d N a m e >  
                     < B a l a n c e > - 3 1 1 5 0 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 2 6 5 0 7 8 9 9 2 6 4 0 0 0 0 0 2 1 8 < / I D >  
             < T a r g e t A c c o u n t I D > 2 6 5 0 7 8 9 9 2 6 4 0 0 0 0 0 1 8 0 < / T a r g e t A c c o u n t I D >  
             < C h a r t I D > 2 6 5 0 7 8 9 9 2 6 4 0 0 0 0 0 0 0 3 < / C h a r t I D >  
             < I s L i n k e d > f a l s e < / I s L i n k e d >  
             < N u m b e r > 0 4 0 4 0 0 1 0 0 0 0 1 < / N u m b e r >  
             < N a m e > E L E M E N T   O F   I N C O M E   -   R E A L I Z E D < / N a m e >  
             < A J E > 0 < / A J E >  
             < A d j u s t > - 1 6 0 2 < / A d j u s t >  
             < R J E > 0 < / R J E >  
             < P r e l i m i n a r y > - 1 6 0 2 < / P r e l i m i n a r y >  
             < F i n a l > - 1 6 0 2 < / F i n a l >  
         < / A c c o u n t S t o r a g e >  
         < A c c o u n t S t o r a g e >  
             < A c c o u n t B a l a n c e s >  
                 < A c c o u n t B a l a n c e >  
                     < F i e l d N a m e > P r i o r P e r i o d 1 B a l a n c e < / F i e l d N a m e >  
                     < B a l a n c e > 5 4 2 4 < / B a l a n c e >  
                 < / A c c o u n t B a l a n c e >  
                 < A c c o u n t B a l a n c e >  
                     < F i e l d N a m e > P r i o r P e r i o d 2 B a l a n c e < / F i e l d N a m e >  
                     < B a l a n c e > - 5 8 2 2 < / B a l a n c e >  
                 < / A c c o u n t B a l a n c e >  
                 < A c c o u n t B a l a n c e >  
                     < F i e l d N a m e > P r i o r P e r i o d 3 B a l a n c e < / F i e l d N a m e >  
                     < B a l a n c e > 1 7 4 3 7 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 2 6 5 0 7 8 9 9 2 6 4 0 0 0 0 0 2 1 9 < / I D >  
             < T a r g e t A c c o u n t I D > 2 6 5 0 7 8 9 9 2 6 4 0 0 0 0 0 1 8 1 < / T a r g e t A c c o u n t I D >  
             < C h a r t I D > 2 6 5 0 7 8 9 9 2 6 4 0 0 0 0 0 0 0 3 < / C h a r t I D >  
             < I s L i n k e d > f a l s e < / I s L i n k e d >  
             < N u m b e r > 0 4 0 4 0 0 2 0 0 0 0 1 < / N u m b e r >  
             < N a m e > E L E M E N T   O F   I N C O M E   -   U N R E A L I Z E D < / N a m e >  
             < A J E > 0 < / A J E >  
             < A d j u s t > 4 0 4 6 < / A d j u s t >  
             < R J E > 0 < / R J E >  
             < P r e l i m i n a r y > 4 0 4 6 < / P r e l i m i n a r y >  
             < F i n a l > 4 0 4 6 < / F i n a l >  
         < / A c c o u n t S t o r a g e >  
     < / A c c o u n t s >  
     < C o m p a n i e s / >  
 < / L e a d S h e e t D a t a S t o r a g e > 
</file>

<file path=customXml/item2.xml>��< ? x m l   v e r s i o n = " 1 . 0 "   e n c o d i n g = " u t f - 1 6 " ? > < A r r a y O f S t r i n g   x m l n s : x s d = " h t t p : / / w w w . w 3 . o r g / 2 0 0 1 / X M L S c h e m a "   x m l n s : x s i = " h t t p : / / w w w . w 3 . o r g / 2 0 0 1 / X M L S c h e m a - i n s t a n c e " / > 
</file>

<file path=customXml/item3.xml><?xml version="1.0" encoding="utf-8"?>
<boolean xmlns="http://schemas.dtt.com/da/IsFirstTimeLoaded">true</boolean>
</file>

<file path=customXml/item4.xml>��< ? x m l   v e r s i o n = " 1 . 0 "   e n c o d i n g = " u t f - 1 6 " ? > < L e a d S h e e t P a r a m s   x m l n s : x s d = " h t t p : / / w w w . w 3 . o r g / 2 0 0 1 / X M L S c h e m a "   x m l n s : x s i = " h t t p : / / w w w . w 3 . o r g / 2 0 0 1 / X M L S c h e m a - i n s t a n c e " >  
     < I s M a p p e d T o D e t a i l E n g L e v e l > f a l s e < / I s M a p p e d T o D e t a i l E n g L e v e l >  
     < T B P a i I D > 2 6 5 0 7 8 9 9 2 6 4 0 0 0 0 0 0 0 2 < / T B P a i I D >  
     < E n g a g e m e n t I D > 5 0 0 0 0 0 8 4 9 7 < / E n g a g e m e n t I D >  
     < T a r g e t C h a r t I D > 2 6 5 0 7 8 9 9 2 6 4 0 0 0 0 0 0 0 4 < / T a r g e t C h a r t I D >  
     < C o m p a r i s o n C o l u m n >  
         < F i e l d N a m e > P r i o r P e r i o d 1 B a l a n c e < / F i e l d N a m e >  
         < U s e r D i s p l a y N a m e > ' J u n e   3 0 ,   2 0 1 6 < / U s e r D i s p l a y N a m e >  
     < / C o m p a r i s o n C o l u m n >  
     < U s e r S e l e c t e d B a l a n c e C o l u m n s / >  
     < L e v e l > D e t a i l < / L e v e l >  
     < R o u n d e d > t r u e < / R o u n d e d >  
     < C o m b i n e d > t r u e < / C o m b i n e d >  
     < T a r g e t A c c o u n t I n f o L i s t >  
         < A c c o u n t I n f o >  
             < I D > 2 6 5 0 7 8 9 9 2 6 4 0 0 0 0 0 0 1 6 < / I D >  
             < N a m e > B a n k   B a l a n c e s < / N a m e >  
             < N u m b e r > 5 1 1 0 . 1 < / N u m b e r >  
             < I s L i n k e d > f a l s e < / I s L i n k e d >  
             < C h a r t I D > 2 6 5 0 7 8 9 9 2 6 4 0 0 0 0 0 0 0 4 < / C h a r t I D >  
             < S e q u e n c e > 0 < / S e q u e n c e >  
         < / A c c o u n t I n f o >  
         < A c c o u n t I n f o >  
             < I D > 2 6 5 0 7 8 9 9 2 6 4 0 0 0 0 0 0 1 9 < / I D >  
             < N a m e > I n v e s t m e n t   i n   E q u i t y   -   A F S < / N a m e >  
             < N u m b e r > 5 1 2 0 . 1 < / N u m b e r >  
             < I s L i n k e d > f a l s e < / I s L i n k e d >  
             < C h a r t I D > 2 6 5 0 7 8 9 9 2 6 4 0 0 0 0 0 0 0 4 < / C h a r t I D >  
             < S e q u e n c e > 0 < / S e q u e n c e >  
         < / A c c o u n t I n f o >  
         < A c c o u n t I n f o >  
             < I D > 2 6 5 0 7 8 9 9 2 6 4 0 0 0 0 0 0 2 6 < / I D >  
             < N a m e > I n v e s t m e n t   i n   P a k i s t a n   I n v e s t m e n t   B o n d s   -   A F S < / N a m e >  
             < N u m b e r > 5 1 2 0 . 2 < / N u m b e r >  
             < I s L i n k e d > f a l s e < / I s L i n k e d >  
             < C h a r t I D > 2 6 5 0 7 8 9 9 2 6 4 0 0 0 0 0 0 0 4 < / C h a r t I D >  
             < S e q u e n c e > 0 < / S e q u e n c e >  
         < / A c c o u n t I n f o >  
         < A c c o u n t I n f o >  
             < I D > 2 6 5 0 7 8 9 9 2 6 4 0 0 0 0 0 0 2 9 < / I D >  
             < N a m e > I n v e s t m e n t   i n   T F C s   -   H F T < / N a m e >  
             < N u m b e r > 5 1 2 0 . 3 < / N u m b e r >  
             < I s L i n k e d > f a l s e < / I s L i n k e d >  
             < C h a r t I D > 2 6 5 0 7 8 9 9 2 6 4 0 0 0 0 0 0 0 4 < / C h a r t I D >  
             < S e q u e n c e > 0 < / S e q u e n c e >  
         < / A c c o u n t I n f o >  
         < A c c o u n t I n f o >  
             < I D > 2 6 5 0 7 8 9 9 2 6 4 0 0 0 0 0 0 3 3 < / I D >  
             < N a m e > I n v e s t m e n t   i n   E q u i t y   -   H F T < / N a m e >  
             < N u m b e r > 5 1 2 0 . 4 < / N u m b e r >  
             < I s L i n k e d > f a l s e < / I s L i n k e d >  
             < C h a r t I D > 2 6 5 0 7 8 9 9 2 6 4 0 0 0 0 0 0 0 4 < / C h a r t I D >  
             < S e q u e n c e > 0 < / S e q u e n c e >  
         < / A c c o u n t I n f o >  
         < A c c o u n t I n f o >  
             < I D > 2 6 5 0 7 8 9 9 2 6 4 0 0 0 0 0 0 3 4 < / I D >  
             < N a m e > I n v e s t m e n t   i n   T - B i l l s   -   H F T < / N a m e >  
             < N u m b e r > 5 1 2 0 . 5 < / N u m b e r >  
             < I s L i n k e d > f a l s e < / I s L i n k e d >  
             < C h a r t I D > 2 6 5 0 7 8 9 9 2 6 4 0 0 0 0 0 0 0 4 < / C h a r t I D >  
             < S e q u e n c e > 0 < / S e q u e n c e >  
         < / A c c o u n t I n f o >  
         < A c c o u n t I n f o >  
             < I D > 2 6 5 0 7 8 9 9 2 6 4 0 0 0 0 0 1 8 4 < / I D >  
             < N a m e > I n v e s t m e n t   i n   T D R s < / N a m e >  
             < N u m b e r > 5 1 2 0 . 6 < / N u m b e r >  
             < I s L i n k e d > f a l s e < / I s L i n k e d >  
             < C h a r t I D > 2 6 5 0 7 8 9 9 2 6 4 0 0 0 0 0 0 0 4 < / C h a r t I D >  
             < S e q u e n c e > 0 < / S e q u e n c e >  
         < / A c c o u n t I n f o >  
         < A c c o u n t I n f o >  
             < I D > 2 6 5 0 7 8 9 9 2 6 4 0 0 0 0 0 0 3 9 < / I D >  
             < N a m e > R e c e i v a b l e   a g a i n s t   S a l e   o f   E q u i t y   S e c u r i t i e s < / N a m e >  
             < N u m b e r > 5 1 3 0 . 1 < / N u m b e r >  
             < I s L i n k e d > f a l s e < / I s L i n k e d >  
             < C h a r t I D > 2 6 5 0 7 8 9 9 2 6 4 0 0 0 0 0 0 0 4 < / C h a r t I D >  
             < S e q u e n c e > 0 < / S e q u e n c e >  
         < / A c c o u n t I n f o >  
         < A c c o u n t I n f o >  
             < I D > 2 6 5 0 7 8 9 9 2 6 4 0 0 0 0 0 0 4 0 < / I D >  
             < N a m e > D i v i d e n d   R e c e i v a b l e < / N a m e >  
             < N u m b e r > 5 1 4 0 . 1 < / N u m b e r >  
             < I s L i n k e d > f a l s e < / I s L i n k e d >  
             < C h a r t I D > 2 6 5 0 7 8 9 9 2 6 4 0 0 0 0 0 0 0 4 < / C h a r t I D >  
             < S e q u e n c e > 0 < / S e q u e n c e >  
         < / A c c o u n t I n f o >  
         < A c c o u n t I n f o >  
             < I D > 2 6 5 0 7 8 9 9 2 6 4 0 0 0 0 0 0 4 5 < / I D >  
             < N a m e > P r o f i t   o n   S a v i n g s   D e p o s i t s < / N a m e >  
             < N u m b e r > 5 1 4 0 . 2 < / N u m b e r >  
             < I s L i n k e d > f a l s e < / I s L i n k e d >  
             < C h a r t I D > 2 6 5 0 7 8 9 9 2 6 4 0 0 0 0 0 0 0 4 < / C h a r t I D >  
             < S e q u e n c e > 0 < / S e q u e n c e >  
         < / A c c o u n t I n f o >  
         < A c c o u n t I n f o >  
             < I D > 2 6 5 0 7 8 9 9 2 6 4 0 0 0 0 0 0 4 6 < / I D >  
             < N a m e > A c c r u e d   p r o f i t   o n   P a k i s t a n   I n v e s t m e n t   B o n d s < / N a m e >  
             < N u m b e r > 5 1 4 0 . 3 < / N u m b e r >  
             < I s L i n k e d > f a l s e < / I s L i n k e d >  
             < C h a r t I D > 2 6 5 0 7 8 9 9 2 6 4 0 0 0 0 0 0 0 4 < / C h a r t I D >  
             < S e q u e n c e > 0 < / S e q u e n c e >  
         < / A c c o u n t I n f o >  
         < A c c o u n t I n f o >  
             < I D > 2 6 5 0 7 8 9 9 2 6 4 0 0 0 0 0 0 4 9 < / I D >  
             < N a m e > A c c r u e d   P r o f i t   o n   T F C s < / N a m e >  
             < N u m b e r > 5 1 4 0 . 4 < / N u m b e r >  
             < I s L i n k e d > f a l s e < / I s L i n k e d >  
             < C h a r t I D > 2 6 5 0 7 8 9 9 2 6 4 0 0 0 0 0 0 0 4 < / C h a r t I D >  
             < S e q u e n c e > 0 < / S e q u e n c e >  
         < / A c c o u n t I n f o >  
         < A c c o u n t I n f o >  
             < I D > 2 6 5 0 7 8 9 9 2 6 4 0 0 0 0 0 0 5 3 < / I D >  
             < N a m e > R e c e i v a b l e   f r o m   N a t i o n a l   C l e a r i n g   C o m p a n y   o f   P a k i s t a n   L i m i t e d < / N a m e >  
             < N u m b e r > 5 1 4 0 . 5 < / N u m b e r >  
             < I s L i n k e d > f a l s e < / I s L i n k e d >  
             < C h a r t I D > 2 6 5 0 7 8 9 9 2 6 4 0 0 0 0 0 0 0 4 < / C h a r t I D >  
             < S e q u e n c e > 0 < / S e q u e n c e >  
         < / A c c o u n t I n f o >  
         < A c c o u n t I n f o >  
             < I D > 2 6 5 0 7 8 9 9 2 6 4 0 0 0 0 0 0 5 7 < / I D >  
             < N a m e > S e c u r i t y   D e p o s i t s   -   N a t i o n a l   C l e a r i n g   C o m p a n y   o f   P a k i s t a n   L i m i t e d < / N a m e >  
             < N u m b e r > 5 1 5 0 . 1 < / N u m b e r >  
             < I s L i n k e d > f a l s e < / I s L i n k e d >  
             < C h a r t I D > 2 6 5 0 7 8 9 9 2 6 4 0 0 0 0 0 0 0 4 < / C h a r t I D >  
             < S e q u e n c e > 0 < / S e q u e n c e >  
         < / A c c o u n t I n f o >  
         < A c c o u n t I n f o >  
             < I D > 2 6 5 0 7 8 9 9 2 6 4 0 0 0 0 0 0 5 8 < / I D >  
             < N a m e > S e c u r i t y   D e p o s i t s   -   C e n t r a l   D e p o s i t o r y   C o m p a n y   o f   P a k i s t a n   L i m i t e d < / N a m e >  
             < N u m b e r > 5 1 5 0 . 2 < / N u m b e r >  
             < I s L i n k e d > f a l s e < / I s L i n k e d >  
             < C h a r t I D > 2 6 5 0 7 8 9 9 2 6 4 0 0 0 0 0 0 0 4 < / C h a r t I D >  
             < S e q u e n c e > 0 < / S e q u e n c e >  
         < / A c c o u n t I n f o >  
         < A c c o u n t I n f o >  
             < I D > 2 6 5 0 7 8 9 9 2 6 4 0 0 0 0 0 0 6 3 < / I D >  
             < N a m e > S e c u r i t y   D e p o s i t s   -   O t h e r s < / N a m e >  
             < N u m b e r > 5 1 5 0 . 3 < / N u m b e r >  
             < I s L i n k e d > f a l s e < / I s L i n k e d >  
             < C h a r t I D > 2 6 5 0 7 8 9 9 2 6 4 0 0 0 0 0 0 0 4 < / C h a r t I D >  
             < S e q u e n c e > 0 < / S e q u e n c e >  
         < / A c c o u n t I n f o >  
         < A c c o u n t I n f o >  
             < I D > 2 6 5 0 7 8 9 9 2 6 4 0 0 0 0 0 0 6 6 < / I D >  
             < N a m e > P r e p a y m e n t s   a n d   o t h e r   r e c e i v a b l e s < / N a m e >  
             < N u m b e r > 5 1 6 0 . 1 < / N u m b e r >  
             < I s L i n k e d > f a l s e < / I s L i n k e d >  
             < C h a r t I D > 2 6 5 0 7 8 9 9 2 6 4 0 0 0 0 0 0 0 4 < / C h a r t I D >  
             < S e q u e n c e > 0 < / S e q u e n c e >  
         < / A c c o u n t I n f o >  
         < A c c o u n t I n f o >  
             < I D > 2 6 5 0 7 8 9 9 2 6 4 0 0 0 0 0 0 6 9 < / I D >  
             < N a m e > A d v a n c e   t a x < / N a m e >  
             < N u m b e r > 5 1 6 0 . 2 < / N u m b e r >  
             < I s L i n k e d > f a l s e < / I s L i n k e d >  
             < C h a r t I D > 2 6 5 0 7 8 9 9 2 6 4 0 0 0 0 0 0 0 4 < / C h a r t I D >  
             < S e q u e n c e > 0 < / S e q u e n c e >  
         < / A c c o u n t I n f o >  
         < A c c o u n t I n f o >  
             < I D > 2 6 5 0 7 8 9 9 2 6 4 0 0 0 0 0 0 7 0 < / I D >  
             < N a m e > A d v a n c e   a g a i n s t   I P O   s u b s c r i p t i o n < / N a m e >  
             < N u m b e r > 5 1 6 0 . 3 < / N u m b e r >  
             < I s L i n k e d > f a l s e < / I s L i n k e d >  
             < C h a r t I D > 2 6 5 0 7 8 9 9 2 6 4 0 0 0 0 0 0 0 4 < / C h a r t I D >  
             < S e q u e n c e > 0 < / S e q u e n c e >  
         < / A c c o u n t I n f o >  
         < A c c o u n t I n f o >  
             < I D > 2 6 5 0 7 8 9 9 2 6 4 0 0 0 0 0 1 8 7 < / I D >  
             < N a m e > O t h e r   R e c e i v a b l e s < / N a m e >  
             < N u m b e r > 5 1 6 0 . 4 < / N u m b e r >  
             < I s L i n k e d > f a l s e < / I s L i n k e d >  
             < C h a r t I D > 2 6 5 0 7 8 9 9 2 6 4 0 0 0 0 0 0 0 4 < / C h a r t I D >  
             < S e q u e n c e > 0 < / S e q u e n c e >  
         < / A c c o u n t I n f o >  
         < A c c o u n t I n f o >  
             < I D > 2 6 5 0 7 8 9 9 2 6 4 0 0 0 0 0 0 7 4 < / I D >  
             < N a m e > M a n a g e m e n t   F e e   P a y a b l e < / N a m e >  
             < N u m b e r > 6 1 1 0 . 1 < / N u m b e r >  
             < I s L i n k e d > f a l s e < / I s L i n k e d >  
             < C h a r t I D > 2 6 5 0 7 8 9 9 2 6 4 0 0 0 0 0 0 0 4 < / C h a r t I D >  
             < S e q u e n c e > 0 < / S e q u e n c e >  
         < / A c c o u n t I n f o >  
         < A c c o u n t I n f o >  
             < I D > 2 6 5 0 7 8 9 9 2 6 4 0 0 0 0 0 0 7 6 < / I D >  
             < N a m e > S a l e   L o a d   P a y a b l e < / N a m e >  
             < N u m b e r > 6 1 1 0 . 2 < / N u m b e r >  
             < I s L i n k e d > f a l s e < / I s L i n k e d >  
             < C h a r t I D > 2 6 5 0 7 8 9 9 2 6 4 0 0 0 0 0 0 0 4 < / C h a r t I D >  
             < S e q u e n c e > 0 < / S e q u e n c e >  
         < / A c c o u n t I n f o >  
         < A c c o u n t I n f o >  
             < I D > 2 6 5 0 7 8 9 9 2 6 4 0 0 0 0 0 0 8 0 < / I D >  
             < N a m e > L e g a l   a n d   p r o f e s s i o n a l   c h a r g e s   p a y a b l e < / N a m e >  
             < N u m b e r > 6 1 1 0 . 3 < / N u m b e r >  
             < I s L i n k e d > f a l s e < / I s L i n k e d >  
             < C h a r t I D > 2 6 5 0 7 8 9 9 2 6 4 0 0 0 0 0 0 0 4 < / C h a r t I D >  
             < S e q u e n c e > 0 < / S e q u e n c e >  
         < / A c c o u n t I n f o >  
         < A c c o u n t I n f o >  
             < I D > 2 6 5 0 7 8 9 9 2 6 4 0 0 0 0 0 0 8 3 < / I D >  
             < N a m e > S a l e s   T a x   P a y a b l e   a g a i n s t   M a n a g e m e n t   F e e < / N a m e >  
             < N u m b e r > 6 1 1 0 . 4 < / N u m b e r >  
             < I s L i n k e d > f a l s e < / I s L i n k e d >  
             < C h a r t I D > 2 6 5 0 7 8 9 9 2 6 4 0 0 0 0 0 0 0 4 < / C h a r t I D >  
             < S e q u e n c e > 0 < / S e q u e n c e >  
         < / A c c o u n t I n f o >  
         < A c c o u n t I n f o >  
             < I D > 2 6 5 0 7 8 9 9 2 6 4 0 0 0 0 0 0 8 5 < / I D >  
             < N a m e > T r u s t e e   R e m u n e r a t i o n   P a y a b l e < / N a m e >  
             < N u m b e r > 6 1 2 0 . 1 < / N u m b e r >  
             < I s L i n k e d > f a l s e < / I s L i n k e d >  
             < C h a r t I D > 2 6 5 0 7 8 9 9 2 6 4 0 0 0 0 0 0 0 4 < / C h a r t I D >  
             < S e q u e n c e > 0 < / S e q u e n c e >  
         < / A c c o u n t I n f o >  
         < A c c o u n t I n f o >  
             < I D > 2 6 5 0 7 8 9 9 2 6 4 0 0 0 0 0 0 9 0 < / I D >  
             < N a m e > P a y a b l e   t o   S e c u r i t i e s   a n d   E x c h a n g e   C o m m i s s i o n   o f   P a k i s t a n < / N a m e >  
             < N u m b e r > 6 1 3 0 . 1 < / N u m b e r >  
             < I s L i n k e d > f a l s e < / I s L i n k e d >  
             < C h a r t I D > 2 6 5 0 7 8 9 9 2 6 4 0 0 0 0 0 0 0 4 < / C h a r t I D >  
             < S e q u e n c e > 0 < / S e q u e n c e >  
         < / A c c o u n t I n f o >  
         < A c c o u n t I n f o >  
             < I D > 2 6 5 0 7 8 9 9 2 6 4 0 0 0 0 0 0 9 3 < / I D >  
             < N a m e > D i v i d e n d   P a y a b l e < / N a m e >  
             < N u m b e r > 6 1 4 0 . 1 < / N u m b e r >  
             < I s L i n k e d > f a l s e < / I s L i n k e d >  
             < C h a r t I D > 2 6 5 0 7 8 9 9 2 6 4 0 0 0 0 0 0 0 4 < / C h a r t I D >  
             < S e q u e n c e > 0 < / S e q u e n c e >  
         < / A c c o u n t I n f o >  
         < A c c o u n t I n f o >  
             < I D > 2 6 5 0 7 8 9 9 2 6 4 0 0 0 0 0 0 9 4 < / I D >  
             < N a m e > P a y a b l e   a g a i n s t   P u r c h a s e   o f   E q u i t y   S e c u r i t i e s < / N a m e >  
             < N u m b e r > 6 1 4 0 . 1 1 < / N u m b e r >  
             < I s L i n k e d > f a l s e < / I s L i n k e d >  
             < C h a r t I D > 2 6 5 0 7 8 9 9 2 6 4 0 0 0 0 0 0 0 4 < / C h a r t I D >  
             < S e q u e n c e > 0 < / S e q u e n c e >  
         < / A c c o u n t I n f o >  
         < A c c o u n t I n f o >  
             < I D > 2 6 5 0 7 8 9 9 2 6 4 0 0 0 0 0 0 9 8 < / I D >  
             < N a m e > P a y a b l e   a g a i n s t   r e d e m p t i o n   o f   u n i t s < / N a m e >  
             < N u m b e r > 6 1 4 0 . 2 < / N u m b e r >  
             < I s L i n k e d > f a l s e < / I s L i n k e d >  
             < C h a r t I D > 2 6 5 0 7 8 9 9 2 6 4 0 0 0 0 0 0 0 4 < / C h a r t I D >  
             < S e q u e n c e > 0 < / S e q u e n c e >  
         < / A c c o u n t I n f o >  
         < A c c o u n t I n f o >  
             < I D > 2 6 5 0 7 8 9 9 2 6 4 0 0 0 0 0 1 0 2 < / I D >  
             < N a m e > F E D   T a x   P a y a b l e   a g a i n s t   M a n a g e m e n t   F e e < / N a m e >  
             < N u m b e r > 6 1 5 0 . 1 < / N u m b e r >  
             < I s L i n k e d > f a l s e < / I s L i n k e d >  
             < C h a r t I D > 2 6 5 0 7 8 9 9 2 6 4 0 0 0 0 0 0 0 4 < / C h a r t I D >  
             < S e q u e n c e > 0 < / S e q u e n c e >  
         < / A c c o u n t I n f o >  
         < A c c o u n t I n f o >  
             < I D > 2 6 5 0 7 8 9 9 2 6 4 0 0 0 0 0 1 0 5 < / I D >  
             < N a m e > O t h e r   p a y a b l e < / N a m e >  
             < N u m b e r > 6 1 5 0 . 1 0 < / N u m b e r >  
             < I s L i n k e d > f a l s e < / I s L i n k e d >  
             < C h a r t I D > 2 6 5 0 7 8 9 9 2 6 4 0 0 0 0 0 0 0 4 < / C h a r t I D >  
             < S e q u e n c e > 0 < / S e q u e n c e >  
         < / A c c o u n t I n f o >  
         < A c c o u n t I n f o >  
             < I D > 2 6 5 0 7 8 9 9 2 6 4 0 0 0 0 0 1 0 6 < / I D >  
             < N a m e > S a l e s   t a x   o n   p a y a b l e < / N a m e >  
             < N u m b e r > 6 1 5 0 . 1 1 < / N u m b e r >  
             < I s L i n k e d > f a l s e < / I s L i n k e d >  
             < C h a r t I D > 2 6 5 0 7 8 9 9 2 6 4 0 0 0 0 0 0 0 4 < / C h a r t I D >  
             < S e q u e n c e > 0 < / S e q u e n c e >  
         < / A c c o u n t I n f o >  
         < A c c o u n t I n f o >  
             < I D > 2 6 5 0 7 8 9 9 2 6 4 0 0 0 0 0 1 1 0 < / I D >  
             < N a m e > B r o k e r a g e   P a y a b l e   E q u i t y < / N a m e >  
             < N u m b e r > 6 1 5 0 . 2 < / N u m b e r >  
             < I s L i n k e d > f a l s e < / I s L i n k e d >  
             < C h a r t I D > 2 6 5 0 7 8 9 9 2 6 4 0 0 0 0 0 0 0 4 < / C h a r t I D >  
             < S e q u e n c e > 0 < / S e q u e n c e >  
         < / A c c o u n t I n f o >  
         < A c c o u n t I n f o >  
             < I D > 2 6 5 0 7 8 9 9 2 6 4 0 0 0 0 0 1 1 2 < / I D >  
             < N a m e > B r o k e r a g e   P a y a b l e   M o n e y   M a r k e t < / N a m e >  
             < N u m b e r > 6 1 5 0 . 3 < / N u m b e r >  
             < I s L i n k e d > f a l s e < / I s L i n k e d >  
             < C h a r t I D > 2 6 5 0 7 8 9 9 2 6 4 0 0 0 0 0 0 0 4 < / C h a r t I D >  
             < S e q u e n c e > 0 < / S e q u e n c e >  
         < / A c c o u n t I n f o >  
         < A c c o u n t I n f o >  
             < I D > 2 6 5 0 7 8 9 9 2 6 4 0 0 0 0 0 1 1 7 < / I D >  
             < N a m e > W o r k e r ' s   W e l f a r e   F u n d   P a y a b l e < / N a m e >  
             < N u m b e r > 6 1 5 0 . 4 < / N u m b e r >  
             < I s L i n k e d > f a l s e < / I s L i n k e d >  
             < C h a r t I D > 2 6 5 0 7 8 9 9 2 6 4 0 0 0 0 0 0 0 4 < / C h a r t I D >  
             < S e q u e n c e > 0 < / S e q u e n c e >  
         < / A c c o u n t I n f o >  
         < A c c o u n t I n f o >  
             < I D > 2 6 5 0 7 8 9 9 2 6 4 0 0 0 0 0 1 1 8 < / I D >  
             < N a m e > A u d i t   F e e   P a y a b l e < / N a m e >  
             < N u m b e r > 6 1 5 0 . 5 < / N u m b e r >  
             < I s L i n k e d > f a l s e < / I s L i n k e d >  
             < C h a r t I D > 2 6 5 0 7 8 9 9 2 6 4 0 0 0 0 0 0 0 4 < / C h a r t I D >  
             < S e q u e n c e > 0 < / S e q u e n c e >  
         < / A c c o u n t I n f o >  
         < A c c o u n t I n f o >  
             < I D > 2 6 5 0 7 8 9 9 2 6 4 0 0 0 0 0 1 2 2 < / I D >  
             < N a m e > P r i n t i n g   C h a r g e s   P a y a b l e < / N a m e >  
             < N u m b e r > 6 1 5 0 . 6 < / N u m b e r >  
             < I s L i n k e d > f a l s e < / I s L i n k e d >  
             < C h a r t I D > 2 6 5 0 7 8 9 9 2 6 4 0 0 0 0 0 0 0 4 < / C h a r t I D >  
             < S e q u e n c e > 0 < / S e q u e n c e >  
         < / A c c o u n t I n f o >  
         < A c c o u n t I n f o >  
             < I D > 2 6 5 0 7 8 9 9 2 6 4 0 0 0 0 0 1 2 4 < / I D >  
             < N a m e > W i t h h o l d i n g   t a x   p a y a b l e < / N a m e >  
             < N u m b e r > 6 1 5 0 . 8 < / N u m b e r >  
             < I s L i n k e d > f a l s e < / I s L i n k e d >  
             < C h a r t I D > 2 6 5 0 7 8 9 9 2 6 4 0 0 0 0 0 0 0 4 < / C h a r t I D >  
             < S e q u e n c e > 0 < / S e q u e n c e >  
         < / A c c o u n t I n f o >  
         < A c c o u n t I n f o >  
             < I D > 2 6 5 0 7 8 9 9 2 6 4 0 0 0 0 0 1 2 7 < / I D >  
             < N a m e > P a y a b l e   t o   N C C P L < / N a m e >  
             < N u m b e r > 6 1 5 0 . 9 < / N u m b e r >  
             < I s L i n k e d > f a l s e < / I s L i n k e d >  
             < C h a r t I D > 2 6 5 0 7 8 9 9 2 6 4 0 0 0 0 0 0 0 4 < / C h a r t I D >  
             < S e q u e n c e > 0 < / S e q u e n c e >  
         < / A c c o u n t I n f o >  
         < A c c o u n t I n f o >  
             < I D > 2 6 5 0 7 8 9 9 2 6 4 0 0 0 0 0 1 3 0 < / I D >  
             < N a m e > U n i t   H o l d e r s   F u n d < / N a m e >  
             < N u m b e r > 7 1 1 0 . 1 < / N u m b e r >  
             < I s L i n k e d > f a l s e < / I s L i n k e d >  
             < C h a r t I D > 2 6 5 0 7 8 9 9 2 6 4 0 0 0 0 0 0 0 4 < / C h a r t I D >  
             < S e q u e n c e > 0 < / S e q u e n c e >  
         < / A c c o u n t I n f o >  
         < A c c o u n t I n f o >  
             < I D > 2 6 5 0 7 8 9 9 2 6 4 0 0 0 0 0 1 3 1 < / I D >  
             < N a m e > R e a l i z e d   E l e m e n t   o f   I n c o m e < / N a m e >  
             < N u m b e r > 7 1 2 0 . 1 < / N u m b e r >  
             < I s L i n k e d > f a l s e < / I s L i n k e d >  
             < C h a r t I D > 2 6 5 0 7 8 9 9 2 6 4 0 0 0 0 0 0 0 4 < / C h a r t I D >  
             < S e q u e n c e > 0 < / S e q u e n c e >  
         < / A c c o u n t I n f o >  
         < A c c o u n t I n f o >  
             < I D > 2 6 5 0 7 8 9 9 2 6 4 0 0 0 0 0 1 3 4 < / I D >  
             < N a m e > U n r e a l i z e d   E l e m e n t   o f   I n c o m e < / N a m e >  
             < N u m b e r > 7 1 3 0 . 1 < / N u m b e r >  
             < I s L i n k e d > f a l s e < / I s L i n k e d >  
             < C h a r t I D > 2 6 5 0 7 8 9 9 2 6 4 0 0 0 0 0 0 0 4 < / C h a r t I D >  
             < S e q u e n c e > 0 < / S e q u e n c e >  
         < / A c c o u n t I n f o >  
         < A c c o u n t I n f o >  
             < I D > 2 6 5 0 7 8 9 9 2 6 4 0 0 0 0 0 1 3 6 < / I D >  
             < N a m e > U n r e a l i z e d   a p p r e c i a t i o n   i n   v a l u e   o f   e q u i t y   i n v e s t m e n t s   -   A F S < / N a m e >  
             < N u m b e r > 7 1 4 0 . 1 < / N u m b e r >  
             < I s L i n k e d > f a l s e < / I s L i n k e d >  
             < C h a r t I D > 2 6 5 0 7 8 9 9 2 6 4 0 0 0 0 0 0 0 4 < / C h a r t I D >  
             < S e q u e n c e > 0 < / S e q u e n c e >  
         < / A c c o u n t I n f o >  
         < A c c o u n t I n f o >  
             < I D > 2 6 5 0 7 8 9 9 2 6 4 0 0 0 0 0 1 3 8 < / I D >  
             < N a m e > U n r e a l i z e d   a p p r e c i a t i o n   i n   v a l u e   o f   P I B s   -   A F S < / N a m e >  
             < N u m b e r > 7 1 4 0 . 2 < / N u m b e r >  
             < I s L i n k e d > f a l s e < / I s L i n k e d >  
             < C h a r t I D > 2 6 5 0 7 8 9 9 2 6 4 0 0 0 0 0 0 0 4 < / C h a r t I D >  
             < S e q u e n c e > 0 < / S e q u e n c e >  
         < / A c c o u n t I n f o >  
         < A c c o u n t I n f o >  
             < I D > 2 6 5 0 7 8 9 9 2 6 4 0 0 0 0 0 1 4 0 < / I D >  
             < N a m e > C a p i t a l   ( g a i n ) /   l o s s   o n   s a l e   o f   E q u i t y   -   n e t < / N a m e >  
             < N u m b e r > 8 1 1 0 . 1 < / N u m b e r >  
             < I s L i n k e d > f a l s e < / I s L i n k e d >  
             < C h a r t I D > 2 6 5 0 7 8 9 9 2 6 4 0 0 0 0 0 0 0 4 < / C h a r t I D >  
             < S e q u e n c e > 0 < / S e q u e n c e >  
         < / A c c o u n t I n f o >  
         < A c c o u n t I n f o >  
             < I D > 2 6 5 0 7 8 9 9 2 6 4 0 0 0 0 0 1 4 2 < / I D >  
             < N a m e > C a p i t a l   ( g a i n ) /   l o s s   o n   s a l e   o f   P I B s   -   n e t < / N a m e >  
             < N u m b e r > 8 1 1 0 . 2 < / N u m b e r >  
             < I s L i n k e d > f a l s e < / I s L i n k e d >  
             < C h a r t I D > 2 6 5 0 7 8 9 9 2 6 4 0 0 0 0 0 0 0 4 < / C h a r t I D >  
             < S e q u e n c e > 0 < / S e q u e n c e >  
         < / A c c o u n t I n f o >  
         < A c c o u n t I n f o >  
             < I D > 2 6 5 0 7 8 9 9 2 6 4 0 0 0 0 0 1 4 3 < / I D >  
             < N a m e > C a p i t a l   ( g a i n ) /   l o s s   o n   s a l e   o f   T - B i l l s   -   n e t < / N a m e >  
             < N u m b e r > 8 1 1 0 . 3 < / N u m b e r >  
             < I s L i n k e d > f a l s e < / I s L i n k e d >  
             < C h a r t I D > 2 6 5 0 7 8 9 9 2 6 4 0 0 0 0 0 0 0 4 < / C h a r t I D >  
             < S e q u e n c e > 0 < / S e q u e n c e >  
         < / A c c o u n t I n f o >  
         < A c c o u n t I n f o >  
             < I D > 2 6 5 0 7 8 9 9 2 6 4 0 0 0 0 0 1 4 6 < / I D >  
             < N a m e > D i v i d e n d < / N a m e >  
             < N u m b e r > 8 1 1 1 . 1 < / N u m b e r >  
             < I s L i n k e d > f a l s e < / I s L i n k e d >  
             < C h a r t I D > 2 6 5 0 7 8 9 9 2 6 4 0 0 0 0 0 0 0 4 < / C h a r t I D >  
             < S e q u e n c e > 0 < / S e q u e n c e >  
         < / A c c o u n t I n f o >  
         < A c c o u n t I n f o >  
             < I D > 2 6 5 0 7 8 9 9 2 6 4 0 0 0 0 0 1 4 8 < / I D >  
             < N a m e > R e t u r n   o n   T e r m   D e p o s i t   A c c o u n t s < / N a m e >  
             < N u m b e r > 8 1 1 1 . 2 < / N u m b e r >  
             < I s L i n k e d > f a l s e < / I s L i n k e d >  
             < C h a r t I D > 2 6 5 0 7 8 9 9 2 6 4 0 0 0 0 0 0 0 4 < / C h a r t I D >  
             < S e q u e n c e > 0 < / S e q u e n c e >  
         < / A c c o u n t I n f o >  
         < A c c o u n t I n f o >  
             < I D > 2 6 5 0 7 8 9 9 2 6 4 0 0 0 0 0 1 4 9 < / I D >  
             < N a m e > I n c o m e   f r o m   G o v e r n m e n t   S e c u r i t i e s < / N a m e >  
             < N u m b e r > 8 1 1 3 . 1 < / N u m b e r >  
             < I s L i n k e d > f a l s e < / I s L i n k e d >  
             < C h a r t I D > 2 6 5 0 7 8 9 9 2 6 4 0 0 0 0 0 0 0 4 < / C h a r t I D >  
             < S e q u e n c e > 0 < / S e q u e n c e >  
         < / A c c o u n t I n f o >  
         < A c c o u n t I n f o >  
             < I D > 2 6 5 0 7 8 9 9 2 6 4 0 0 0 0 0 1 5 2 < / I D >  
             < N a m e > I n c o m e   f r o m   T F C s < / N a m e >  
             < N u m b e r > 8 1 1 4 . 1 < / N u m b e r >  
             < I s L i n k e d > f a l s e < / I s L i n k e d >  
             < C h a r t I D > 2 6 5 0 7 8 9 9 2 6 4 0 0 0 0 0 0 0 4 < / C h a r t I D >  
             < S e q u e n c e > 0 < / S e q u e n c e >  
         < / A c c o u n t I n f o >  
         < A c c o u n t I n f o >  
             < I D > 2 6 5 0 7 8 9 9 2 6 4 0 0 0 0 0 1 5 4 < / I D >  
             < N a m e > R e t u r n   o n   B a n k   B a l a n c e s < / N a m e >  
             < N u m b e r > 8 1 1 5 . 1 < / N u m b e r >  
             < I s L i n k e d > f a l s e < / I s L i n k e d >  
             < C h a r t I D > 2 6 5 0 7 8 9 9 2 6 4 0 0 0 0 0 0 0 4 < / C h a r t I D >  
             < S e q u e n c e > 0 < / S e q u e n c e >  
         < / A c c o u n t I n f o >  
         < A c c o u n t I n f o >  
             < I D > 2 6 5 0 7 8 9 9 2 6 4 0 0 0 0 0 1 5 6 < / I D >  
             < N a m e > R e t u r n   o n   T D R s < / N a m e >  
             < N u m b e r > 8 1 1 5 . 2 < / N u m b e r >  
             < I s L i n k e d > f a l s e < / I s L i n k e d >  
             < C h a r t I D > 2 6 5 0 7 8 9 9 2 6 4 0 0 0 0 0 0 0 4 < / C h a r t I D >  
             < S e q u e n c e > 0 < / S e q u e n c e >  
         < / A c c o u n t I n f o >  
         < A c c o u n t I n f o >  
             < I D > 2 6 5 0 7 8 9 9 2 6 4 0 0 0 0 0 1 5 7 < / I D >  
             < N a m e > O t h e r   i n c o m e < / N a m e >  
             < N u m b e r > 8 1 1 6 . 1 < / N u m b e r >  
             < I s L i n k e d > f a l s e < / I s L i n k e d >  
             < C h a r t I D > 2 6 5 0 7 8 9 9 2 6 4 0 0 0 0 0 0 0 4 < / C h a r t I D >  
             < S e q u e n c e > 0 < / S e q u e n c e >  
         < / A c c o u n t I n f o >  
         < A c c o u n t I n f o >  
             < I D > 2 6 5 0 7 8 9 9 2 6 4 0 0 0 0 0 1 6 0 < / I D >  
             < N a m e > U n r e a l i z e d   G a i n / L o s s   -   H F T < / N a m e >  
             < N u m b e r > 8 1 1 7 . 1 < / N u m b e r >  
             < I s L i n k e d > f a l s e < / I s L i n k e d >  
             < C h a r t I D > 2 6 5 0 7 8 9 9 2 6 4 0 0 0 0 0 0 0 4 < / C h a r t I D >  
             < S e q u e n c e > 0 < / S e q u e n c e >  
         < / A c c o u n t I n f o >  
         < A c c o u n t I n f o >  
             < I D > 2 6 5 0 7 8 9 9 2 6 4 0 0 0 0 0 1 6 2 < / I D >  
             < N a m e > R e m u n e r a t i o n   o f   m a n a g e m e n t   c o m p a n y < / N a m e >  
             < N u m b e r > 8 1 2 0 . 1 < / N u m b e r >  
             < I s L i n k e d > f a l s e < / I s L i n k e d >  
             < C h a r t I D > 2 6 5 0 7 8 9 9 2 6 4 0 0 0 0 0 0 0 4 < / C h a r t I D >  
             < S e q u e n c e > 0 < / S e q u e n c e >  
         < / A c c o u n t I n f o >  
         < A c c o u n t I n f o >  
             < I D > 2 6 5 0 7 8 9 9 2 6 4 0 0 0 0 0 1 6 4 < / I D >  
             < N a m e > S a l e s   t a x   a n d   F E D   o n   m a n a g e m e n t   r e m u n e r a t i o n < / N a m e >  
             < N u m b e r > 8 1 2 0 . 2 < / N u m b e r >  
             < I s L i n k e d > f a l s e < / I s L i n k e d >  
             < C h a r t I D > 2 6 5 0 7 8 9 9 2 6 4 0 0 0 0 0 0 0 4 < / C h a r t I D >  
             < S e q u e n c e > 0 < / S e q u e n c e >  
         < / A c c o u n t I n f o >  
         < A c c o u n t I n f o >  
             < I D > 2 6 5 0 7 8 9 9 2 6 4 0 0 0 0 0 1 6 6 < / I D >  
             < N a m e > R e m u n e r a t i o n   o f   T r u s t e e   F e e   -   C D C < / N a m e >  
             < N u m b e r > 8 1 2 1 . 1 < / N u m b e r >  
             < I s L i n k e d > f a l s e < / I s L i n k e d >  
             < C h a r t I D > 2 6 5 0 7 8 9 9 2 6 4 0 0 0 0 0 0 0 4 < / C h a r t I D >  
             < S e q u e n c e > 0 < / S e q u e n c e >  
         < / A c c o u n t I n f o >  
         < A c c o u n t I n f o >  
             < I D > 2 6 5 0 7 8 9 9 2 6 4 0 0 0 0 0 1 6 7 < / I D >  
             < N a m e > A n n u a l   F e e   -   S E C P < / N a m e >  
             < N u m b e r > 8 1 2 2 . 1 < / N u m b e r >  
             < I s L i n k e d > f a l s e < / I s L i n k e d >  
             < C h a r t I D > 2 6 5 0 7 8 9 9 2 6 4 0 0 0 0 0 0 0 4 < / C h a r t I D >  
             < S e q u e n c e > 0 < / S e q u e n c e >  
         < / A c c o u n t I n f o >  
         < A c c o u n t I n f o >  
             < I D > 2 6 5 0 7 8 9 9 2 6 4 0 0 0 0 0 1 7 0 < / I D >  
             < N a m e > S e c u r i t i e s   t r a n s a c t i o n   c o s t < / N a m e >  
             < N u m b e r > 8 1 3 0 . 1 < / N u m b e r >  
             < I s L i n k e d > f a l s e < / I s L i n k e d >  
             < C h a r t I D > 2 6 5 0 7 8 9 9 2 6 4 0 0 0 0 0 0 0 4 < / C h a r t I D >  
             < S e q u e n c e > 0 < / S e q u e n c e >  
         < / A c c o u n t I n f o >  
         < A c c o u n t I n f o >  
             < I D > 2 6 5 0 7 8 9 9 2 6 4 0 0 0 0 0 1 7 1 < / I D >  
             < N a m e > W o r k e r s '   W e l f a r e   F u n d   E x p e n s e < / N a m e >  
             < N u m b e r > 8 1 4 0 . 1 < / N u m b e r >  
             < I s L i n k e d > f a l s e < / I s L i n k e d >  
             < C h a r t I D > 2 6 5 0 7 8 9 9 2 6 4 0 0 0 0 0 0 0 4 < / C h a r t I D >  
             < S e q u e n c e > 0 < / S e q u e n c e >  
         < / A c c o u n t I n f o >  
         < A c c o u n t I n f o >  
             < I D > 2 6 5 0 7 8 9 9 2 6 4 0 0 0 0 0 1 7 4 < / I D >  
             < N a m e > A u d i t o r ' s   R e m u n e r a t i o n < / N a m e >  
             < N u m b e r > 8 1 5 0 . 1 < / N u m b e r >  
             < I s L i n k e d > f a l s e < / I s L i n k e d >  
             < C h a r t I D > 2 6 5 0 7 8 9 9 2 6 4 0 0 0 0 0 0 0 4 < / C h a r t I D >  
             < S e q u e n c e > 0 < / S e q u e n c e >  
         < / A c c o u n t I n f o >  
         < A c c o u n t I n f o >  
             < I D > 2 6 5 0 7 8 9 9 2 6 4 0 0 0 0 0 1 7 5 < / I D >  
             < N a m e > O t h e r   E x p e n s e s < / N a m e >  
             < N u m b e r > 8 1 6 0 . 1 < / N u m b e r >  
             < I s L i n k e d > f a l s e < / I s L i n k e d >  
             < C h a r t I D > 2 6 5 0 7 8 9 9 2 6 4 0 0 0 0 0 0 0 4 < / C h a r t I D >  
             < S e q u e n c e > 0 < / S e q u e n c e >  
         < / A c c o u n t I n f o >  
         < A c c o u n t I n f o >  
             < I D > 2 6 5 0 7 8 9 9 2 6 4 0 0 0 0 0 1 7 8 < / I D >  
             < N a m e > I m p a i r m e n t   o n   I n v e s t m e n t   i n   E q u i t y   S e c u r i t i e s < / N a m e >  
             < N u m b e r > 8 1 9 0 . 1 < / N u m b e r >  
             < I s L i n k e d > f a l s e < / I s L i n k e d >  
             < C h a r t I D > 2 6 5 0 7 8 9 9 2 6 4 0 0 0 0 0 0 0 4 < / C h a r t I D >  
             < S e q u e n c e > 0 < / S e q u e n c e >  
         < / A c c o u n t I n f o >  
         < A c c o u n t I n f o >  
             < I D > 2 6 5 0 7 8 9 9 2 6 4 0 0 0 0 0 1 8 0 < / I D >  
             < N a m e > R e a l i z e d   E l e m e n t   & a m p ;   C a p i t a l   G a i n < / N a m e >  
             < N u m b e r > 9 1 1 0 . 1 < / N u m b e r >  
             < I s L i n k e d > f a l s e < / I s L i n k e d >  
             < C h a r t I D > 2 6 5 0 7 8 9 9 2 6 4 0 0 0 0 0 0 0 4 < / C h a r t I D >  
             < S e q u e n c e > 0 < / S e q u e n c e >  
         < / A c c o u n t I n f o >  
         < A c c o u n t I n f o >  
             < I D > 2 6 5 0 7 8 9 9 2 6 4 0 0 0 0 0 1 8 1 < / I D >  
             < N a m e > U n r e a l i z e d   E l e m e n t   & a m p ;   C a p i t a l   G a i n < / N a m e >  
             < N u m b e r > 9 1 1 0 . 2 < / N u m b e r >  
             < I s L i n k e d > f a l s e < / I s L i n k e d >  
             < C h a r t I D > 2 6 5 0 7 8 9 9 2 6 4 0 0 0 0 0 0 0 4 < / C h a r t I D >  
             < S e q u e n c e > 0 < / S e q u e n c e >  
         < / A c c o u n t I n f o >  
         < A c c o u n t I n f o >  
             < I D > 2 6 5 0 7 8 9 9 2 6 4 0 0 0 0 0 0 1 1 < / I D >  
             < N a m e > P r e p a y m e n t s < / N a m e >  
             < N u m b e r > D T T - 1 < / N u m b e r >  
             < I s L i n k e d > f a l s e < / I s L i n k e d >  
             < C h a r t I D > 2 6 5 0 7 8 9 9 2 6 4 0 0 0 0 0 0 0 4 < / C h a r t I D >  
             < S e q u e n c e > 0 < / S e q u e n c e >  
         < / A c c o u n t I n f o >  
     < / T a r g e t A c c o u n t I n f o L i s t >  
     < D A A c c o u n t T y p e L i s t / >  
     < I s C o n s o l i d a t e d T B > f a l s e < / I s C o n s o l i d a t e d T B >  
 < / L e a d S h e e t P a r a m s > 
</file>

<file path=customXml/item5.xml><?xml version="1.0" encoding="utf-8"?>
<DAEMSEngagementItemInfo xmlns="http://schemas.microsoft.com/DAEMSEngagementItemInfoXML">
  <EngagementID>5000008497</EngagementID>
  <LogicalEMSServerID>1965072166277195099</LogicalEMSServerID>
  <WorkingPaperID>2650789926400000283</WorkingPaperID>
</DAEMSEngagementItemInfo>
</file>

<file path=customXml/item6.xml><?xml version="1.0" encoding="utf-8"?>
<boolean xmlns="http://schemas.dtt.com/da/LeadSheetOpenXML">true</boolean>
</file>

<file path=customXml/item7.xml><?xml version="1.0" encoding="utf-8"?>
<boolean xmlns="http://schemas.dtt.com/da/IsLeadSheet">true</boolean>
</file>

<file path=customXml/item8.xml>��< ? x m l   v e r s i o n = " 1 . 0 "   e n c o d i n g = " u t f - 1 6 " ? > < P a r t M a p   x m l n s : x s d = " h t t p : / / w w w . w 3 . o r g / 2 0 0 1 / X M L S c h e m a "   x m l n s : x s i = " h t t p : / / w w w . w 3 . o r g / 2 0 0 1 / X M L S c h e m a - i n s t a n c e " >  
     < P a r t s >  
         < P a r t I t e m >  
             < P r o p e r t y N a m e > L e a d S h e e t N o t S y n c h e d < / P r o p e r t y N a m e >  
             < V a l u e > { 5 0 B 4 7 9 3 0 - 5 1 6 F - 4 E E E - 9 A E 4 - 3 6 B D 5 8 0 0 5 7 0 4 } < / V a l u e >  
         < / P a r t I t e m >  
         < P a r t I t e m >  
             < P r o p e r t y N a m e > A d d e d R a n g e L i s t < / P r o p e r t y N a m e >  
             < V a l u e > { 7 5 9 C 3 A F F - 2 3 4 6 - 4 3 6 8 - 8 8 E D - E 8 C 7 6 9 3 C B 1 4 5 } < / V a l u e >  
         < / P a r t I t e m >  
         < P a r t I t e m >  
             < P r o p e r t y N a m e > L e a d S h e e t P a r a m K e y < / P r o p e r t y N a m e >  
             < V a l u e > { 4 E A F 5 F 9 B - 2 6 F 7 - 4 B 9 B - 8 A 1 4 - 6 3 3 4 3 5 4 4 C E A 6 } < / V a l u e >  
         < / P a r t I t e m >  
         < P a r t I t e m >  
             < P r o p e r t y N a m e > L e a d S h e e t D a t a K e y < / P r o p e r t y N a m e >  
             < V a l u e > { 4 4 D 5 2 A F E - 0 8 9 5 - 4 B F B - 9 7 2 D - E A 7 F 7 A 7 B E 3 8 8 } < / V a l u e >  
         < / P a r t I t e m >  
         < P a r t I t e m >  
             < P r o p e r t y N a m e > T B L i n k T y p e L i n k C h a n g e H i g h l i g h t < / P r o p e r t y N a m e >  
             < V a l u e > T r u e < / V a l u e >  
         < / P a r t I t e m >  
     < / P a r t s >  
 < / P a r t M a p > 
</file>

<file path=customXml/item9.xml>��< ? x m l   v e r s i o n = " 1 . 0 "   e n c o d i n g = " u t f - 1 6 " ? > < b o o l e a n > f a l s e < / b o o l e a n > 
</file>

<file path=customXml/itemProps1.xml><?xml version="1.0" encoding="utf-8"?>
<ds:datastoreItem xmlns:ds="http://schemas.openxmlformats.org/officeDocument/2006/customXml" ds:itemID="{44D52AFE-0895-4BFB-972D-EA7F7A7BE388}">
  <ds:schemaRefs>
    <ds:schemaRef ds:uri="http://www.w3.org/2001/XMLSchema"/>
  </ds:schemaRefs>
</ds:datastoreItem>
</file>

<file path=customXml/itemProps2.xml><?xml version="1.0" encoding="utf-8"?>
<ds:datastoreItem xmlns:ds="http://schemas.openxmlformats.org/officeDocument/2006/customXml" ds:itemID="{759C3AFF-2346-4368-88ED-E8C7693CB145}">
  <ds:schemaRefs>
    <ds:schemaRef ds:uri="http://www.w3.org/2001/XMLSchema"/>
  </ds:schemaRefs>
</ds:datastoreItem>
</file>

<file path=customXml/itemProps3.xml><?xml version="1.0" encoding="utf-8"?>
<ds:datastoreItem xmlns:ds="http://schemas.openxmlformats.org/officeDocument/2006/customXml" ds:itemID="{325E19A4-2341-4CFF-AFD7-101B880E77EF}">
  <ds:schemaRefs>
    <ds:schemaRef ds:uri="http://schemas.dtt.com/da/IsFirstTimeLoaded"/>
  </ds:schemaRefs>
</ds:datastoreItem>
</file>

<file path=customXml/itemProps4.xml><?xml version="1.0" encoding="utf-8"?>
<ds:datastoreItem xmlns:ds="http://schemas.openxmlformats.org/officeDocument/2006/customXml" ds:itemID="{4EAF5F9B-26F7-4B9B-8A14-63343544CEA6}">
  <ds:schemaRefs>
    <ds:schemaRef ds:uri="http://www.w3.org/2001/XMLSchema"/>
  </ds:schemaRefs>
</ds:datastoreItem>
</file>

<file path=customXml/itemProps5.xml><?xml version="1.0" encoding="utf-8"?>
<ds:datastoreItem xmlns:ds="http://schemas.openxmlformats.org/officeDocument/2006/customXml" ds:itemID="{0C215898-0BD2-4F46-9D77-82ECAB88008B}">
  <ds:schemaRefs>
    <ds:schemaRef ds:uri="http://schemas.microsoft.com/DAEMSEngagementItemInfoXML"/>
  </ds:schemaRefs>
</ds:datastoreItem>
</file>

<file path=customXml/itemProps6.xml><?xml version="1.0" encoding="utf-8"?>
<ds:datastoreItem xmlns:ds="http://schemas.openxmlformats.org/officeDocument/2006/customXml" ds:itemID="{1703C67D-4A16-425A-911E-2ACE7EE1A7D8}">
  <ds:schemaRefs>
    <ds:schemaRef ds:uri="http://schemas.dtt.com/da/LeadSheetOpenXML"/>
  </ds:schemaRefs>
</ds:datastoreItem>
</file>

<file path=customXml/itemProps7.xml><?xml version="1.0" encoding="utf-8"?>
<ds:datastoreItem xmlns:ds="http://schemas.openxmlformats.org/officeDocument/2006/customXml" ds:itemID="{D6CF7D85-3B75-4729-9C0C-BC548239E6B6}">
  <ds:schemaRefs>
    <ds:schemaRef ds:uri="http://schemas.dtt.com/da/IsLeadSheet"/>
  </ds:schemaRefs>
</ds:datastoreItem>
</file>

<file path=customXml/itemProps8.xml><?xml version="1.0" encoding="utf-8"?>
<ds:datastoreItem xmlns:ds="http://schemas.openxmlformats.org/officeDocument/2006/customXml" ds:itemID="{F7C02140-FFDE-4E99-BE0A-8021E8523C91}">
  <ds:schemaRefs>
    <ds:schemaRef ds:uri="http://www.w3.org/2001/XMLSchema"/>
  </ds:schemaRefs>
</ds:datastoreItem>
</file>

<file path=customXml/itemProps9.xml><?xml version="1.0" encoding="utf-8"?>
<ds:datastoreItem xmlns:ds="http://schemas.openxmlformats.org/officeDocument/2006/customXml" ds:itemID="{50B47930-516F-4EEE-9AE4-36BD580057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Form 7</vt:lpstr>
      <vt:lpstr>BS</vt:lpstr>
      <vt:lpstr>IS</vt:lpstr>
      <vt:lpstr>OCI</vt:lpstr>
      <vt:lpstr>UHF-Updated</vt:lpstr>
      <vt:lpstr>CF</vt:lpstr>
      <vt:lpstr>Note 1-5</vt:lpstr>
      <vt:lpstr>Note 5.1</vt:lpstr>
      <vt:lpstr>Note 5.2-5.3</vt:lpstr>
      <vt:lpstr>Note 5.5-6.2</vt:lpstr>
      <vt:lpstr>7- 15</vt:lpstr>
      <vt:lpstr>13.3</vt:lpstr>
      <vt:lpstr>TB</vt:lpstr>
      <vt:lpstr>Cash Flow working</vt:lpstr>
      <vt:lpstr>UHA</vt:lpstr>
      <vt:lpstr>UHF (2)</vt:lpstr>
      <vt:lpstr>'13.3'!Print_Area</vt:lpstr>
      <vt:lpstr>'7- 15'!Print_Area</vt:lpstr>
      <vt:lpstr>BS!Print_Area</vt:lpstr>
      <vt:lpstr>CF!Print_Area</vt:lpstr>
      <vt:lpstr>'Form 7'!Print_Area</vt:lpstr>
      <vt:lpstr>IS!Print_Area</vt:lpstr>
      <vt:lpstr>'Note 1-5'!Print_Area</vt:lpstr>
      <vt:lpstr>'Note 5.1'!Print_Area</vt:lpstr>
      <vt:lpstr>'Note 5.2-5.3'!Print_Area</vt:lpstr>
      <vt:lpstr>'Note 5.5-6.2'!Print_Area</vt:lpstr>
      <vt:lpstr>OCI!Print_Area</vt:lpstr>
      <vt:lpstr>UHA!Print_Area</vt:lpstr>
      <vt:lpstr>'UHF (2)'!Print_Area</vt:lpstr>
      <vt:lpstr>'UHF-Updated'!Print_Area</vt:lpstr>
      <vt:lpstr>'UHF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Annas Asad Khan</dc:creator>
  <cp:lastModifiedBy>Khurram Sharf</cp:lastModifiedBy>
  <cp:lastPrinted>2021-10-15T10:26:00Z</cp:lastPrinted>
  <dcterms:created xsi:type="dcterms:W3CDTF">2020-09-14T11:24:15Z</dcterms:created>
  <dcterms:modified xsi:type="dcterms:W3CDTF">2021-10-18T07:57:11Z</dcterms:modified>
</cp:coreProperties>
</file>